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Vinaya Kusuma\Documents\Code\Project1\Project1\Resources\"/>
    </mc:Choice>
  </mc:AlternateContent>
  <xr:revisionPtr revIDLastSave="0" documentId="13_ncr:1_{FB059015-BDDB-442E-8712-E5C9FE974416}" xr6:coauthVersionLast="47" xr6:coauthVersionMax="47" xr10:uidLastSave="{00000000-0000-0000-0000-000000000000}"/>
  <bookViews>
    <workbookView xWindow="-110" yWindow="-110" windowWidth="19420" windowHeight="11500" tabRatio="797" activeTab="2"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<sst xmlns="http://schemas.openxmlformats.org/spreadsheetml/2006/main" count="30277" uniqueCount="5392">
  <si>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</si>
  <si>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</si>
  <si>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</si>
  <si>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</si>
  <si>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</si>
  <si>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</si>
  <si>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</si>
  <si>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</si>
  <si>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</si>
  <si>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</si>
  <si>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</si>
  <si>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</si>
  <si>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</si>
  <si>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</si>
  <si>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</si>
  <si>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</si>
  <si>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</si>
  <si>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</si>
  <si>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</si>
  <si>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</si>
  <si>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</si>
  <si>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</si>
  <si>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</si>
  <si>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</si>
  <si>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</si>
  <si>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</si>
  <si>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</si>
  <si>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</si>
  <si>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</si>
  <si>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</si>
  <si>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</si>
  <si>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</si>
  <si>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</si>
  <si>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</si>
  <si>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</si>
  <si>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</si>
  <si>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</si>
  <si>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</si>
  <si>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</si>
  <si>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</si>
  <si>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</si>
  <si>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</si>
  <si>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</si>
  <si>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</si>
  <si>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</si>
  <si>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</si>
  <si>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</si>
  <si>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</si>
  <si>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</si>
  <si>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</si>
  <si>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</si>
  <si>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</si>
  <si>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</si>
  <si>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</si>
  <si>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</si>
  <si>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</si>
  <si>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</si>
  <si>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</si>
  <si>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</si>
  <si>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</si>
  <si>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</si>
  <si>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</si>
  <si>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</si>
  <si>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</si>
  <si>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</si>
  <si>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</si>
  <si>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</si>
  <si>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</si>
  <si>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</si>
  <si>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</si>
  <si>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</si>
  <si>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</si>
  <si>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</si>
  <si>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</si>
  <si>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</si>
  <si>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</si>
  <si>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</si>
  <si>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</si>
  <si>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</si>
  <si>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</si>
  <si>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</si>
  <si>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</si>
  <si>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</si>
  <si>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</si>
  <si>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</si>
  <si>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</si>
  <si>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</si>
  <si>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</si>
  <si>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</si>
  <si>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</si>
  <si>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</si>
  <si>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</si>
  <si>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</si>
  <si>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</si>
  <si>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</si>
  <si>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</si>
  <si>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</si>
  <si>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</si>
  <si>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</si>
  <si>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</si>
  <si>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</si>
  <si>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</si>
  <si>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</si>
  <si>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</si>
  <si>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</si>
  <si>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</si>
  <si>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</si>
  <si>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</si>
  <si>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</si>
  <si>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</si>
  <si>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</si>
  <si>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</si>
  <si>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</si>
  <si>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</si>
  <si>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</si>
  <si>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</si>
  <si>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</si>
  <si>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</si>
  <si>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</si>
  <si>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</si>
  <si>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</si>
  <si>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</si>
  <si>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</si>
  <si>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</si>
  <si>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</si>
  <si>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</si>
  <si>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</si>
  <si>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</si>
  <si>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</si>
  <si>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</si>
  <si>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</si>
  <si>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</si>
  <si>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</si>
  <si>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</si>
  <si>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</si>
  <si>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</si>
  <si>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</si>
  <si>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</si>
  <si>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</si>
  <si>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</si>
  <si>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</si>
  <si>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</si>
  <si>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</si>
  <si>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</si>
  <si>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</si>
  <si>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</si>
  <si>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</si>
  <si>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</si>
  <si>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</si>
  <si>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</si>
  <si>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</si>
  <si>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</si>
  <si>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</si>
  <si>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</si>
  <si>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</si>
  <si>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</si>
  <si>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</si>
  <si>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</si>
  <si>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</si>
  <si>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</si>
  <si>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</si>
  <si>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</si>
  <si>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</si>
  <si>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</si>
  <si>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</si>
  <si>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</si>
  <si>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</si>
  <si>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</si>
  <si>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</si>
  <si>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</si>
  <si>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</si>
  <si>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</si>
  <si>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</si>
  <si>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</si>
  <si>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</si>
  <si>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</si>
  <si>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</si>
  <si>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</si>
  <si>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</si>
  <si>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</si>
  <si>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</si>
  <si>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</si>
  <si>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</si>
  <si>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</si>
  <si>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</si>
  <si>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</si>
  <si>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</si>
  <si>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</si>
  <si>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</si>
  <si>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</si>
  <si>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</si>
  <si>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</si>
  <si>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</si>
  <si>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</si>
  <si>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</si>
  <si>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</si>
  <si>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</si>
  <si>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</si>
  <si>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</si>
  <si>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</si>
  <si>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</si>
  <si>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</si>
  <si>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</si>
  <si>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</si>
  <si>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</si>
  <si>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</si>
  <si>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</si>
  <si>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</si>
  <si>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</si>
  <si>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</si>
  <si>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</si>
  <si>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</si>
  <si>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</si>
  <si>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</si>
  <si>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</si>
  <si>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</si>
  <si>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</si>
  <si>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</si>
  <si>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</si>
  <si>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</si>
  <si>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</si>
  <si>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</si>
  <si>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</si>
  <si>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</si>
  <si>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</si>
  <si>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</si>
  <si>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</si>
  <si>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</si>
  <si>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</si>
  <si>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</si>
  <si>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</si>
  <si>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</si>
  <si>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</si>
  <si>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</si>
  <si>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</si>
  <si>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</si>
  <si>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</si>
  <si>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</si>
  <si>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</si>
  <si>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</si>
  <si>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</si>
  <si>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</si>
  <si>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</si>
  <si>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</si>
  <si>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</si>
  <si>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</si>
  <si>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</si>
  <si>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</si>
  <si>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</si>
  <si>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</si>
  <si>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</si>
  <si>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</si>
  <si>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</si>
  <si>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</si>
  <si>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</si>
  <si>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</si>
  <si>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</si>
  <si>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</si>
  <si>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</si>
  <si>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</si>
  <si>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</si>
  <si>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</si>
  <si>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</si>
  <si>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</si>
  <si>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</si>
  <si>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</si>
  <si>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</si>
  <si>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</si>
  <si>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</si>
  <si>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</si>
  <si>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</si>
  <si>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</si>
  <si>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</si>
  <si>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</si>
  <si>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</si>
  <si>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</si>
  <si>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</si>
  <si>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</si>
  <si>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</si>
  <si>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</si>
  <si>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</si>
  <si>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</si>
  <si>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</si>
  <si>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</si>
  <si>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</si>
  <si>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</si>
  <si>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</si>
  <si>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</si>
  <si>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</si>
  <si>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</si>
  <si>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</si>
  <si>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</si>
  <si>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</si>
  <si>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</si>
  <si>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</si>
  <si>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</si>
  <si>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</si>
  <si>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</si>
  <si>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</si>
  <si>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</si>
  <si>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</si>
  <si>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</si>
  <si>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</si>
  <si>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</si>
  <si>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</si>
  <si>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</si>
  <si>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</si>
  <si>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</si>
  <si>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</si>
  <si>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</si>
  <si>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</si>
  <si>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</si>
  <si>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</si>
  <si>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</si>
  <si>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</si>
  <si>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</si>
  <si>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</si>
  <si>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</si>
  <si>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</si>
  <si>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</si>
  <si>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</si>
  <si>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</si>
  <si>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</si>
  <si>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</si>
  <si>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</si>
  <si>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</si>
  <si>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</si>
  <si>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</si>
  <si>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</si>
  <si>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</si>
  <si>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</si>
  <si>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</si>
  <si>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</si>
  <si>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</si>
  <si>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</si>
  <si>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</si>
  <si>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</si>
  <si>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</si>
  <si>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</si>
  <si>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</si>
  <si>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</si>
  <si>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</si>
  <si>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</si>
  <si>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</si>
  <si>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</si>
  <si>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</si>
  <si>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</si>
  <si>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</si>
  <si>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</si>
  <si>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</si>
  <si>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</si>
  <si>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</si>
  <si>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</si>
  <si>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</si>
  <si>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</si>
  <si>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</si>
  <si>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</si>
  <si>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</si>
  <si>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</si>
  <si>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</si>
  <si>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</si>
  <si>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</si>
  <si>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</si>
  <si>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</si>
  <si>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</si>
  <si>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</si>
  <si>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</si>
  <si>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</si>
  <si>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</si>
  <si>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</si>
  <si>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</si>
  <si>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</si>
  <si>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</si>
  <si>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</si>
  <si>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</si>
  <si>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</si>
  <si>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</si>
  <si>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</si>
  <si>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</si>
  <si>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</si>
  <si>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</si>
  <si>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</si>
  <si>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</si>
  <si>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</si>
  <si>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</si>
  <si>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</si>
  <si>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</si>
  <si>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</si>
  <si>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</si>
  <si>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</si>
  <si>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</si>
  <si>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</si>
  <si>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</si>
  <si>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</si>
  <si>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</si>
  <si>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</si>
  <si>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</si>
  <si>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</si>
  <si>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</si>
  <si>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</si>
  <si>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</si>
  <si>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</si>
  <si>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</si>
  <si>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</si>
  <si>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</si>
  <si>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</si>
  <si>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</si>
  <si>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</si>
  <si>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</si>
  <si>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</si>
  <si>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</si>
  <si>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</si>
  <si>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</si>
  <si>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</si>
  <si>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</si>
  <si>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</si>
  <si>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</si>
  <si>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</si>
  <si>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</si>
  <si>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</si>
  <si>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</si>
  <si>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</si>
  <si>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</si>
  <si>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</si>
  <si>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</si>
  <si>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</si>
  <si>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</si>
  <si>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</si>
  <si>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</si>
  <si>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</si>
  <si>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</si>
  <si>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</si>
  <si>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</si>
  <si>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</si>
  <si>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</si>
  <si>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</si>
  <si>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</si>
  <si>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</si>
  <si>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</si>
  <si>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</si>
  <si>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</si>
  <si>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</si>
  <si>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</si>
  <si>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</si>
  <si>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</si>
  <si>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</si>
  <si>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</si>
  <si>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</si>
  <si>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</si>
  <si>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</si>
  <si>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</si>
  <si>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</si>
  <si>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</si>
  <si>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</si>
  <si>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</si>
  <si>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</si>
  <si>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</si>
  <si>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</si>
  <si>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</si>
  <si>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</si>
  <si>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</si>
  <si>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</si>
  <si>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</si>
  <si>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</si>
  <si>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</si>
  <si>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</si>
  <si>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</si>
  <si>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</si>
  <si>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</si>
  <si>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</si>
  <si>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</si>
  <si>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</si>
  <si>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</si>
  <si>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</si>
  <si>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</si>
  <si>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</si>
  <si>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</si>
  <si>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</si>
  <si>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</si>
  <si>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</si>
  <si>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</si>
  <si>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</si>
  <si>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</si>
  <si>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</si>
  <si>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</si>
  <si>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</si>
  <si>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</si>
  <si>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</si>
  <si>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</si>
  <si>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</si>
  <si>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</si>
  <si>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</si>
  <si>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</si>
  <si>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</si>
  <si>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</si>
  <si>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</si>
  <si>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</si>
  <si>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</si>
  <si>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</si>
  <si>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</si>
  <si>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</si>
  <si>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</si>
  <si>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</si>
  <si>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</si>
  <si>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</si>
  <si>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</si>
  <si>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</si>
  <si>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</si>
  <si>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</si>
  <si>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</si>
  <si>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</si>
  <si>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</si>
  <si>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</si>
  <si>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</si>
  <si>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</si>
  <si>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</si>
  <si>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</si>
  <si>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</si>
  <si>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</si>
  <si>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</si>
  <si>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</si>
  <si>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</si>
  <si>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</si>
  <si>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</si>
  <si>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</si>
  <si>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</si>
  <si>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</si>
  <si>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</si>
  <si>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</si>
  <si>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</si>
  <si>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</si>
  <si>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</si>
  <si>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</si>
  <si>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</si>
  <si>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</si>
  <si>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</si>
  <si>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</si>
  <si>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</si>
  <si>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</si>
  <si>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</si>
  <si>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</si>
  <si>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</si>
  <si>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</si>
  <si>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</si>
  <si>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</si>
  <si>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</si>
  <si>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</si>
  <si>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</si>
  <si>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</si>
  <si>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</si>
  <si>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</si>
  <si>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</si>
  <si>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</si>
  <si>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</si>
  <si>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</si>
  <si>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</si>
  <si>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</si>
  <si>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</si>
  <si>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</si>
  <si>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</si>
  <si>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</si>
  <si>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</si>
  <si>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</si>
  <si>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</si>
  <si>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</si>
  <si>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</si>
  <si>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</si>
  <si>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</si>
  <si>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</si>
  <si>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</si>
  <si>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</si>
  <si>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</si>
  <si>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</si>
  <si>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</si>
  <si>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</si>
  <si>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</si>
  <si>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</si>
  <si>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</si>
  <si>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</si>
  <si>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</si>
  <si>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</si>
  <si>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</si>
  <si>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</si>
  <si>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</si>
  <si>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</si>
  <si>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</si>
  <si>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</si>
  <si>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</si>
  <si>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</si>
  <si>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</si>
  <si>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</si>
  <si>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</si>
  <si>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</si>
  <si>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</si>
  <si>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</si>
  <si>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</si>
  <si>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</si>
  <si>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</si>
  <si>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</si>
  <si>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</si>
  <si>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</si>
  <si>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</si>
  <si>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</si>
  <si>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</si>
  <si>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</si>
  <si>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</si>
  <si>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</si>
  <si>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</si>
  <si>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</si>
  <si>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</si>
  <si>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</si>
  <si>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</si>
  <si>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</si>
  <si>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</si>
  <si>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</si>
  <si>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</si>
  <si>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</si>
  <si>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</si>
  <si>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</si>
  <si>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</si>
  <si>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</si>
  <si>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</si>
  <si>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</si>
  <si>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</si>
  <si>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</si>
  <si>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</si>
  <si>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</si>
  <si>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</si>
  <si>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</si>
  <si>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</si>
  <si>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</si>
  <si>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</si>
  <si>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</si>
  <si>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</si>
  <si>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</si>
  <si>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</si>
  <si>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</si>
  <si>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</si>
  <si>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</si>
  <si>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</si>
  <si>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</si>
  <si>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</si>
  <si>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</si>
  <si>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</si>
  <si>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</si>
  <si>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</si>
  <si>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</si>
  <si>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</si>
  <si>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</si>
  <si>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</si>
  <si>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</si>
  <si>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</si>
  <si>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</si>
  <si>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</si>
  <si>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</si>
  <si>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</si>
  <si>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</si>
  <si>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</si>
  <si>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</si>
  <si>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</si>
  <si>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</si>
  <si>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</si>
  <si>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</si>
  <si>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</si>
  <si>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</si>
  <si>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</si>
  <si>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</si>
  <si>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</si>
  <si>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</si>
  <si>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</si>
  <si>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</si>
  <si>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</si>
  <si>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</si>
  <si>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</si>
  <si>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</si>
  <si>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</si>
  <si>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</si>
  <si>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</si>
  <si>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</si>
  <si>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</si>
  <si>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</si>
  <si>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</si>
  <si>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</si>
  <si>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</si>
  <si>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</si>
  <si>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</si>
  <si>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</si>
  <si>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</si>
  <si>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</si>
  <si>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</si>
  <si>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</si>
  <si>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</si>
  <si>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</si>
  <si>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</si>
  <si>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</si>
  <si>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</si>
  <si>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</si>
  <si>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</si>
  <si>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</si>
  <si>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</si>
  <si>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</si>
  <si>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</si>
  <si>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</si>
  <si>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</si>
  <si>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</si>
  <si>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</si>
  <si>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</si>
  <si>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</si>
  <si>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</si>
  <si>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</si>
  <si>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</si>
  <si>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</si>
  <si>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</si>
  <si>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</si>
  <si>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</si>
  <si>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</si>
  <si>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</si>
  <si>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</si>
  <si>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</si>
  <si>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</si>
  <si>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</si>
  <si>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</si>
  <si>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</si>
  <si>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</si>
  <si>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</si>
  <si>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</si>
  <si>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</si>
  <si>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</si>
  <si>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</si>
  <si>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</si>
  <si>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</si>
  <si>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</si>
  <si>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</si>
  <si>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</si>
  <si>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</si>
  <si>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</si>
  <si>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</si>
  <si>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</si>
  <si>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</si>
  <si>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</si>
  <si>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</si>
  <si>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</si>
  <si>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</si>
  <si>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</si>
  <si>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</si>
  <si>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</si>
  <si>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</si>
  <si>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</si>
  <si>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</si>
  <si>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</si>
  <si>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</si>
  <si>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</si>
  <si>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</si>
  <si>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</si>
  <si>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</si>
  <si>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</si>
  <si>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</si>
  <si>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</si>
  <si>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</si>
  <si>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</si>
  <si>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</si>
  <si>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</si>
  <si>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</si>
  <si>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</si>
  <si>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</si>
  <si>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</si>
  <si>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</si>
  <si>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</si>
  <si>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</si>
  <si>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</si>
  <si>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</si>
  <si>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</si>
  <si>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</si>
  <si>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</si>
  <si>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</si>
  <si>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</si>
  <si>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</si>
  <si>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</si>
  <si>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</si>
  <si>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</si>
  <si>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</si>
  <si>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</si>
  <si>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</si>
  <si>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</si>
  <si>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</si>
  <si>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</si>
  <si>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</si>
  <si>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</si>
  <si>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</si>
  <si>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</si>
  <si>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</si>
  <si>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</si>
  <si>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</si>
  <si>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</si>
  <si>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</si>
  <si>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</si>
  <si>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</si>
  <si>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</si>
  <si>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</si>
  <si>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</si>
  <si>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</si>
  <si>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</si>
  <si>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</si>
  <si>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</si>
  <si>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</si>
  <si>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</si>
  <si>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</si>
  <si>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</si>
  <si>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</si>
  <si>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</si>
  <si>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</si>
  <si>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</si>
  <si>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</si>
  <si>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</si>
  <si>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</si>
  <si>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</si>
  <si>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</si>
  <si>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</si>
  <si>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</si>
  <si>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</si>
  <si>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</si>
  <si>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</si>
  <si>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</si>
  <si>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</si>
  <si>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</si>
  <si>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</si>
  <si>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</si>
  <si>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</si>
  <si>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</si>
  <si>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</si>
  <si>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</si>
  <si>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</si>
  <si>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</si>
  <si>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</si>
  <si>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</si>
  <si>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</si>
  <si>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</si>
  <si>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</si>
  <si>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</si>
  <si>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</si>
  <si>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</si>
  <si>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</si>
  <si>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</si>
  <si>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</si>
  <si>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</si>
  <si>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</si>
  <si>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</si>
  <si>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</si>
  <si>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</si>
  <si>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</si>
  <si>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</si>
  <si>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</si>
  <si>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</si>
  <si>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</si>
  <si>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</si>
  <si>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</si>
  <si>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</si>
  <si>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</si>
  <si>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</si>
  <si>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</si>
  <si>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</si>
  <si>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</si>
  <si>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</si>
  <si>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</si>
  <si>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</si>
  <si>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</si>
  <si>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</si>
  <si>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</si>
  <si>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</si>
  <si>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</si>
  <si>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</si>
  <si>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</si>
  <si>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</si>
  <si>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</si>
  <si>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</si>
  <si>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</si>
  <si>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</si>
  <si>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</si>
  <si>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</si>
  <si>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</si>
  <si>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</si>
  <si>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</si>
  <si>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</si>
  <si>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</si>
  <si>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</si>
  <si>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</si>
  <si>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</si>
  <si>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</si>
  <si>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</si>
  <si>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</si>
  <si>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</si>
  <si>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</si>
  <si>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</si>
  <si>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</si>
  <si>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</si>
  <si>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</si>
  <si>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</si>
  <si>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</si>
  <si>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</si>
  <si>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</si>
  <si>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</si>
  <si>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</si>
  <si>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</si>
  <si>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</si>
  <si>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</si>
  <si>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</si>
  <si>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</si>
  <si>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</si>
  <si>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</si>
  <si>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</si>
  <si>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</si>
  <si>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</si>
  <si>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</si>
  <si>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</si>
  <si>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</si>
  <si>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</si>
  <si>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</si>
  <si>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</si>
  <si>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</si>
  <si>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</si>
  <si>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</si>
  <si>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</si>
  <si>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</si>
  <si>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</si>
  <si>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</si>
  <si>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</si>
  <si>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</si>
  <si>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</si>
  <si>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</si>
  <si>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</si>
  <si>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</si>
  <si>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</si>
  <si>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</si>
  <si>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</si>
  <si>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</si>
  <si>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</si>
  <si>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</si>
  <si>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</si>
  <si>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</si>
  <si>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</si>
  <si>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</si>
  <si>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</si>
  <si>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</si>
  <si>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</si>
  <si>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</si>
  <si>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</si>
  <si>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</si>
  <si>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</si>
  <si>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</si>
  <si>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</si>
  <si>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</si>
  <si>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</si>
  <si>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</si>
  <si>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</si>
  <si>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</si>
  <si>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</si>
  <si>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</si>
  <si>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</si>
  <si>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</si>
  <si>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</si>
  <si>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</si>
  <si>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</si>
  <si>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</si>
  <si>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</si>
  <si>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</si>
  <si>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</si>
  <si>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</si>
  <si>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</si>
  <si>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</si>
  <si>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</si>
  <si>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</si>
  <si>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</si>
  <si>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</si>
  <si>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</si>
  <si>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</si>
  <si>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</si>
  <si>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</si>
  <si>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</si>
  <si>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</si>
  <si>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</si>
  <si>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</si>
  <si>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</si>
  <si>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</si>
  <si>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</si>
  <si>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</si>
  <si>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</si>
  <si>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</si>
  <si>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</si>
  <si>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</si>
  <si>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</si>
  <si>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</si>
  <si>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</si>
  <si>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</si>
  <si>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</si>
  <si>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</si>
  <si>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</si>
  <si>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</si>
  <si>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</si>
  <si>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</si>
  <si>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</si>
  <si>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</si>
  <si>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</si>
  <si>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</si>
  <si>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</si>
  <si>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</si>
  <si>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</si>
  <si>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</si>
  <si>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</si>
  <si>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</si>
  <si>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</si>
  <si>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</si>
  <si>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</si>
  <si>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</si>
  <si>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</si>
  <si>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</si>
  <si>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</si>
  <si>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</si>
  <si>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</si>
  <si>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</si>
  <si>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</si>
  <si>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</si>
  <si>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</si>
  <si>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</si>
  <si>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</si>
  <si>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</si>
  <si>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</si>
  <si>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</si>
  <si>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</si>
  <si>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</si>
  <si>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</si>
  <si>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</si>
  <si>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</si>
  <si>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</si>
  <si>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</si>
  <si>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</si>
  <si>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</si>
  <si>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</si>
  <si>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</si>
  <si>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</si>
  <si>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</si>
  <si>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</si>
  <si>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</si>
  <si>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</si>
  <si>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</si>
  <si>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</si>
  <si>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</si>
  <si>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</si>
  <si>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</si>
  <si>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</si>
  <si>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</si>
  <si>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</si>
  <si>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</si>
  <si>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</si>
  <si>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</si>
  <si>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</si>
  <si>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</si>
  <si>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</si>
  <si>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</si>
  <si>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</si>
  <si>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</si>
  <si>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</si>
  <si>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</si>
  <si>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</si>
  <si>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</si>
  <si>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</si>
  <si>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</si>
  <si>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</si>
  <si>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</si>
  <si>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</si>
  <si>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</si>
  <si>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</si>
  <si>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</si>
  <si>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</si>
  <si>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</si>
  <si>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</si>
  <si>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</si>
  <si>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</si>
  <si>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</si>
  <si>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</si>
  <si>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</si>
  <si>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</si>
  <si>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</si>
  <si>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</si>
  <si>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</si>
  <si>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</si>
  <si>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</si>
  <si>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</si>
  <si>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</si>
  <si>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</si>
  <si>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</si>
  <si>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</si>
  <si>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</si>
  <si>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</si>
  <si>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</si>
  <si>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</si>
  <si>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</si>
  <si>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</si>
  <si>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</si>
  <si>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</si>
  <si>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</si>
  <si>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</si>
  <si>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</si>
  <si>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</si>
  <si>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</si>
  <si>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</si>
  <si>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</si>
  <si>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</si>
  <si>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</si>
  <si>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</si>
  <si>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</si>
  <si>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</si>
  <si>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</si>
  <si>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</si>
  <si>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</si>
  <si>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</si>
  <si>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</si>
  <si>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</si>
  <si>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</si>
  <si>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</si>
  <si>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</si>
  <si>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</si>
  <si>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</si>
  <si>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</si>
  <si>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</si>
  <si>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</si>
  <si>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</si>
  <si>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</si>
  <si>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</si>
  <si>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</si>
  <si>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</si>
  <si>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</si>
  <si>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</si>
  <si>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</si>
  <si>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</si>
  <si>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</si>
  <si>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</si>
  <si>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</si>
  <si>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</si>
  <si>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</si>
  <si>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</si>
  <si>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</si>
  <si>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</si>
  <si>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</si>
  <si>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</si>
  <si>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</si>
  <si>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</si>
  <si>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</si>
  <si>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</si>
  <si>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</si>
  <si>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</si>
  <si>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</si>
  <si>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</si>
  <si>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</si>
  <si>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</si>
  <si>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</si>
  <si>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</si>
  <si>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</si>
  <si>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</si>
  <si>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</si>
  <si>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</si>
  <si>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</si>
  <si>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</si>
  <si>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</si>
  <si>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</si>
  <si>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</si>
  <si>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</si>
  <si>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</si>
  <si>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</si>
  <si>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</si>
  <si>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</si>
  <si>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</si>
  <si>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</si>
  <si>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</si>
  <si>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</si>
  <si>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</si>
  <si>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</si>
  <si>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</si>
  <si>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</si>
  <si>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</si>
  <si>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</si>
  <si>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</si>
  <si>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</si>
  <si>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</si>
  <si>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</si>
  <si>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</si>
  <si>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</si>
  <si>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</si>
  <si>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</si>
  <si>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</si>
  <si>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</si>
  <si>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</si>
  <si>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</si>
  <si>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</si>
  <si>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</si>
  <si>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</si>
  <si>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</si>
  <si>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</si>
  <si>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</si>
  <si>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</si>
  <si>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</si>
  <si>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</si>
  <si>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</si>
  <si>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</si>
  <si>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</si>
  <si>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</si>
  <si>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</si>
  <si>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</si>
  <si>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</si>
  <si>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</si>
  <si>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</si>
  <si>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</si>
  <si>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</si>
  <si>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</si>
  <si>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</si>
  <si>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</si>
  <si>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</si>
  <si>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</si>
  <si>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</si>
  <si>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</si>
  <si>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</si>
  <si>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</si>
  <si>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</si>
  <si>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</si>
  <si>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</si>
  <si>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</si>
  <si>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</si>
  <si>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</si>
  <si>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</si>
  <si>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</si>
  <si>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</si>
  <si>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</si>
  <si>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</si>
  <si>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</si>
  <si>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</si>
  <si>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</si>
  <si>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</si>
  <si>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</si>
  <si>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</si>
  <si>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</si>
  <si>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</si>
  <si>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</si>
  <si>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</si>
  <si>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</si>
  <si>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</si>
  <si>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</si>
  <si>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</si>
  <si>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</si>
  <si>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</si>
  <si>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</si>
  <si>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</si>
  <si>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</si>
  <si>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</si>
  <si>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</si>
  <si>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</si>
  <si>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</si>
  <si>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</si>
  <si>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</si>
  <si>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</si>
  <si>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</si>
  <si>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</si>
  <si>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</si>
  <si>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</si>
  <si>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</si>
  <si>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</si>
  <si>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</si>
  <si>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</si>
  <si>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</si>
  <si>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</si>
  <si>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</si>
  <si>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</si>
  <si>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</si>
  <si>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</si>
  <si>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</si>
  <si>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</si>
  <si>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</si>
  <si>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</si>
  <si>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</si>
  <si>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</si>
  <si>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</si>
  <si>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</si>
  <si>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</si>
  <si>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</si>
  <si>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</si>
  <si>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</si>
  <si>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</si>
  <si>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</si>
  <si>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</si>
  <si>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</si>
  <si>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</si>
  <si>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</si>
  <si>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</si>
  <si>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</si>
  <si>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</si>
  <si>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</si>
  <si>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</si>
  <si>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</si>
  <si>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</si>
  <si>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</si>
  <si>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</si>
  <si>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</si>
  <si>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</si>
  <si>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</si>
  <si>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</si>
  <si>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</si>
  <si>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</si>
  <si>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</si>
  <si>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</si>
  <si>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</si>
  <si>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</si>
  <si>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</si>
  <si>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</si>
  <si>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</si>
  <si>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</si>
  <si>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</si>
  <si>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</si>
  <si>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</si>
  <si>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</si>
  <si>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</si>
  <si>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</si>
  <si>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</si>
  <si>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</si>
  <si>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</si>
  <si>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</si>
  <si>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</si>
  <si>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</si>
  <si>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</si>
  <si>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</si>
  <si>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</si>
  <si>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</si>
  <si>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</si>
  <si>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</si>
  <si>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</si>
  <si>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</si>
  <si>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</si>
  <si>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</si>
  <si>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</si>
  <si>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</si>
  <si>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</si>
  <si>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</si>
  <si>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</si>
  <si>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</si>
  <si>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</si>
  <si>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</si>
  <si>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</si>
  <si>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</si>
  <si>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</si>
  <si>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</si>
  <si>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</si>
  <si>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</si>
  <si>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</si>
  <si>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</si>
  <si>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</si>
  <si>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</si>
  <si>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</si>
  <si>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</si>
  <si>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</si>
  <si>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</si>
  <si>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</si>
  <si>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</si>
  <si>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</si>
  <si>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</si>
  <si>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</si>
  <si>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</si>
  <si>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</si>
  <si>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</si>
  <si>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</si>
  <si>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</si>
  <si>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</si>
  <si>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</si>
  <si>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</si>
  <si>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</si>
  <si>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</si>
  <si>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</si>
  <si>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</si>
  <si>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</si>
  <si>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</si>
  <si>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</si>
  <si>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</si>
  <si>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</si>
  <si>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</si>
  <si>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</si>
  <si>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</si>
  <si>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</si>
  <si>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</si>
  <si>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</si>
  <si>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</si>
  <si>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</si>
  <si>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</si>
  <si>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</si>
  <si>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</si>
  <si>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</si>
  <si>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</si>
  <si>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</si>
  <si>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</si>
  <si>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</si>
  <si>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</si>
  <si>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</si>
  <si>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</si>
  <si>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</si>
  <si>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</si>
  <si>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</si>
  <si>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</si>
  <si>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</si>
  <si>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</si>
  <si>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</si>
  <si>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</si>
  <si>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</si>
  <si>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</si>
  <si>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</si>
  <si>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</si>
  <si>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</si>
  <si>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</si>
  <si>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</si>
  <si>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</si>
  <si>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</si>
  <si>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</si>
  <si>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</si>
  <si>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</si>
  <si>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</si>
  <si>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</si>
  <si>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</si>
  <si>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</si>
  <si>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</si>
  <si>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</si>
  <si>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</si>
  <si>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</si>
  <si>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</si>
  <si>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</si>
  <si>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</si>
  <si>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</si>
  <si>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</si>
  <si>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</si>
  <si>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</si>
  <si>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</si>
  <si>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</si>
  <si>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</si>
  <si>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</si>
  <si>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</si>
  <si>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</si>
  <si>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</si>
  <si>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</si>
  <si>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</si>
  <si>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</si>
  <si>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</si>
  <si>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</si>
  <si>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</si>
  <si>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</si>
  <si>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</si>
  <si>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</si>
  <si>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</si>
  <si>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</si>
  <si>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</si>
  <si>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</si>
  <si>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</si>
  <si>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</si>
  <si>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</si>
  <si>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</si>
  <si>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</si>
  <si>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</si>
  <si>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</si>
  <si>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</si>
  <si>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</si>
  <si>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</si>
  <si>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</si>
  <si>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</si>
  <si>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</si>
  <si>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</si>
  <si>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</si>
  <si>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</si>
  <si>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</si>
  <si>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</si>
  <si>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</si>
  <si>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</si>
  <si>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</si>
  <si>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</si>
  <si>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</si>
  <si>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</si>
  <si>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</si>
  <si>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</si>
  <si>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</si>
  <si>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</si>
  <si>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</si>
  <si>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</si>
  <si>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</si>
  <si>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</si>
  <si>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</si>
  <si>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</si>
  <si>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</si>
  <si>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</si>
  <si>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</si>
  <si>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</si>
  <si>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</si>
  <si>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</si>
  <si>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</si>
  <si>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</si>
  <si>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</si>
  <si>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</si>
  <si>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</si>
  <si>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</si>
  <si>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</si>
  <si>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</si>
  <si>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</si>
  <si>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</si>
  <si>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</si>
  <si>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</si>
  <si>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</si>
  <si>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</si>
  <si>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</si>
  <si>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</si>
  <si>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</si>
  <si>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</si>
  <si>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</si>
  <si>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</si>
  <si>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</si>
  <si>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</si>
  <si>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</si>
  <si>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</si>
  <si>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</si>
  <si>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</si>
  <si>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</si>
  <si>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</si>
  <si>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</si>
  <si>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</si>
  <si>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</si>
  <si>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</si>
  <si>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</si>
  <si>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</si>
  <si>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</si>
  <si>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</si>
  <si>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</si>
  <si>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</si>
  <si>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</si>
  <si>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</si>
  <si>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</si>
  <si>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</si>
  <si>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</si>
  <si>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</si>
  <si>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</si>
  <si>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</si>
  <si>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</si>
  <si>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</si>
  <si>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</si>
  <si>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</si>
  <si>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</si>
  <si>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</si>
  <si>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</si>
  <si>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</si>
  <si>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</si>
  <si>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</si>
  <si>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</si>
  <si>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</si>
  <si>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</si>
  <si>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</si>
  <si>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</si>
  <si>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</si>
  <si>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</si>
  <si>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</si>
  <si>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</si>
  <si>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</si>
  <si>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</si>
  <si>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</si>
  <si>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</si>
  <si>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</si>
  <si>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</si>
  <si>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</si>
  <si>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</si>
  <si>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</si>
  <si>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</si>
  <si>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</si>
  <si>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</si>
  <si>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</si>
  <si>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</si>
  <si>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</si>
  <si>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</si>
  <si>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</si>
  <si>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</si>
  <si>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</si>
  <si>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</si>
  <si>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</si>
  <si>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</si>
  <si>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</si>
  <si>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</si>
  <si>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</si>
  <si>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</si>
  <si>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</si>
  <si>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</si>
  <si>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</si>
  <si>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</si>
  <si>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</si>
  <si>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</si>
  <si>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</si>
  <si>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</si>
  <si>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</si>
  <si>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</si>
  <si>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</si>
  <si>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</si>
  <si>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</si>
  <si>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</si>
  <si>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</si>
  <si>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</si>
  <si>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</si>
  <si>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</si>
  <si>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</si>
  <si>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</si>
  <si>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</si>
  <si>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</si>
  <si>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</si>
  <si>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</si>
  <si>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</si>
  <si>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</si>
  <si>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</si>
  <si>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</si>
  <si>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</si>
  <si>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</si>
  <si>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</si>
  <si>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</si>
  <si>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</si>
  <si>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</si>
  <si>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</si>
  <si>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</si>
  <si>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</si>
  <si>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</si>
  <si>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</si>
  <si>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</si>
  <si>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</si>
  <si>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</si>
  <si>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</si>
  <si>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</si>
  <si>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</si>
  <si>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</si>
  <si>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</si>
  <si>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</si>
  <si>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</si>
  <si>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</si>
  <si>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</si>
  <si>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</si>
  <si>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</si>
  <si>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</si>
  <si>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</si>
  <si>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</si>
  <si>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</si>
  <si>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</si>
  <si>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</si>
  <si>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</si>
  <si>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</si>
  <si>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</si>
  <si>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</si>
  <si>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</si>
  <si>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</si>
  <si>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</si>
  <si>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</si>
  <si>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</si>
  <si>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</si>
  <si>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</si>
  <si>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</si>
  <si>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</si>
  <si>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</si>
  <si>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</si>
  <si>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</si>
  <si>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</si>
  <si>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</si>
  <si>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</si>
  <si>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</si>
  <si>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</si>
  <si>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</si>
  <si>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</si>
  <si>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</si>
  <si>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</si>
  <si>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</si>
  <si>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</si>
  <si>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</si>
  <si>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</si>
  <si>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</si>
  <si>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</si>
  <si>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</si>
  <si>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</si>
  <si>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</si>
  <si>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</si>
  <si>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</si>
  <si>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</si>
  <si>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</si>
  <si>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</si>
  <si>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</si>
  <si>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</si>
  <si>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</si>
  <si>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</si>
  <si>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</si>
  <si>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</si>
  <si>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</si>
  <si>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</si>
  <si>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</si>
  <si>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</si>
  <si>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</si>
  <si>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</si>
  <si>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</si>
  <si>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</si>
  <si>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</si>
  <si>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</si>
  <si>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</si>
  <si>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</si>
  <si>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</si>
  <si>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</si>
  <si>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</si>
  <si>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</si>
  <si>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</si>
  <si>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</si>
  <si>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</si>
  <si>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</si>
  <si>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</si>
  <si>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</si>
  <si>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</si>
  <si>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</si>
  <si>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</si>
  <si>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</si>
  <si>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</si>
  <si>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</si>
  <si>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</si>
  <si>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</si>
  <si>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</si>
  <si>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</si>
  <si>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</si>
  <si>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</si>
  <si>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</si>
  <si>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</si>
  <si>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</si>
  <si>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</si>
  <si>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</si>
  <si>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</si>
  <si>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</si>
  <si>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</si>
  <si>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</si>
  <si>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</si>
  <si>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</si>
  <si>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</si>
  <si>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</si>
  <si>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</si>
  <si>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</si>
  <si>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</si>
  <si>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</si>
  <si>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</si>
  <si>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</si>
  <si>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</si>
  <si>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</si>
  <si>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</si>
  <si>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</si>
  <si>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</si>
  <si>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</si>
  <si>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</si>
  <si>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</si>
  <si>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</si>
  <si>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</si>
  <si>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</si>
  <si>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</si>
  <si>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</si>
  <si>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</si>
  <si>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</si>
  <si>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</si>
  <si>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</si>
  <si>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</si>
  <si>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</si>
  <si>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</si>
  <si>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</si>
  <si>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</si>
  <si>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</si>
  <si>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</si>
  <si>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</si>
  <si>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</si>
  <si>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</si>
  <si>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</si>
  <si>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</si>
  <si>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</si>
  <si>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</si>
  <si>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</si>
  <si>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</si>
  <si>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</si>
  <si>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</si>
  <si>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</si>
  <si>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</si>
  <si>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</si>
  <si>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</si>
  <si>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</si>
  <si>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</si>
  <si>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</si>
  <si>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</si>
  <si>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</si>
  <si>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</si>
  <si>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</si>
  <si>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</si>
  <si>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</si>
  <si>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</si>
  <si>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</si>
  <si>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</si>
  <si>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</si>
  <si>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</si>
  <si>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</si>
  <si>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</si>
  <si>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</si>
  <si>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</si>
  <si>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</si>
  <si>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</si>
  <si>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</si>
  <si>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</si>
  <si>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</si>
  <si>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</si>
  <si>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</si>
  <si>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</si>
  <si>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</si>
  <si>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</si>
  <si>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</si>
  <si>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</si>
  <si>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</si>
  <si>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</si>
  <si>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</si>
  <si>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</si>
  <si>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</si>
  <si>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</si>
  <si>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</si>
  <si>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</si>
  <si>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</si>
  <si>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</si>
  <si>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</si>
  <si>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</si>
  <si>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</si>
  <si>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</si>
  <si>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</si>
  <si>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</si>
  <si>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</si>
  <si>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</si>
  <si>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</si>
  <si>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</si>
  <si>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</si>
  <si>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</si>
  <si>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</si>
  <si>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</si>
  <si>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</si>
  <si>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</si>
  <si>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</si>
  <si>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</si>
  <si>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</si>
  <si>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</si>
  <si>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</si>
  <si>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</si>
  <si>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</si>
  <si>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</si>
  <si>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</si>
  <si>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</si>
  <si>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</si>
  <si>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</si>
  <si>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</si>
  <si>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</si>
  <si>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</si>
  <si>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</si>
  <si>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</si>
  <si>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</si>
  <si>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</si>
  <si>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</si>
  <si>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</si>
  <si>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</si>
  <si>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</si>
  <si>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</si>
  <si>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</si>
  <si>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</si>
  <si>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</si>
  <si>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</si>
  <si>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</si>
  <si>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</si>
  <si>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</si>
  <si>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</si>
  <si>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</si>
  <si>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</si>
  <si>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</si>
  <si>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</si>
  <si>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</si>
  <si>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</si>
  <si>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</si>
  <si>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</si>
  <si>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</si>
  <si>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</si>
  <si>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</si>
  <si>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</si>
  <si>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</si>
  <si>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</si>
  <si>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</si>
  <si>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</si>
  <si>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</si>
  <si>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</si>
  <si>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</si>
  <si>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</si>
  <si>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</si>
  <si>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</si>
  <si>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</si>
  <si>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</si>
  <si>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</si>
  <si>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</si>
  <si>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</si>
  <si>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</si>
  <si>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</si>
  <si>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</si>
  <si>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</si>
  <si>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</si>
  <si>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</si>
  <si>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</si>
  <si>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</si>
  <si>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</si>
  <si>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</si>
  <si>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</si>
  <si>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</si>
  <si>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</si>
  <si>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</si>
  <si>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</si>
  <si>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</si>
  <si>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</si>
  <si>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</si>
  <si>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</si>
  <si>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</si>
  <si>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</si>
  <si>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</si>
  <si>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</si>
  <si>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</si>
  <si>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</si>
  <si>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</si>
  <si>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</si>
  <si>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</si>
  <si>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</si>
  <si>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</si>
  <si>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</si>
  <si>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</si>
  <si>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</si>
  <si>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</si>
  <si>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</si>
  <si>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</si>
  <si>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</si>
  <si>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</si>
  <si>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</si>
  <si>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</si>
  <si>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</si>
  <si>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</si>
  <si>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</si>
  <si>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</si>
  <si>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</si>
  <si>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</si>
  <si>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</si>
  <si>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</si>
  <si>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</si>
  <si>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</si>
  <si>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</si>
  <si>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</si>
  <si>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</si>
  <si>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</si>
  <si>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</si>
  <si>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</si>
  <si>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</si>
  <si>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</si>
  <si>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</si>
  <si>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</si>
  <si>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</si>
  <si>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</si>
  <si>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</si>
  <si>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</si>
  <si>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</si>
  <si>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</si>
  <si>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</si>
  <si>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</si>
  <si>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</si>
  <si>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</si>
  <si>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</si>
  <si>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</si>
  <si>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</si>
  <si>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</si>
  <si>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</si>
  <si>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</si>
  <si>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</si>
  <si>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</si>
  <si>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</si>
  <si>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</si>
  <si>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</si>
  <si>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</si>
  <si>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</si>
  <si>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</si>
  <si>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</si>
  <si>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</si>
  <si>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</si>
  <si>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</si>
  <si>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</si>
  <si>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</si>
  <si>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</si>
  <si>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</si>
  <si>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</si>
  <si>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</si>
  <si>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</si>
  <si>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</si>
  <si>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</si>
  <si>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</si>
  <si>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</si>
  <si>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</si>
  <si>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</si>
  <si>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</si>
  <si>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</si>
  <si>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</si>
  <si>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</si>
  <si>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</si>
  <si>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</si>
  <si>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</si>
  <si>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</si>
  <si>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</si>
  <si>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</si>
  <si>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</si>
  <si>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</si>
  <si>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</si>
  <si>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</si>
  <si>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</si>
  <si>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</si>
  <si>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</si>
  <si>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</si>
  <si>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</si>
  <si>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</si>
  <si>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</si>
  <si>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</si>
  <si>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</si>
  <si>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</si>
  <si>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</si>
  <si>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</si>
  <si>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</si>
  <si>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</si>
  <si>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</si>
  <si>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</si>
  <si>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</si>
  <si>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</si>
  <si>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</si>
  <si>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</si>
  <si>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</si>
  <si>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</si>
  <si>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</si>
  <si>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</si>
  <si>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</si>
  <si>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</si>
  <si>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</si>
  <si>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</si>
  <si>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</si>
  <si>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</si>
  <si>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</si>
  <si>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</si>
  <si>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</si>
  <si>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</si>
  <si>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</si>
  <si>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</si>
  <si>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</si>
  <si>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</si>
  <si>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</si>
  <si>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</si>
  <si>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</si>
  <si>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</si>
  <si>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</si>
  <si>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</si>
  <si>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</si>
  <si>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</si>
  <si>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</si>
  <si>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</si>
  <si>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</si>
  <si>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</si>
  <si>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</si>
  <si>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</si>
  <si>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</si>
  <si>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</si>
  <si>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</si>
  <si>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</si>
  <si>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</si>
  <si>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</si>
  <si>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</si>
  <si>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</si>
  <si>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</si>
  <si>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</si>
  <si>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</si>
  <si>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</si>
  <si>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</si>
  <si>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</si>
  <si>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</si>
  <si>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</si>
  <si>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</si>
  <si>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</si>
  <si>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</si>
  <si>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</si>
  <si>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</si>
  <si>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</si>
  <si>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</si>
  <si>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</si>
  <si>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</si>
  <si>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</si>
  <si>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</si>
  <si>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</si>
  <si>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</si>
  <si>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</si>
  <si>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</si>
  <si>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</si>
  <si>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</si>
  <si>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</si>
  <si>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</si>
  <si>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</si>
  <si>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</si>
  <si>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</si>
  <si>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</si>
  <si>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</si>
  <si>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</si>
  <si>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</si>
  <si>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</si>
  <si>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</si>
  <si>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</si>
  <si>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</si>
  <si>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</si>
  <si>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</si>
  <si>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</si>
  <si>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</si>
  <si>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</si>
  <si>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</si>
  <si>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</si>
  <si>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</si>
  <si>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</si>
  <si>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</si>
  <si>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</si>
  <si>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</si>
  <si>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</si>
  <si>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</si>
  <si>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</si>
  <si>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</si>
  <si>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</si>
  <si>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</si>
  <si>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</si>
  <si>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</si>
  <si>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</si>
  <si>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</si>
  <si>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</si>
  <si>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</si>
  <si>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</si>
  <si>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</si>
  <si>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</si>
  <si>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</si>
  <si>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</si>
  <si>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</si>
  <si>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</si>
  <si>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</si>
  <si>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</si>
  <si>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</si>
  <si>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</si>
  <si>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</si>
  <si>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</si>
  <si>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</si>
  <si>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</si>
  <si>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</si>
  <si>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</si>
  <si>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</si>
  <si>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</si>
  <si>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</si>
  <si>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</si>
  <si>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</si>
  <si>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</si>
  <si>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</si>
  <si>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</si>
  <si>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</si>
  <si>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</si>
  <si>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</si>
  <si>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</si>
  <si>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</si>
  <si>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</si>
  <si>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</si>
  <si>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</si>
  <si>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</si>
  <si>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</si>
  <si>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</si>
  <si>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</si>
  <si>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</si>
  <si>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</si>
  <si>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</si>
  <si>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</si>
  <si>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</si>
  <si>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</si>
  <si>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</si>
  <si>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</si>
  <si>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</si>
  <si>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</si>
  <si>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</si>
  <si>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</si>
  <si>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</si>
  <si>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</si>
  <si>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</si>
  <si>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</si>
  <si>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</si>
  <si>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</si>
  <si>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</si>
  <si>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</si>
  <si>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</si>
  <si>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</si>
  <si>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</si>
  <si>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</si>
  <si>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</si>
  <si>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</si>
  <si>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</si>
  <si>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</si>
  <si>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</si>
  <si>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</si>
  <si>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</si>
  <si>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</si>
  <si>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</si>
  <si>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</si>
  <si>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</si>
  <si>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</si>
  <si>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</si>
  <si>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</si>
  <si>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</si>
  <si>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</si>
  <si>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</si>
  <si>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</si>
  <si>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</si>
  <si>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</si>
  <si>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</si>
  <si>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</si>
  <si>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</si>
  <si>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</si>
  <si>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</si>
  <si>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</si>
  <si>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</si>
  <si>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</si>
  <si>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</si>
  <si>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</si>
  <si>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</si>
  <si>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</si>
  <si>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</si>
  <si>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</si>
  <si>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</si>
  <si>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</si>
  <si>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</si>
  <si>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</si>
  <si>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</si>
  <si>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</si>
  <si>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</si>
  <si>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</si>
  <si>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</si>
  <si>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</si>
  <si>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</si>
  <si>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</si>
  <si>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</si>
  <si>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</si>
  <si>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</si>
  <si>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</si>
  <si>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</si>
  <si>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</si>
  <si>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</si>
  <si>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</si>
  <si>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</si>
  <si>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</si>
  <si>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</si>
  <si>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</si>
  <si>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</si>
  <si>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</si>
  <si>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</si>
  <si>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</si>
  <si>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</si>
  <si>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</si>
  <si>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</si>
  <si>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</si>
  <si>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</si>
  <si>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</si>
  <si>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</si>
  <si>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</si>
  <si>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</si>
  <si>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</si>
  <si>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</si>
  <si>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</si>
  <si>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</si>
  <si>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</si>
  <si>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</si>
  <si>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</si>
  <si>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</si>
  <si>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</si>
  <si>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</si>
  <si>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</si>
  <si>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</si>
  <si>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</si>
  <si>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</si>
  <si>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</si>
  <si>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</si>
  <si>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</si>
  <si>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</si>
  <si>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</si>
  <si>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</si>
  <si>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</si>
  <si>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</si>
  <si>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</si>
  <si>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</si>
  <si>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</si>
  <si>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</si>
  <si>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</si>
  <si>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</si>
  <si>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</si>
  <si>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</si>
  <si>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</si>
  <si>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</si>
  <si>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</si>
  <si>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</si>
  <si>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</si>
  <si>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</si>
  <si>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</si>
  <si>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</si>
  <si>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</si>
  <si>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</si>
  <si>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</si>
  <si>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</si>
  <si>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</si>
  <si>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</si>
  <si>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</si>
  <si>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</si>
  <si>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</si>
  <si>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</si>
  <si>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</si>
  <si>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</si>
  <si>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</si>
  <si>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</si>
  <si>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</si>
  <si>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</si>
  <si>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</si>
  <si>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</si>
  <si>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</si>
  <si>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</si>
  <si>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</si>
  <si>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</si>
  <si>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</si>
  <si>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</si>
  <si>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</si>
  <si>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</si>
  <si>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</si>
  <si>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</si>
  <si>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</si>
  <si>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</si>
  <si>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</si>
  <si>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</si>
  <si>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</si>
  <si>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</si>
  <si>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</si>
  <si>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</si>
  <si>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</si>
  <si>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</si>
  <si>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</si>
  <si>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</si>
  <si>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</si>
  <si>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</si>
  <si>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</si>
  <si>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</si>
  <si>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</si>
  <si>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</si>
  <si>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</si>
  <si>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</si>
  <si>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</si>
  <si>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</si>
  <si>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</si>
  <si>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</si>
  <si>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</si>
  <si>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</si>
  <si>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</si>
  <si>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</si>
  <si>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</si>
  <si>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</si>
  <si>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</si>
  <si>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</si>
  <si>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</si>
  <si>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</si>
  <si>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</si>
  <si>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</si>
  <si>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</si>
  <si>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</si>
  <si>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&gt;=$239,200</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</si>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</sst>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workbookViewId="0"/>
  </sheetViews>
  <sheetFormatPr defaultRowHeight="14.5" x14ac:dyDescent="0.35"/>
  <cols>
    <col min="1" max="1" width="102.26953125" bestFit="1" customWidth="1"/>
  </cols>
  <sheetData>
    <row r="1" spans="1:1" x14ac:dyDescent="0.35">
      <c r="A1" s="9" t="s">
        <v>5390</v>
      </c>
    </row>
    <row r="2" spans="1:1" x14ac:dyDescent="0.35">
      <c r="A2" s="10" t="s">
        <v>4907</v>
      </c>
    </row>
    <row r="3" spans="1:1" x14ac:dyDescent="0.35">
      <c r="A3" s="11" t="s">
        <v>4908</v>
      </c>
    </row>
    <row r="4" spans="1:1" x14ac:dyDescent="0.35">
      <c r="A4" s="11" t="s">
        <v>4909</v>
      </c>
    </row>
    <row r="5" spans="1:1" x14ac:dyDescent="0.35">
      <c r="A5" s="11" t="s">
        <v>4910</v>
      </c>
    </row>
    <row r="6" spans="1:1" x14ac:dyDescent="0.35">
      <c r="A6" s="12" t="s">
        <v>4911</v>
      </c>
    </row>
    <row r="7" spans="1:1" x14ac:dyDescent="0.35">
      <c r="A7" s="11" t="s">
        <v>4912</v>
      </c>
    </row>
    <row r="8" spans="1:1" x14ac:dyDescent="0.35">
      <c r="A8" s="13" t="s">
        <v>4914</v>
      </c>
    </row>
    <row r="9" spans="1:1" x14ac:dyDescent="0.35">
      <c r="A9" s="14" t="s">
        <v>2370</v>
      </c>
    </row>
    <row r="10" spans="1:1" x14ac:dyDescent="0.35">
      <c r="A10" s="14" t="s">
        <v>2372</v>
      </c>
    </row>
    <row r="11" spans="1:1" x14ac:dyDescent="0.35">
      <c r="A11" s="11" t="s">
        <v>4915</v>
      </c>
    </row>
    <row r="12" spans="1:1" x14ac:dyDescent="0.35">
      <c r="A12" s="11" t="s">
        <v>4913</v>
      </c>
    </row>
    <row r="13" spans="1:1" x14ac:dyDescent="0.35">
      <c r="A13" s="11" t="s">
        <v>3266</v>
      </c>
    </row>
    <row r="14" spans="1:1" x14ac:dyDescent="0.35">
      <c r="A14" s="10" t="s">
        <v>4917</v>
      </c>
    </row>
    <row r="15" spans="1:1" x14ac:dyDescent="0.35">
      <c r="A15" s="12" t="s">
        <v>4906</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defaultRowHeight="14.5" x14ac:dyDescent="0.35"/>
  <cols>
    <col min="1" max="1" width="60" customWidth="1"/>
    <col min="2" max="4" width="15" customWidth="1"/>
    <col min="5" max="5" width="30" customWidth="1"/>
  </cols>
  <sheetData>
    <row r="1" spans="1:5" x14ac:dyDescent="0.35">
      <c r="A1" s="1" t="s">
        <v>2372</v>
      </c>
    </row>
    <row r="2" spans="1:5" ht="39.5" x14ac:dyDescent="0.35">
      <c r="A2" s="2" t="s">
        <v>0</v>
      </c>
      <c r="B2" s="2" t="s">
        <v>1</v>
      </c>
      <c r="C2" s="2" t="s">
        <v>2373</v>
      </c>
      <c r="D2" s="2" t="s">
        <v>2374</v>
      </c>
      <c r="E2" s="2" t="s">
        <v>2371</v>
      </c>
    </row>
    <row r="3" spans="1:5" x14ac:dyDescent="0.35">
      <c r="A3" s="3" t="s">
        <v>2375</v>
      </c>
      <c r="B3" s="3" t="s">
        <v>2376</v>
      </c>
      <c r="C3" s="3" t="s">
        <v>60</v>
      </c>
      <c r="D3" s="3" t="s">
        <v>2352</v>
      </c>
      <c r="E3" s="7" t="str">
        <f>HYPERLINK("https://data.bls.gov/projections/nationalMatrix?queryParams=TE1000&amp;ioType=i", "Projections for TE1000")</f>
        <v>Projections for TE1000</v>
      </c>
    </row>
    <row r="4" spans="1:5" x14ac:dyDescent="0.35">
      <c r="A4" s="3" t="s">
        <v>2377</v>
      </c>
      <c r="B4" s="3" t="s">
        <v>2378</v>
      </c>
      <c r="C4" s="3" t="s">
        <v>65</v>
      </c>
      <c r="D4" s="3" t="s">
        <v>2352</v>
      </c>
      <c r="E4" s="7" t="str">
        <f>HYPERLINK("https://data.bls.gov/projections/nationalMatrix?queryParams=TE1100&amp;ioType=i", "Projections for TE1100")</f>
        <v>Projections for TE1100</v>
      </c>
    </row>
    <row r="5" spans="1:5" x14ac:dyDescent="0.35">
      <c r="A5" s="3" t="s">
        <v>2379</v>
      </c>
      <c r="B5" s="3" t="s">
        <v>2380</v>
      </c>
      <c r="C5" s="3" t="s">
        <v>60</v>
      </c>
      <c r="D5" s="3" t="s">
        <v>2352</v>
      </c>
      <c r="E5" s="7" t="str">
        <f>HYPERLINK("https://data.bls.gov/projections/nationalMatrix?queryParams=TE1200&amp;ioType=i", "Projections for TE1200")</f>
        <v>Projections for TE1200</v>
      </c>
    </row>
    <row r="6" spans="1:5" x14ac:dyDescent="0.35">
      <c r="A6" s="3" t="s">
        <v>2381</v>
      </c>
      <c r="B6" s="3" t="s">
        <v>2382</v>
      </c>
      <c r="C6" s="3" t="s">
        <v>60</v>
      </c>
      <c r="D6" s="3" t="s">
        <v>2382</v>
      </c>
      <c r="E6" s="7" t="str">
        <f>HYPERLINK("https://data.bls.gov/projections/nationalMatrix?queryParams=110000&amp;ioType=i", "Projections for 110000")</f>
        <v>Projections for 110000</v>
      </c>
    </row>
    <row r="7" spans="1:5" x14ac:dyDescent="0.35">
      <c r="A7" s="3" t="s">
        <v>2383</v>
      </c>
      <c r="B7" s="3" t="s">
        <v>2384</v>
      </c>
      <c r="C7" s="3" t="s">
        <v>65</v>
      </c>
      <c r="D7" s="3" t="s">
        <v>2384</v>
      </c>
      <c r="E7" s="7" t="str">
        <f>HYPERLINK("https://data.bls.gov/projections/nationalMatrix?queryParams=111000&amp;ioType=i", "Projections for 111000")</f>
        <v>Projections for 111000</v>
      </c>
    </row>
    <row r="8" spans="1:5" x14ac:dyDescent="0.35">
      <c r="A8" s="3" t="s">
        <v>2385</v>
      </c>
      <c r="B8" s="3" t="s">
        <v>2386</v>
      </c>
      <c r="C8" s="3" t="s">
        <v>65</v>
      </c>
      <c r="D8" s="3" t="s">
        <v>2386</v>
      </c>
      <c r="E8" s="7" t="str">
        <f>HYPERLINK("https://data.bls.gov/projections/nationalMatrix?queryParams=112000&amp;ioType=i", "Projections for 112000")</f>
        <v>Projections for 112000</v>
      </c>
    </row>
    <row r="9" spans="1:5" x14ac:dyDescent="0.35">
      <c r="A9" s="3" t="s">
        <v>2387</v>
      </c>
      <c r="B9" s="3" t="s">
        <v>2388</v>
      </c>
      <c r="C9" s="3" t="s">
        <v>60</v>
      </c>
      <c r="D9" s="3" t="s">
        <v>2388</v>
      </c>
      <c r="E9" s="7" t="str">
        <f>HYPERLINK("https://data.bls.gov/projections/nationalMatrix?queryParams=113000&amp;ioType=i", "Projections for 113000")</f>
        <v>Projections for 113000</v>
      </c>
    </row>
    <row r="10" spans="1:5" x14ac:dyDescent="0.35">
      <c r="A10" s="3" t="s">
        <v>2389</v>
      </c>
      <c r="B10" s="3" t="s">
        <v>2390</v>
      </c>
      <c r="C10" s="3" t="s">
        <v>65</v>
      </c>
      <c r="D10" s="3" t="s">
        <v>2391</v>
      </c>
      <c r="E10" s="7" t="str">
        <f>HYPERLINK("https://data.bls.gov/projections/nationalMatrix?queryParams=1131-2&amp;ioType=i", "Projections for 1131-2")</f>
        <v>Projections for 1131-2</v>
      </c>
    </row>
    <row r="11" spans="1:5" x14ac:dyDescent="0.35">
      <c r="A11" s="3" t="s">
        <v>2392</v>
      </c>
      <c r="B11" s="3" t="s">
        <v>2393</v>
      </c>
      <c r="C11" s="3" t="s">
        <v>65</v>
      </c>
      <c r="D11" s="3" t="s">
        <v>2393</v>
      </c>
      <c r="E11" s="7" t="str">
        <f>HYPERLINK("https://data.bls.gov/projections/nationalMatrix?queryParams=113300&amp;ioType=i", "Projections for 113300")</f>
        <v>Projections for 113300</v>
      </c>
    </row>
    <row r="12" spans="1:5" x14ac:dyDescent="0.35">
      <c r="A12" s="3" t="s">
        <v>2394</v>
      </c>
      <c r="B12" s="3" t="s">
        <v>2395</v>
      </c>
      <c r="C12" s="3" t="s">
        <v>65</v>
      </c>
      <c r="D12" s="3" t="s">
        <v>2395</v>
      </c>
      <c r="E12" s="7" t="str">
        <f>HYPERLINK("https://data.bls.gov/projections/nationalMatrix?queryParams=114000&amp;ioType=i", "Projections for 114000")</f>
        <v>Projections for 114000</v>
      </c>
    </row>
    <row r="13" spans="1:5" x14ac:dyDescent="0.35">
      <c r="A13" s="3" t="s">
        <v>2396</v>
      </c>
      <c r="B13" s="3" t="s">
        <v>2397</v>
      </c>
      <c r="C13" s="3" t="s">
        <v>65</v>
      </c>
      <c r="D13" s="3" t="s">
        <v>2397</v>
      </c>
      <c r="E13" s="7" t="str">
        <f>HYPERLINK("https://data.bls.gov/projections/nationalMatrix?queryParams=115000&amp;ioType=i", "Projections for 115000")</f>
        <v>Projections for 115000</v>
      </c>
    </row>
    <row r="14" spans="1:5" x14ac:dyDescent="0.35">
      <c r="A14" s="3" t="s">
        <v>2398</v>
      </c>
      <c r="B14" s="3" t="s">
        <v>2399</v>
      </c>
      <c r="C14" s="3" t="s">
        <v>60</v>
      </c>
      <c r="D14" s="3" t="s">
        <v>2399</v>
      </c>
      <c r="E14" s="7" t="str">
        <f>HYPERLINK("https://data.bls.gov/projections/nationalMatrix?queryParams=210000&amp;ioType=i", "Projections for 210000")</f>
        <v>Projections for 210000</v>
      </c>
    </row>
    <row r="15" spans="1:5" x14ac:dyDescent="0.35">
      <c r="A15" s="3" t="s">
        <v>2400</v>
      </c>
      <c r="B15" s="3" t="s">
        <v>2401</v>
      </c>
      <c r="C15" s="3" t="s">
        <v>65</v>
      </c>
      <c r="D15" s="3" t="s">
        <v>2401</v>
      </c>
      <c r="E15" s="7" t="str">
        <f>HYPERLINK("https://data.bls.gov/projections/nationalMatrix?queryParams=211000&amp;ioType=i", "Projections for 211000")</f>
        <v>Projections for 211000</v>
      </c>
    </row>
    <row r="16" spans="1:5" x14ac:dyDescent="0.35">
      <c r="A16" s="3" t="s">
        <v>2402</v>
      </c>
      <c r="B16" s="3" t="s">
        <v>2403</v>
      </c>
      <c r="C16" s="3" t="s">
        <v>60</v>
      </c>
      <c r="D16" s="3" t="s">
        <v>2403</v>
      </c>
      <c r="E16" s="7" t="str">
        <f>HYPERLINK("https://data.bls.gov/projections/nationalMatrix?queryParams=212000&amp;ioType=i", "Projections for 212000")</f>
        <v>Projections for 212000</v>
      </c>
    </row>
    <row r="17" spans="1:5" x14ac:dyDescent="0.35">
      <c r="A17" s="3" t="s">
        <v>2404</v>
      </c>
      <c r="B17" s="3" t="s">
        <v>2405</v>
      </c>
      <c r="C17" s="3" t="s">
        <v>65</v>
      </c>
      <c r="D17" s="3" t="s">
        <v>2405</v>
      </c>
      <c r="E17" s="7" t="str">
        <f>HYPERLINK("https://data.bls.gov/projections/nationalMatrix?queryParams=212100&amp;ioType=i", "Projections for 212100")</f>
        <v>Projections for 212100</v>
      </c>
    </row>
    <row r="18" spans="1:5" x14ac:dyDescent="0.35">
      <c r="A18" s="3" t="s">
        <v>2406</v>
      </c>
      <c r="B18" s="3" t="s">
        <v>2407</v>
      </c>
      <c r="C18" s="3" t="s">
        <v>65</v>
      </c>
      <c r="D18" s="3" t="s">
        <v>2407</v>
      </c>
      <c r="E18" s="7" t="str">
        <f>HYPERLINK("https://data.bls.gov/projections/nationalMatrix?queryParams=212200&amp;ioType=i", "Projections for 212200")</f>
        <v>Projections for 212200</v>
      </c>
    </row>
    <row r="19" spans="1:5" x14ac:dyDescent="0.35">
      <c r="A19" s="3" t="s">
        <v>2408</v>
      </c>
      <c r="B19" s="3" t="s">
        <v>2409</v>
      </c>
      <c r="C19" s="3" t="s">
        <v>65</v>
      </c>
      <c r="D19" s="3" t="s">
        <v>2409</v>
      </c>
      <c r="E19" s="7" t="str">
        <f>HYPERLINK("https://data.bls.gov/projections/nationalMatrix?queryParams=212300&amp;ioType=i", "Projections for 212300")</f>
        <v>Projections for 212300</v>
      </c>
    </row>
    <row r="20" spans="1:5" x14ac:dyDescent="0.35">
      <c r="A20" s="3" t="s">
        <v>2410</v>
      </c>
      <c r="B20" s="3" t="s">
        <v>2411</v>
      </c>
      <c r="C20" s="3" t="s">
        <v>65</v>
      </c>
      <c r="D20" s="3" t="s">
        <v>2411</v>
      </c>
      <c r="E20" s="7" t="str">
        <f>HYPERLINK("https://data.bls.gov/projections/nationalMatrix?queryParams=213000&amp;ioType=i", "Projections for 213000")</f>
        <v>Projections for 213000</v>
      </c>
    </row>
    <row r="21" spans="1:5" x14ac:dyDescent="0.35">
      <c r="A21" s="3" t="s">
        <v>2412</v>
      </c>
      <c r="B21" s="3" t="s">
        <v>2413</v>
      </c>
      <c r="C21" s="3" t="s">
        <v>60</v>
      </c>
      <c r="D21" s="3" t="s">
        <v>2413</v>
      </c>
      <c r="E21" s="7" t="str">
        <f>HYPERLINK("https://data.bls.gov/projections/nationalMatrix?queryParams=220000&amp;ioType=i", "Projections for 220000")</f>
        <v>Projections for 220000</v>
      </c>
    </row>
    <row r="22" spans="1:5" x14ac:dyDescent="0.35">
      <c r="A22" s="3" t="s">
        <v>2414</v>
      </c>
      <c r="B22" s="3" t="s">
        <v>2415</v>
      </c>
      <c r="C22" s="3" t="s">
        <v>60</v>
      </c>
      <c r="D22" s="3" t="s">
        <v>2415</v>
      </c>
      <c r="E22" s="7" t="str">
        <f>HYPERLINK("https://data.bls.gov/projections/nationalMatrix?queryParams=221000&amp;ioType=i", "Projections for 221000")</f>
        <v>Projections for 221000</v>
      </c>
    </row>
    <row r="23" spans="1:5" x14ac:dyDescent="0.35">
      <c r="A23" s="3" t="s">
        <v>2416</v>
      </c>
      <c r="B23" s="3" t="s">
        <v>2417</v>
      </c>
      <c r="C23" s="3" t="s">
        <v>60</v>
      </c>
      <c r="D23" s="3" t="s">
        <v>2417</v>
      </c>
      <c r="E23" s="7" t="str">
        <f>HYPERLINK("https://data.bls.gov/projections/nationalMatrix?queryParams=221100&amp;ioType=i", "Projections for 221100")</f>
        <v>Projections for 221100</v>
      </c>
    </row>
    <row r="24" spans="1:5" x14ac:dyDescent="0.35">
      <c r="A24" s="3" t="s">
        <v>2418</v>
      </c>
      <c r="B24" s="3" t="s">
        <v>2419</v>
      </c>
      <c r="C24" s="3" t="s">
        <v>60</v>
      </c>
      <c r="D24" s="3" t="s">
        <v>2419</v>
      </c>
      <c r="E24" s="7" t="str">
        <f>HYPERLINK("https://data.bls.gov/projections/nationalMatrix?queryParams=221110&amp;ioType=i", "Projections for 221110")</f>
        <v>Projections for 221110</v>
      </c>
    </row>
    <row r="25" spans="1:5" x14ac:dyDescent="0.35">
      <c r="A25" s="3" t="s">
        <v>2420</v>
      </c>
      <c r="B25" s="3" t="s">
        <v>2421</v>
      </c>
      <c r="C25" s="3" t="s">
        <v>65</v>
      </c>
      <c r="D25" s="3" t="s">
        <v>2421</v>
      </c>
      <c r="E25" s="7" t="str">
        <f>HYPERLINK("https://data.bls.gov/projections/nationalMatrix?queryParams=221111&amp;ioType=i", "Projections for 221111")</f>
        <v>Projections for 221111</v>
      </c>
    </row>
    <row r="26" spans="1:5" x14ac:dyDescent="0.35">
      <c r="A26" s="3" t="s">
        <v>2422</v>
      </c>
      <c r="B26" s="3" t="s">
        <v>2423</v>
      </c>
      <c r="C26" s="3" t="s">
        <v>65</v>
      </c>
      <c r="D26" s="3" t="s">
        <v>2423</v>
      </c>
      <c r="E26" s="7" t="str">
        <f>HYPERLINK("https://data.bls.gov/projections/nationalMatrix?queryParams=221112&amp;ioType=i", "Projections for 221112")</f>
        <v>Projections for 221112</v>
      </c>
    </row>
    <row r="27" spans="1:5" x14ac:dyDescent="0.35">
      <c r="A27" s="3" t="s">
        <v>2424</v>
      </c>
      <c r="B27" s="3" t="s">
        <v>2425</v>
      </c>
      <c r="C27" s="3" t="s">
        <v>65</v>
      </c>
      <c r="D27" s="3" t="s">
        <v>2425</v>
      </c>
      <c r="E27" s="7" t="str">
        <f>HYPERLINK("https://data.bls.gov/projections/nationalMatrix?queryParams=221113&amp;ioType=i", "Projections for 221113")</f>
        <v>Projections for 221113</v>
      </c>
    </row>
    <row r="28" spans="1:5" x14ac:dyDescent="0.35">
      <c r="A28" s="3" t="s">
        <v>2426</v>
      </c>
      <c r="B28" s="3" t="s">
        <v>2427</v>
      </c>
      <c r="C28" s="3" t="s">
        <v>65</v>
      </c>
      <c r="D28" s="3" t="s">
        <v>2427</v>
      </c>
      <c r="E28" s="7" t="str">
        <f>HYPERLINK("https://data.bls.gov/projections/nationalMatrix?queryParams=221114&amp;ioType=i", "Projections for 221114")</f>
        <v>Projections for 221114</v>
      </c>
    </row>
    <row r="29" spans="1:5" x14ac:dyDescent="0.35">
      <c r="A29" s="3" t="s">
        <v>2428</v>
      </c>
      <c r="B29" s="3" t="s">
        <v>2429</v>
      </c>
      <c r="C29" s="3" t="s">
        <v>65</v>
      </c>
      <c r="D29" s="3" t="s">
        <v>2429</v>
      </c>
      <c r="E29" s="7" t="str">
        <f>HYPERLINK("https://data.bls.gov/projections/nationalMatrix?queryParams=221115&amp;ioType=i", "Projections for 221115")</f>
        <v>Projections for 221115</v>
      </c>
    </row>
    <row r="30" spans="1:5" x14ac:dyDescent="0.35">
      <c r="A30" s="3" t="s">
        <v>2430</v>
      </c>
      <c r="B30" s="3" t="s">
        <v>2431</v>
      </c>
      <c r="C30" s="3" t="s">
        <v>65</v>
      </c>
      <c r="D30" s="3" t="s">
        <v>2431</v>
      </c>
      <c r="E30" s="7" t="str">
        <f>HYPERLINK("https://data.bls.gov/projections/nationalMatrix?queryParams=221116&amp;ioType=i", "Projections for 221116")</f>
        <v>Projections for 221116</v>
      </c>
    </row>
    <row r="31" spans="1:5" x14ac:dyDescent="0.35">
      <c r="A31" s="3" t="s">
        <v>2432</v>
      </c>
      <c r="B31" s="3" t="s">
        <v>2433</v>
      </c>
      <c r="C31" s="3" t="s">
        <v>65</v>
      </c>
      <c r="D31" s="3" t="s">
        <v>2433</v>
      </c>
      <c r="E31" s="7" t="str">
        <f>HYPERLINK("https://data.bls.gov/projections/nationalMatrix?queryParams=221117&amp;ioType=i", "Projections for 221117")</f>
        <v>Projections for 221117</v>
      </c>
    </row>
    <row r="32" spans="1:5" x14ac:dyDescent="0.35">
      <c r="A32" s="3" t="s">
        <v>2434</v>
      </c>
      <c r="B32" s="3" t="s">
        <v>2435</v>
      </c>
      <c r="C32" s="3" t="s">
        <v>65</v>
      </c>
      <c r="D32" s="3" t="s">
        <v>2435</v>
      </c>
      <c r="E32" s="7" t="str">
        <f>HYPERLINK("https://data.bls.gov/projections/nationalMatrix?queryParams=221118&amp;ioType=i", "Projections for 221118")</f>
        <v>Projections for 221118</v>
      </c>
    </row>
    <row r="33" spans="1:5" x14ac:dyDescent="0.35">
      <c r="A33" s="3" t="s">
        <v>2436</v>
      </c>
      <c r="B33" s="3" t="s">
        <v>2437</v>
      </c>
      <c r="C33" s="3" t="s">
        <v>65</v>
      </c>
      <c r="D33" s="3" t="s">
        <v>2437</v>
      </c>
      <c r="E33" s="7" t="str">
        <f>HYPERLINK("https://data.bls.gov/projections/nationalMatrix?queryParams=221200&amp;ioType=i", "Projections for 221200")</f>
        <v>Projections for 221200</v>
      </c>
    </row>
    <row r="34" spans="1:5" x14ac:dyDescent="0.35">
      <c r="A34" s="3" t="s">
        <v>2438</v>
      </c>
      <c r="B34" s="3" t="s">
        <v>2439</v>
      </c>
      <c r="C34" s="3" t="s">
        <v>65</v>
      </c>
      <c r="D34" s="3" t="s">
        <v>2439</v>
      </c>
      <c r="E34" s="7" t="str">
        <f>HYPERLINK("https://data.bls.gov/projections/nationalMatrix?queryParams=221300&amp;ioType=i", "Projections for 221300")</f>
        <v>Projections for 221300</v>
      </c>
    </row>
    <row r="35" spans="1:5" x14ac:dyDescent="0.35">
      <c r="A35" s="3" t="s">
        <v>2440</v>
      </c>
      <c r="B35" s="3" t="s">
        <v>2441</v>
      </c>
      <c r="C35" s="3" t="s">
        <v>60</v>
      </c>
      <c r="D35" s="3" t="s">
        <v>2441</v>
      </c>
      <c r="E35" s="7" t="str">
        <f>HYPERLINK("https://data.bls.gov/projections/nationalMatrix?queryParams=230000&amp;ioType=i", "Projections for 230000")</f>
        <v>Projections for 230000</v>
      </c>
    </row>
    <row r="36" spans="1:5" x14ac:dyDescent="0.35">
      <c r="A36" s="3" t="s">
        <v>2442</v>
      </c>
      <c r="B36" s="3" t="s">
        <v>2443</v>
      </c>
      <c r="C36" s="3" t="s">
        <v>60</v>
      </c>
      <c r="D36" s="3" t="s">
        <v>2443</v>
      </c>
      <c r="E36" s="7" t="str">
        <f>HYPERLINK("https://data.bls.gov/projections/nationalMatrix?queryParams=236000&amp;ioType=i", "Projections for 236000")</f>
        <v>Projections for 236000</v>
      </c>
    </row>
    <row r="37" spans="1:5" x14ac:dyDescent="0.35">
      <c r="A37" s="3" t="s">
        <v>2444</v>
      </c>
      <c r="B37" s="3" t="s">
        <v>2445</v>
      </c>
      <c r="C37" s="3" t="s">
        <v>65</v>
      </c>
      <c r="D37" s="3" t="s">
        <v>2445</v>
      </c>
      <c r="E37" s="7" t="str">
        <f>HYPERLINK("https://data.bls.gov/projections/nationalMatrix?queryParams=236100&amp;ioType=i", "Projections for 236100")</f>
        <v>Projections for 236100</v>
      </c>
    </row>
    <row r="38" spans="1:5" x14ac:dyDescent="0.35">
      <c r="A38" s="3" t="s">
        <v>2446</v>
      </c>
      <c r="B38" s="3" t="s">
        <v>2447</v>
      </c>
      <c r="C38" s="3" t="s">
        <v>65</v>
      </c>
      <c r="D38" s="3" t="s">
        <v>2447</v>
      </c>
      <c r="E38" s="7" t="str">
        <f>HYPERLINK("https://data.bls.gov/projections/nationalMatrix?queryParams=236200&amp;ioType=i", "Projections for 236200")</f>
        <v>Projections for 236200</v>
      </c>
    </row>
    <row r="39" spans="1:5" x14ac:dyDescent="0.35">
      <c r="A39" s="3" t="s">
        <v>2448</v>
      </c>
      <c r="B39" s="3" t="s">
        <v>2449</v>
      </c>
      <c r="C39" s="3" t="s">
        <v>60</v>
      </c>
      <c r="D39" s="3" t="s">
        <v>2449</v>
      </c>
      <c r="E39" s="7" t="str">
        <f>HYPERLINK("https://data.bls.gov/projections/nationalMatrix?queryParams=237000&amp;ioType=i", "Projections for 237000")</f>
        <v>Projections for 237000</v>
      </c>
    </row>
    <row r="40" spans="1:5" x14ac:dyDescent="0.35">
      <c r="A40" s="3" t="s">
        <v>2450</v>
      </c>
      <c r="B40" s="3" t="s">
        <v>2451</v>
      </c>
      <c r="C40" s="3" t="s">
        <v>60</v>
      </c>
      <c r="D40" s="3" t="s">
        <v>2451</v>
      </c>
      <c r="E40" s="7" t="str">
        <f>HYPERLINK("https://data.bls.gov/projections/nationalMatrix?queryParams=237100&amp;ioType=i", "Projections for 237100")</f>
        <v>Projections for 237100</v>
      </c>
    </row>
    <row r="41" spans="1:5" x14ac:dyDescent="0.35">
      <c r="A41" s="3" t="s">
        <v>2452</v>
      </c>
      <c r="B41" s="3" t="s">
        <v>2453</v>
      </c>
      <c r="C41" s="3" t="s">
        <v>65</v>
      </c>
      <c r="D41" s="3" t="s">
        <v>2453</v>
      </c>
      <c r="E41" s="7" t="str">
        <f>HYPERLINK("https://data.bls.gov/projections/nationalMatrix?queryParams=237130&amp;ioType=i", "Projections for 237130")</f>
        <v>Projections for 237130</v>
      </c>
    </row>
    <row r="42" spans="1:5" x14ac:dyDescent="0.35">
      <c r="A42" s="3" t="s">
        <v>2454</v>
      </c>
      <c r="B42" s="3" t="s">
        <v>2455</v>
      </c>
      <c r="C42" s="3" t="s">
        <v>65</v>
      </c>
      <c r="D42" s="3" t="s">
        <v>2455</v>
      </c>
      <c r="E42" s="7" t="str">
        <f>HYPERLINK("https://data.bls.gov/projections/nationalMatrix?queryParams=237200&amp;ioType=i", "Projections for 237200")</f>
        <v>Projections for 237200</v>
      </c>
    </row>
    <row r="43" spans="1:5" x14ac:dyDescent="0.35">
      <c r="A43" s="3" t="s">
        <v>2456</v>
      </c>
      <c r="B43" s="3" t="s">
        <v>2457</v>
      </c>
      <c r="C43" s="3" t="s">
        <v>65</v>
      </c>
      <c r="D43" s="3" t="s">
        <v>2457</v>
      </c>
      <c r="E43" s="7" t="str">
        <f>HYPERLINK("https://data.bls.gov/projections/nationalMatrix?queryParams=237300&amp;ioType=i", "Projections for 237300")</f>
        <v>Projections for 237300</v>
      </c>
    </row>
    <row r="44" spans="1:5" x14ac:dyDescent="0.35">
      <c r="A44" s="3" t="s">
        <v>2458</v>
      </c>
      <c r="B44" s="3" t="s">
        <v>2459</v>
      </c>
      <c r="C44" s="3" t="s">
        <v>65</v>
      </c>
      <c r="D44" s="3" t="s">
        <v>2459</v>
      </c>
      <c r="E44" s="7" t="str">
        <f>HYPERLINK("https://data.bls.gov/projections/nationalMatrix?queryParams=237900&amp;ioType=i", "Projections for 237900")</f>
        <v>Projections for 237900</v>
      </c>
    </row>
    <row r="45" spans="1:5" x14ac:dyDescent="0.35">
      <c r="A45" s="3" t="s">
        <v>2460</v>
      </c>
      <c r="B45" s="3" t="s">
        <v>2461</v>
      </c>
      <c r="C45" s="3" t="s">
        <v>60</v>
      </c>
      <c r="D45" s="3" t="s">
        <v>2461</v>
      </c>
      <c r="E45" s="7" t="str">
        <f>HYPERLINK("https://data.bls.gov/projections/nationalMatrix?queryParams=238000&amp;ioType=i", "Projections for 238000")</f>
        <v>Projections for 238000</v>
      </c>
    </row>
    <row r="46" spans="1:5" x14ac:dyDescent="0.35">
      <c r="A46" s="3" t="s">
        <v>2462</v>
      </c>
      <c r="B46" s="3" t="s">
        <v>2463</v>
      </c>
      <c r="C46" s="3" t="s">
        <v>60</v>
      </c>
      <c r="D46" s="3" t="s">
        <v>2463</v>
      </c>
      <c r="E46" s="7" t="str">
        <f>HYPERLINK("https://data.bls.gov/projections/nationalMatrix?queryParams=238100&amp;ioType=i", "Projections for 238100")</f>
        <v>Projections for 238100</v>
      </c>
    </row>
    <row r="47" spans="1:5" x14ac:dyDescent="0.35">
      <c r="A47" s="3" t="s">
        <v>2464</v>
      </c>
      <c r="B47" s="3" t="s">
        <v>2465</v>
      </c>
      <c r="C47" s="3" t="s">
        <v>65</v>
      </c>
      <c r="D47" s="3" t="s">
        <v>2465</v>
      </c>
      <c r="E47" s="7" t="str">
        <f>HYPERLINK("https://data.bls.gov/projections/nationalMatrix?queryParams=238110&amp;ioType=i", "Projections for 238110")</f>
        <v>Projections for 238110</v>
      </c>
    </row>
    <row r="48" spans="1:5" x14ac:dyDescent="0.35">
      <c r="A48" s="3" t="s">
        <v>2466</v>
      </c>
      <c r="B48" s="3" t="s">
        <v>2467</v>
      </c>
      <c r="C48" s="3" t="s">
        <v>65</v>
      </c>
      <c r="D48" s="3" t="s">
        <v>2467</v>
      </c>
      <c r="E48" s="7" t="str">
        <f>HYPERLINK("https://data.bls.gov/projections/nationalMatrix?queryParams=238140&amp;ioType=i", "Projections for 238140")</f>
        <v>Projections for 238140</v>
      </c>
    </row>
    <row r="49" spans="1:5" x14ac:dyDescent="0.35">
      <c r="A49" s="3" t="s">
        <v>2468</v>
      </c>
      <c r="B49" s="3" t="s">
        <v>2469</v>
      </c>
      <c r="C49" s="3" t="s">
        <v>65</v>
      </c>
      <c r="D49" s="3" t="s">
        <v>2469</v>
      </c>
      <c r="E49" s="7" t="str">
        <f>HYPERLINK("https://data.bls.gov/projections/nationalMatrix?queryParams=238160&amp;ioType=i", "Projections for 238160")</f>
        <v>Projections for 238160</v>
      </c>
    </row>
    <row r="50" spans="1:5" x14ac:dyDescent="0.35">
      <c r="A50" s="3" t="s">
        <v>2470</v>
      </c>
      <c r="B50" s="3" t="s">
        <v>2471</v>
      </c>
      <c r="C50" s="3" t="s">
        <v>60</v>
      </c>
      <c r="D50" s="3" t="s">
        <v>2471</v>
      </c>
      <c r="E50" s="7" t="str">
        <f>HYPERLINK("https://data.bls.gov/projections/nationalMatrix?queryParams=238200&amp;ioType=i", "Projections for 238200")</f>
        <v>Projections for 238200</v>
      </c>
    </row>
    <row r="51" spans="1:5" x14ac:dyDescent="0.35">
      <c r="A51" s="3" t="s">
        <v>2472</v>
      </c>
      <c r="B51" s="3" t="s">
        <v>2473</v>
      </c>
      <c r="C51" s="3" t="s">
        <v>65</v>
      </c>
      <c r="D51" s="3" t="s">
        <v>2473</v>
      </c>
      <c r="E51" s="7" t="str">
        <f>HYPERLINK("https://data.bls.gov/projections/nationalMatrix?queryParams=238210&amp;ioType=i", "Projections for 238210")</f>
        <v>Projections for 238210</v>
      </c>
    </row>
    <row r="52" spans="1:5" x14ac:dyDescent="0.35">
      <c r="A52" s="3" t="s">
        <v>2474</v>
      </c>
      <c r="B52" s="3" t="s">
        <v>2475</v>
      </c>
      <c r="C52" s="3" t="s">
        <v>65</v>
      </c>
      <c r="D52" s="3" t="s">
        <v>2475</v>
      </c>
      <c r="E52" s="7" t="str">
        <f>HYPERLINK("https://data.bls.gov/projections/nationalMatrix?queryParams=238220&amp;ioType=i", "Projections for 238220")</f>
        <v>Projections for 238220</v>
      </c>
    </row>
    <row r="53" spans="1:5" x14ac:dyDescent="0.35">
      <c r="A53" s="3" t="s">
        <v>2476</v>
      </c>
      <c r="B53" s="3" t="s">
        <v>2477</v>
      </c>
      <c r="C53" s="3" t="s">
        <v>65</v>
      </c>
      <c r="D53" s="3" t="s">
        <v>2477</v>
      </c>
      <c r="E53" s="7" t="str">
        <f>HYPERLINK("https://data.bls.gov/projections/nationalMatrix?queryParams=238290&amp;ioType=i", "Projections for 238290")</f>
        <v>Projections for 238290</v>
      </c>
    </row>
    <row r="54" spans="1:5" x14ac:dyDescent="0.35">
      <c r="A54" s="3" t="s">
        <v>2478</v>
      </c>
      <c r="B54" s="3" t="s">
        <v>2479</v>
      </c>
      <c r="C54" s="3" t="s">
        <v>60</v>
      </c>
      <c r="D54" s="3" t="s">
        <v>2479</v>
      </c>
      <c r="E54" s="7" t="str">
        <f>HYPERLINK("https://data.bls.gov/projections/nationalMatrix?queryParams=238300&amp;ioType=i", "Projections for 238300")</f>
        <v>Projections for 238300</v>
      </c>
    </row>
    <row r="55" spans="1:5" x14ac:dyDescent="0.35">
      <c r="A55" s="3" t="s">
        <v>2480</v>
      </c>
      <c r="B55" s="3" t="s">
        <v>2481</v>
      </c>
      <c r="C55" s="3" t="s">
        <v>65</v>
      </c>
      <c r="D55" s="3" t="s">
        <v>2481</v>
      </c>
      <c r="E55" s="7" t="str">
        <f>HYPERLINK("https://data.bls.gov/projections/nationalMatrix?queryParams=238310&amp;ioType=i", "Projections for 238310")</f>
        <v>Projections for 238310</v>
      </c>
    </row>
    <row r="56" spans="1:5" x14ac:dyDescent="0.35">
      <c r="A56" s="3" t="s">
        <v>2482</v>
      </c>
      <c r="B56" s="3" t="s">
        <v>2483</v>
      </c>
      <c r="C56" s="3" t="s">
        <v>65</v>
      </c>
      <c r="D56" s="3" t="s">
        <v>2483</v>
      </c>
      <c r="E56" s="7" t="str">
        <f>HYPERLINK("https://data.bls.gov/projections/nationalMatrix?queryParams=238320&amp;ioType=i", "Projections for 238320")</f>
        <v>Projections for 238320</v>
      </c>
    </row>
    <row r="57" spans="1:5" x14ac:dyDescent="0.35">
      <c r="A57" s="3" t="s">
        <v>2484</v>
      </c>
      <c r="B57" s="3" t="s">
        <v>2485</v>
      </c>
      <c r="C57" s="3" t="s">
        <v>65</v>
      </c>
      <c r="D57" s="3" t="s">
        <v>2485</v>
      </c>
      <c r="E57" s="7" t="str">
        <f>HYPERLINK("https://data.bls.gov/projections/nationalMatrix?queryParams=238900&amp;ioType=i", "Projections for 238900")</f>
        <v>Projections for 238900</v>
      </c>
    </row>
    <row r="58" spans="1:5" x14ac:dyDescent="0.35">
      <c r="A58" s="3" t="s">
        <v>2486</v>
      </c>
      <c r="B58" s="3" t="s">
        <v>2487</v>
      </c>
      <c r="C58" s="3" t="s">
        <v>60</v>
      </c>
      <c r="D58" s="3" t="s">
        <v>2488</v>
      </c>
      <c r="E58" s="7" t="str">
        <f>HYPERLINK("https://data.bls.gov/projections/nationalMatrix?queryParams=31-330&amp;ioType=i", "Projections for 31-330")</f>
        <v>Projections for 31-330</v>
      </c>
    </row>
    <row r="59" spans="1:5" x14ac:dyDescent="0.35">
      <c r="A59" s="3" t="s">
        <v>2489</v>
      </c>
      <c r="B59" s="3" t="s">
        <v>2490</v>
      </c>
      <c r="C59" s="3" t="s">
        <v>60</v>
      </c>
      <c r="D59" s="3" t="s">
        <v>2490</v>
      </c>
      <c r="E59" s="7" t="str">
        <f>HYPERLINK("https://data.bls.gov/projections/nationalMatrix?queryParams=311000&amp;ioType=i", "Projections for 311000")</f>
        <v>Projections for 311000</v>
      </c>
    </row>
    <row r="60" spans="1:5" x14ac:dyDescent="0.35">
      <c r="A60" s="3" t="s">
        <v>2491</v>
      </c>
      <c r="B60" s="3" t="s">
        <v>2492</v>
      </c>
      <c r="C60" s="3" t="s">
        <v>65</v>
      </c>
      <c r="D60" s="3" t="s">
        <v>2492</v>
      </c>
      <c r="E60" s="7" t="str">
        <f>HYPERLINK("https://data.bls.gov/projections/nationalMatrix?queryParams=311100&amp;ioType=i", "Projections for 311100")</f>
        <v>Projections for 311100</v>
      </c>
    </row>
    <row r="61" spans="1:5" x14ac:dyDescent="0.35">
      <c r="A61" s="3" t="s">
        <v>2493</v>
      </c>
      <c r="B61" s="3" t="s">
        <v>2494</v>
      </c>
      <c r="C61" s="3" t="s">
        <v>65</v>
      </c>
      <c r="D61" s="3" t="s">
        <v>2494</v>
      </c>
      <c r="E61" s="7" t="str">
        <f>HYPERLINK("https://data.bls.gov/projections/nationalMatrix?queryParams=311200&amp;ioType=i", "Projections for 311200")</f>
        <v>Projections for 311200</v>
      </c>
    </row>
    <row r="62" spans="1:5" x14ac:dyDescent="0.35">
      <c r="A62" s="3" t="s">
        <v>2495</v>
      </c>
      <c r="B62" s="3" t="s">
        <v>2496</v>
      </c>
      <c r="C62" s="3" t="s">
        <v>65</v>
      </c>
      <c r="D62" s="3" t="s">
        <v>2496</v>
      </c>
      <c r="E62" s="7" t="str">
        <f>HYPERLINK("https://data.bls.gov/projections/nationalMatrix?queryParams=311300&amp;ioType=i", "Projections for 311300")</f>
        <v>Projections for 311300</v>
      </c>
    </row>
    <row r="63" spans="1:5" x14ac:dyDescent="0.35">
      <c r="A63" s="3" t="s">
        <v>2497</v>
      </c>
      <c r="B63" s="3" t="s">
        <v>2498</v>
      </c>
      <c r="C63" s="3" t="s">
        <v>65</v>
      </c>
      <c r="D63" s="3" t="s">
        <v>2498</v>
      </c>
      <c r="E63" s="7" t="str">
        <f>HYPERLINK("https://data.bls.gov/projections/nationalMatrix?queryParams=311400&amp;ioType=i", "Projections for 311400")</f>
        <v>Projections for 311400</v>
      </c>
    </row>
    <row r="64" spans="1:5" x14ac:dyDescent="0.35">
      <c r="A64" s="3" t="s">
        <v>2499</v>
      </c>
      <c r="B64" s="3" t="s">
        <v>2500</v>
      </c>
      <c r="C64" s="3" t="s">
        <v>65</v>
      </c>
      <c r="D64" s="3" t="s">
        <v>2500</v>
      </c>
      <c r="E64" s="7" t="str">
        <f>HYPERLINK("https://data.bls.gov/projections/nationalMatrix?queryParams=311500&amp;ioType=i", "Projections for 311500")</f>
        <v>Projections for 311500</v>
      </c>
    </row>
    <row r="65" spans="1:5" x14ac:dyDescent="0.35">
      <c r="A65" s="3" t="s">
        <v>2501</v>
      </c>
      <c r="B65" s="3" t="s">
        <v>2502</v>
      </c>
      <c r="C65" s="3" t="s">
        <v>65</v>
      </c>
      <c r="D65" s="3" t="s">
        <v>2502</v>
      </c>
      <c r="E65" s="7" t="str">
        <f>HYPERLINK("https://data.bls.gov/projections/nationalMatrix?queryParams=311600&amp;ioType=i", "Projections for 311600")</f>
        <v>Projections for 311600</v>
      </c>
    </row>
    <row r="66" spans="1:5" x14ac:dyDescent="0.35">
      <c r="A66" s="3" t="s">
        <v>2503</v>
      </c>
      <c r="B66" s="3" t="s">
        <v>2504</v>
      </c>
      <c r="C66" s="3" t="s">
        <v>65</v>
      </c>
      <c r="D66" s="3" t="s">
        <v>2504</v>
      </c>
      <c r="E66" s="7" t="str">
        <f>HYPERLINK("https://data.bls.gov/projections/nationalMatrix?queryParams=311700&amp;ioType=i", "Projections for 311700")</f>
        <v>Projections for 311700</v>
      </c>
    </row>
    <row r="67" spans="1:5" x14ac:dyDescent="0.35">
      <c r="A67" s="3" t="s">
        <v>2505</v>
      </c>
      <c r="B67" s="3" t="s">
        <v>2506</v>
      </c>
      <c r="C67" s="3" t="s">
        <v>65</v>
      </c>
      <c r="D67" s="3" t="s">
        <v>2506</v>
      </c>
      <c r="E67" s="7" t="str">
        <f>HYPERLINK("https://data.bls.gov/projections/nationalMatrix?queryParams=311800&amp;ioType=i", "Projections for 311800")</f>
        <v>Projections for 311800</v>
      </c>
    </row>
    <row r="68" spans="1:5" x14ac:dyDescent="0.35">
      <c r="A68" s="3" t="s">
        <v>2507</v>
      </c>
      <c r="B68" s="3" t="s">
        <v>2508</v>
      </c>
      <c r="C68" s="3" t="s">
        <v>65</v>
      </c>
      <c r="D68" s="3" t="s">
        <v>2508</v>
      </c>
      <c r="E68" s="7" t="str">
        <f>HYPERLINK("https://data.bls.gov/projections/nationalMatrix?queryParams=311900&amp;ioType=i", "Projections for 311900")</f>
        <v>Projections for 311900</v>
      </c>
    </row>
    <row r="69" spans="1:5" x14ac:dyDescent="0.35">
      <c r="A69" s="3" t="s">
        <v>2509</v>
      </c>
      <c r="B69" s="3" t="s">
        <v>2510</v>
      </c>
      <c r="C69" s="3" t="s">
        <v>60</v>
      </c>
      <c r="D69" s="3" t="s">
        <v>2510</v>
      </c>
      <c r="E69" s="7" t="str">
        <f>HYPERLINK("https://data.bls.gov/projections/nationalMatrix?queryParams=312000&amp;ioType=i", "Projections for 312000")</f>
        <v>Projections for 312000</v>
      </c>
    </row>
    <row r="70" spans="1:5" x14ac:dyDescent="0.35">
      <c r="A70" s="3" t="s">
        <v>2511</v>
      </c>
      <c r="B70" s="3" t="s">
        <v>2512</v>
      </c>
      <c r="C70" s="3" t="s">
        <v>65</v>
      </c>
      <c r="D70" s="3" t="s">
        <v>2512</v>
      </c>
      <c r="E70" s="7" t="str">
        <f>HYPERLINK("https://data.bls.gov/projections/nationalMatrix?queryParams=312100&amp;ioType=i", "Projections for 312100")</f>
        <v>Projections for 312100</v>
      </c>
    </row>
    <row r="71" spans="1:5" x14ac:dyDescent="0.35">
      <c r="A71" s="3" t="s">
        <v>2513</v>
      </c>
      <c r="B71" s="3" t="s">
        <v>2514</v>
      </c>
      <c r="C71" s="3" t="s">
        <v>65</v>
      </c>
      <c r="D71" s="3" t="s">
        <v>2514</v>
      </c>
      <c r="E71" s="7" t="str">
        <f>HYPERLINK("https://data.bls.gov/projections/nationalMatrix?queryParams=312200&amp;ioType=i", "Projections for 312200")</f>
        <v>Projections for 312200</v>
      </c>
    </row>
    <row r="72" spans="1:5" x14ac:dyDescent="0.35">
      <c r="A72" s="3" t="s">
        <v>2515</v>
      </c>
      <c r="B72" s="3" t="s">
        <v>2516</v>
      </c>
      <c r="C72" s="3" t="s">
        <v>60</v>
      </c>
      <c r="D72" s="3" t="s">
        <v>2517</v>
      </c>
      <c r="E72" s="7" t="str">
        <f>HYPERLINK("https://data.bls.gov/projections/nationalMatrix?queryParams=313-40&amp;ioType=i", "Projections for 313-40")</f>
        <v>Projections for 313-40</v>
      </c>
    </row>
    <row r="73" spans="1:5" x14ac:dyDescent="0.35">
      <c r="A73" s="3" t="s">
        <v>2518</v>
      </c>
      <c r="B73" s="3" t="s">
        <v>2519</v>
      </c>
      <c r="C73" s="3" t="s">
        <v>65</v>
      </c>
      <c r="D73" s="3" t="s">
        <v>2519</v>
      </c>
      <c r="E73" s="7" t="str">
        <f>HYPERLINK("https://data.bls.gov/projections/nationalMatrix?queryParams=313000&amp;ioType=i", "Projections for 313000")</f>
        <v>Projections for 313000</v>
      </c>
    </row>
    <row r="74" spans="1:5" x14ac:dyDescent="0.35">
      <c r="A74" s="3" t="s">
        <v>2520</v>
      </c>
      <c r="B74" s="3" t="s">
        <v>2521</v>
      </c>
      <c r="C74" s="3" t="s">
        <v>65</v>
      </c>
      <c r="D74" s="3" t="s">
        <v>2521</v>
      </c>
      <c r="E74" s="7" t="str">
        <f>HYPERLINK("https://data.bls.gov/projections/nationalMatrix?queryParams=314000&amp;ioType=i", "Projections for 314000")</f>
        <v>Projections for 314000</v>
      </c>
    </row>
    <row r="75" spans="1:5" x14ac:dyDescent="0.35">
      <c r="A75" s="3" t="s">
        <v>2522</v>
      </c>
      <c r="B75" s="3" t="s">
        <v>2523</v>
      </c>
      <c r="C75" s="3" t="s">
        <v>60</v>
      </c>
      <c r="D75" s="3" t="s">
        <v>2524</v>
      </c>
      <c r="E75" s="7" t="str">
        <f>HYPERLINK("https://data.bls.gov/projections/nationalMatrix?queryParams=315-60&amp;ioType=i", "Projections for 315-60")</f>
        <v>Projections for 315-60</v>
      </c>
    </row>
    <row r="76" spans="1:5" x14ac:dyDescent="0.35">
      <c r="A76" s="3" t="s">
        <v>2525</v>
      </c>
      <c r="B76" s="3" t="s">
        <v>2526</v>
      </c>
      <c r="C76" s="3" t="s">
        <v>65</v>
      </c>
      <c r="D76" s="3" t="s">
        <v>2526</v>
      </c>
      <c r="E76" s="7" t="str">
        <f>HYPERLINK("https://data.bls.gov/projections/nationalMatrix?queryParams=315000&amp;ioType=i", "Projections for 315000")</f>
        <v>Projections for 315000</v>
      </c>
    </row>
    <row r="77" spans="1:5" x14ac:dyDescent="0.35">
      <c r="A77" s="3" t="s">
        <v>2527</v>
      </c>
      <c r="B77" s="3" t="s">
        <v>2528</v>
      </c>
      <c r="C77" s="3" t="s">
        <v>65</v>
      </c>
      <c r="D77" s="3" t="s">
        <v>2528</v>
      </c>
      <c r="E77" s="7" t="str">
        <f>HYPERLINK("https://data.bls.gov/projections/nationalMatrix?queryParams=316000&amp;ioType=i", "Projections for 316000")</f>
        <v>Projections for 316000</v>
      </c>
    </row>
    <row r="78" spans="1:5" x14ac:dyDescent="0.35">
      <c r="A78" s="3" t="s">
        <v>2529</v>
      </c>
      <c r="B78" s="3" t="s">
        <v>2530</v>
      </c>
      <c r="C78" s="3" t="s">
        <v>60</v>
      </c>
      <c r="D78" s="3" t="s">
        <v>2530</v>
      </c>
      <c r="E78" s="7" t="str">
        <f>HYPERLINK("https://data.bls.gov/projections/nationalMatrix?queryParams=321000&amp;ioType=i", "Projections for 321000")</f>
        <v>Projections for 321000</v>
      </c>
    </row>
    <row r="79" spans="1:5" x14ac:dyDescent="0.35">
      <c r="A79" s="3" t="s">
        <v>2531</v>
      </c>
      <c r="B79" s="3" t="s">
        <v>2532</v>
      </c>
      <c r="C79" s="3" t="s">
        <v>65</v>
      </c>
      <c r="D79" s="3" t="s">
        <v>2532</v>
      </c>
      <c r="E79" s="7" t="str">
        <f>HYPERLINK("https://data.bls.gov/projections/nationalMatrix?queryParams=321100&amp;ioType=i", "Projections for 321100")</f>
        <v>Projections for 321100</v>
      </c>
    </row>
    <row r="80" spans="1:5" x14ac:dyDescent="0.35">
      <c r="A80" s="3" t="s">
        <v>2533</v>
      </c>
      <c r="B80" s="3" t="s">
        <v>2534</v>
      </c>
      <c r="C80" s="3" t="s">
        <v>65</v>
      </c>
      <c r="D80" s="3" t="s">
        <v>2534</v>
      </c>
      <c r="E80" s="7" t="str">
        <f>HYPERLINK("https://data.bls.gov/projections/nationalMatrix?queryParams=321200&amp;ioType=i", "Projections for 321200")</f>
        <v>Projections for 321200</v>
      </c>
    </row>
    <row r="81" spans="1:5" x14ac:dyDescent="0.35">
      <c r="A81" s="3" t="s">
        <v>2535</v>
      </c>
      <c r="B81" s="3" t="s">
        <v>2536</v>
      </c>
      <c r="C81" s="3" t="s">
        <v>65</v>
      </c>
      <c r="D81" s="3" t="s">
        <v>2536</v>
      </c>
      <c r="E81" s="7" t="str">
        <f>HYPERLINK("https://data.bls.gov/projections/nationalMatrix?queryParams=321900&amp;ioType=i", "Projections for 321900")</f>
        <v>Projections for 321900</v>
      </c>
    </row>
    <row r="82" spans="1:5" x14ac:dyDescent="0.35">
      <c r="A82" s="3" t="s">
        <v>2537</v>
      </c>
      <c r="B82" s="3" t="s">
        <v>2538</v>
      </c>
      <c r="C82" s="3" t="s">
        <v>60</v>
      </c>
      <c r="D82" s="3" t="s">
        <v>2538</v>
      </c>
      <c r="E82" s="7" t="str">
        <f>HYPERLINK("https://data.bls.gov/projections/nationalMatrix?queryParams=322000&amp;ioType=i", "Projections for 322000")</f>
        <v>Projections for 322000</v>
      </c>
    </row>
    <row r="83" spans="1:5" x14ac:dyDescent="0.35">
      <c r="A83" s="3" t="s">
        <v>2539</v>
      </c>
      <c r="B83" s="3" t="s">
        <v>2540</v>
      </c>
      <c r="C83" s="3" t="s">
        <v>65</v>
      </c>
      <c r="D83" s="3" t="s">
        <v>2540</v>
      </c>
      <c r="E83" s="7" t="str">
        <f>HYPERLINK("https://data.bls.gov/projections/nationalMatrix?queryParams=322100&amp;ioType=i", "Projections for 322100")</f>
        <v>Projections for 322100</v>
      </c>
    </row>
    <row r="84" spans="1:5" x14ac:dyDescent="0.35">
      <c r="A84" s="3" t="s">
        <v>2541</v>
      </c>
      <c r="B84" s="3" t="s">
        <v>2542</v>
      </c>
      <c r="C84" s="3" t="s">
        <v>65</v>
      </c>
      <c r="D84" s="3" t="s">
        <v>2542</v>
      </c>
      <c r="E84" s="7" t="str">
        <f>HYPERLINK("https://data.bls.gov/projections/nationalMatrix?queryParams=322200&amp;ioType=i", "Projections for 322200")</f>
        <v>Projections for 322200</v>
      </c>
    </row>
    <row r="85" spans="1:5" x14ac:dyDescent="0.35">
      <c r="A85" s="3" t="s">
        <v>2543</v>
      </c>
      <c r="B85" s="3" t="s">
        <v>2544</v>
      </c>
      <c r="C85" s="3" t="s">
        <v>65</v>
      </c>
      <c r="D85" s="3" t="s">
        <v>2544</v>
      </c>
      <c r="E85" s="7" t="str">
        <f>HYPERLINK("https://data.bls.gov/projections/nationalMatrix?queryParams=323000&amp;ioType=i", "Projections for 323000")</f>
        <v>Projections for 323000</v>
      </c>
    </row>
    <row r="86" spans="1:5" x14ac:dyDescent="0.35">
      <c r="A86" s="3" t="s">
        <v>2545</v>
      </c>
      <c r="B86" s="3" t="s">
        <v>2546</v>
      </c>
      <c r="C86" s="3" t="s">
        <v>65</v>
      </c>
      <c r="D86" s="3" t="s">
        <v>2546</v>
      </c>
      <c r="E86" s="7" t="str">
        <f>HYPERLINK("https://data.bls.gov/projections/nationalMatrix?queryParams=324000&amp;ioType=i", "Projections for 324000")</f>
        <v>Projections for 324000</v>
      </c>
    </row>
    <row r="87" spans="1:5" x14ac:dyDescent="0.35">
      <c r="A87" s="3" t="s">
        <v>2547</v>
      </c>
      <c r="B87" s="3" t="s">
        <v>2548</v>
      </c>
      <c r="C87" s="3" t="s">
        <v>60</v>
      </c>
      <c r="D87" s="3" t="s">
        <v>2548</v>
      </c>
      <c r="E87" s="7" t="str">
        <f>HYPERLINK("https://data.bls.gov/projections/nationalMatrix?queryParams=325000&amp;ioType=i", "Projections for 325000")</f>
        <v>Projections for 325000</v>
      </c>
    </row>
    <row r="88" spans="1:5" x14ac:dyDescent="0.35">
      <c r="A88" s="3" t="s">
        <v>2549</v>
      </c>
      <c r="B88" s="3" t="s">
        <v>2550</v>
      </c>
      <c r="C88" s="3" t="s">
        <v>65</v>
      </c>
      <c r="D88" s="3" t="s">
        <v>2550</v>
      </c>
      <c r="E88" s="7" t="str">
        <f>HYPERLINK("https://data.bls.gov/projections/nationalMatrix?queryParams=325400&amp;ioType=i", "Projections for 325400")</f>
        <v>Projections for 325400</v>
      </c>
    </row>
    <row r="89" spans="1:5" x14ac:dyDescent="0.35">
      <c r="A89" s="3" t="s">
        <v>2551</v>
      </c>
      <c r="B89" s="3" t="s">
        <v>2552</v>
      </c>
      <c r="C89" s="3" t="s">
        <v>65</v>
      </c>
      <c r="D89" s="3" t="s">
        <v>2553</v>
      </c>
      <c r="E89" s="7" t="str">
        <f>HYPERLINK("https://data.bls.gov/projections/nationalMatrix?queryParams=3250A2&amp;ioType=i", "Projections for 3250A2")</f>
        <v>Projections for 3250A2</v>
      </c>
    </row>
    <row r="90" spans="1:5" x14ac:dyDescent="0.35">
      <c r="A90" s="3" t="s">
        <v>2554</v>
      </c>
      <c r="B90" s="3" t="s">
        <v>2555</v>
      </c>
      <c r="C90" s="3" t="s">
        <v>65</v>
      </c>
      <c r="D90" s="3" t="s">
        <v>2556</v>
      </c>
      <c r="E90" s="7" t="str">
        <f>HYPERLINK("https://data.bls.gov/projections/nationalMatrix?queryParams=3250A1&amp;ioType=i", "Projections for 3250A1")</f>
        <v>Projections for 3250A1</v>
      </c>
    </row>
    <row r="91" spans="1:5" x14ac:dyDescent="0.35">
      <c r="A91" s="3" t="s">
        <v>2557</v>
      </c>
      <c r="B91" s="3" t="s">
        <v>2558</v>
      </c>
      <c r="C91" s="3" t="s">
        <v>60</v>
      </c>
      <c r="D91" s="3" t="s">
        <v>2558</v>
      </c>
      <c r="E91" s="7" t="str">
        <f>HYPERLINK("https://data.bls.gov/projections/nationalMatrix?queryParams=326000&amp;ioType=i", "Projections for 326000")</f>
        <v>Projections for 326000</v>
      </c>
    </row>
    <row r="92" spans="1:5" x14ac:dyDescent="0.35">
      <c r="A92" s="3" t="s">
        <v>2559</v>
      </c>
      <c r="B92" s="3" t="s">
        <v>2560</v>
      </c>
      <c r="C92" s="3" t="s">
        <v>65</v>
      </c>
      <c r="D92" s="3" t="s">
        <v>2560</v>
      </c>
      <c r="E92" s="7" t="str">
        <f>HYPERLINK("https://data.bls.gov/projections/nationalMatrix?queryParams=326100&amp;ioType=i", "Projections for 326100")</f>
        <v>Projections for 326100</v>
      </c>
    </row>
    <row r="93" spans="1:5" x14ac:dyDescent="0.35">
      <c r="A93" s="3" t="s">
        <v>2561</v>
      </c>
      <c r="B93" s="3" t="s">
        <v>2562</v>
      </c>
      <c r="C93" s="3" t="s">
        <v>65</v>
      </c>
      <c r="D93" s="3" t="s">
        <v>2562</v>
      </c>
      <c r="E93" s="7" t="str">
        <f>HYPERLINK("https://data.bls.gov/projections/nationalMatrix?queryParams=326200&amp;ioType=i", "Projections for 326200")</f>
        <v>Projections for 326200</v>
      </c>
    </row>
    <row r="94" spans="1:5" x14ac:dyDescent="0.35">
      <c r="A94" s="3" t="s">
        <v>2563</v>
      </c>
      <c r="B94" s="3" t="s">
        <v>2564</v>
      </c>
      <c r="C94" s="3" t="s">
        <v>65</v>
      </c>
      <c r="D94" s="3" t="s">
        <v>2564</v>
      </c>
      <c r="E94" s="7" t="str">
        <f>HYPERLINK("https://data.bls.gov/projections/nationalMatrix?queryParams=327000&amp;ioType=i", "Projections for 327000")</f>
        <v>Projections for 327000</v>
      </c>
    </row>
    <row r="95" spans="1:5" x14ac:dyDescent="0.35">
      <c r="A95" s="3" t="s">
        <v>2565</v>
      </c>
      <c r="B95" s="3" t="s">
        <v>2566</v>
      </c>
      <c r="C95" s="3" t="s">
        <v>60</v>
      </c>
      <c r="D95" s="3" t="s">
        <v>2566</v>
      </c>
      <c r="E95" s="7" t="str">
        <f>HYPERLINK("https://data.bls.gov/projections/nationalMatrix?queryParams=331000&amp;ioType=i", "Projections for 331000")</f>
        <v>Projections for 331000</v>
      </c>
    </row>
    <row r="96" spans="1:5" x14ac:dyDescent="0.35">
      <c r="A96" s="3" t="s">
        <v>2567</v>
      </c>
      <c r="B96" s="3" t="s">
        <v>2568</v>
      </c>
      <c r="C96" s="3" t="s">
        <v>65</v>
      </c>
      <c r="D96" s="3" t="s">
        <v>2568</v>
      </c>
      <c r="E96" s="7" t="str">
        <f>HYPERLINK("https://data.bls.gov/projections/nationalMatrix?queryParams=331100&amp;ioType=i", "Projections for 331100")</f>
        <v>Projections for 331100</v>
      </c>
    </row>
    <row r="97" spans="1:5" x14ac:dyDescent="0.35">
      <c r="A97" s="3" t="s">
        <v>2569</v>
      </c>
      <c r="B97" s="3" t="s">
        <v>2570</v>
      </c>
      <c r="C97" s="3" t="s">
        <v>65</v>
      </c>
      <c r="D97" s="3" t="s">
        <v>2570</v>
      </c>
      <c r="E97" s="7" t="str">
        <f>HYPERLINK("https://data.bls.gov/projections/nationalMatrix?queryParams=331200&amp;ioType=i", "Projections for 331200")</f>
        <v>Projections for 331200</v>
      </c>
    </row>
    <row r="98" spans="1:5" x14ac:dyDescent="0.35">
      <c r="A98" s="3" t="s">
        <v>2571</v>
      </c>
      <c r="B98" s="3" t="s">
        <v>2572</v>
      </c>
      <c r="C98" s="3" t="s">
        <v>65</v>
      </c>
      <c r="D98" s="3" t="s">
        <v>2572</v>
      </c>
      <c r="E98" s="7" t="str">
        <f>HYPERLINK("https://data.bls.gov/projections/nationalMatrix?queryParams=331300&amp;ioType=i", "Projections for 331300")</f>
        <v>Projections for 331300</v>
      </c>
    </row>
    <row r="99" spans="1:5" x14ac:dyDescent="0.35">
      <c r="A99" s="3" t="s">
        <v>2573</v>
      </c>
      <c r="B99" s="3" t="s">
        <v>2574</v>
      </c>
      <c r="C99" s="3" t="s">
        <v>65</v>
      </c>
      <c r="D99" s="3" t="s">
        <v>2574</v>
      </c>
      <c r="E99" s="7" t="str">
        <f>HYPERLINK("https://data.bls.gov/projections/nationalMatrix?queryParams=331400&amp;ioType=i", "Projections for 331400")</f>
        <v>Projections for 331400</v>
      </c>
    </row>
    <row r="100" spans="1:5" x14ac:dyDescent="0.35">
      <c r="A100" s="3" t="s">
        <v>2575</v>
      </c>
      <c r="B100" s="3" t="s">
        <v>2576</v>
      </c>
      <c r="C100" s="3" t="s">
        <v>65</v>
      </c>
      <c r="D100" s="3" t="s">
        <v>2576</v>
      </c>
      <c r="E100" s="7" t="str">
        <f>HYPERLINK("https://data.bls.gov/projections/nationalMatrix?queryParams=331500&amp;ioType=i", "Projections for 331500")</f>
        <v>Projections for 331500</v>
      </c>
    </row>
    <row r="101" spans="1:5" x14ac:dyDescent="0.35">
      <c r="A101" s="3" t="s">
        <v>2577</v>
      </c>
      <c r="B101" s="3" t="s">
        <v>2578</v>
      </c>
      <c r="C101" s="3" t="s">
        <v>60</v>
      </c>
      <c r="D101" s="3" t="s">
        <v>2578</v>
      </c>
      <c r="E101" s="7" t="str">
        <f>HYPERLINK("https://data.bls.gov/projections/nationalMatrix?queryParams=332000&amp;ioType=i", "Projections for 332000")</f>
        <v>Projections for 332000</v>
      </c>
    </row>
    <row r="102" spans="1:5" x14ac:dyDescent="0.35">
      <c r="A102" s="3" t="s">
        <v>2579</v>
      </c>
      <c r="B102" s="3" t="s">
        <v>2580</v>
      </c>
      <c r="C102" s="3" t="s">
        <v>65</v>
      </c>
      <c r="D102" s="3" t="s">
        <v>2581</v>
      </c>
      <c r="E102" s="7" t="str">
        <f>HYPERLINK("https://data.bls.gov/projections/nationalMatrix?queryParams=3320A2&amp;ioType=i", "Projections for 3320A2")</f>
        <v>Projections for 3320A2</v>
      </c>
    </row>
    <row r="103" spans="1:5" x14ac:dyDescent="0.35">
      <c r="A103" s="3" t="s">
        <v>2582</v>
      </c>
      <c r="B103" s="3" t="s">
        <v>2583</v>
      </c>
      <c r="C103" s="3" t="s">
        <v>60</v>
      </c>
      <c r="D103" s="3" t="s">
        <v>2583</v>
      </c>
      <c r="E103" s="7" t="str">
        <f>HYPERLINK("https://data.bls.gov/projections/nationalMatrix?queryParams=332700&amp;ioType=i", "Projections for 332700")</f>
        <v>Projections for 332700</v>
      </c>
    </row>
    <row r="104" spans="1:5" x14ac:dyDescent="0.35">
      <c r="A104" s="3" t="s">
        <v>2584</v>
      </c>
      <c r="B104" s="3" t="s">
        <v>2585</v>
      </c>
      <c r="C104" s="3" t="s">
        <v>65</v>
      </c>
      <c r="D104" s="3" t="s">
        <v>2585</v>
      </c>
      <c r="E104" s="7" t="str">
        <f>HYPERLINK("https://data.bls.gov/projections/nationalMatrix?queryParams=332710&amp;ioType=i", "Projections for 332710")</f>
        <v>Projections for 332710</v>
      </c>
    </row>
    <row r="105" spans="1:5" x14ac:dyDescent="0.35">
      <c r="A105" s="3" t="s">
        <v>2586</v>
      </c>
      <c r="B105" s="3" t="s">
        <v>2587</v>
      </c>
      <c r="C105" s="3" t="s">
        <v>65</v>
      </c>
      <c r="D105" s="3" t="s">
        <v>2587</v>
      </c>
      <c r="E105" s="7" t="str">
        <f>HYPERLINK("https://data.bls.gov/projections/nationalMatrix?queryParams=332720&amp;ioType=i", "Projections for 332720")</f>
        <v>Projections for 332720</v>
      </c>
    </row>
    <row r="106" spans="1:5" x14ac:dyDescent="0.35">
      <c r="A106" s="3" t="s">
        <v>2588</v>
      </c>
      <c r="B106" s="3" t="s">
        <v>2589</v>
      </c>
      <c r="C106" s="3" t="s">
        <v>65</v>
      </c>
      <c r="D106" s="3" t="s">
        <v>2589</v>
      </c>
      <c r="E106" s="7" t="str">
        <f>HYPERLINK("https://data.bls.gov/projections/nationalMatrix?queryParams=332800&amp;ioType=i", "Projections for 332800")</f>
        <v>Projections for 332800</v>
      </c>
    </row>
    <row r="107" spans="1:5" x14ac:dyDescent="0.35">
      <c r="A107" s="3" t="s">
        <v>2590</v>
      </c>
      <c r="B107" s="3" t="s">
        <v>2591</v>
      </c>
      <c r="C107" s="3" t="s">
        <v>65</v>
      </c>
      <c r="D107" s="3" t="s">
        <v>2592</v>
      </c>
      <c r="E107" s="7" t="str">
        <f>HYPERLINK("https://data.bls.gov/projections/nationalMatrix?queryParams=3320A1&amp;ioType=i", "Projections for 3320A1")</f>
        <v>Projections for 3320A1</v>
      </c>
    </row>
    <row r="108" spans="1:5" x14ac:dyDescent="0.35">
      <c r="A108" s="3" t="s">
        <v>2593</v>
      </c>
      <c r="B108" s="3" t="s">
        <v>2594</v>
      </c>
      <c r="C108" s="3" t="s">
        <v>60</v>
      </c>
      <c r="D108" s="3" t="s">
        <v>2594</v>
      </c>
      <c r="E108" s="7" t="str">
        <f>HYPERLINK("https://data.bls.gov/projections/nationalMatrix?queryParams=333000&amp;ioType=i", "Projections for 333000")</f>
        <v>Projections for 333000</v>
      </c>
    </row>
    <row r="109" spans="1:5" x14ac:dyDescent="0.35">
      <c r="A109" s="3" t="s">
        <v>2595</v>
      </c>
      <c r="B109" s="3" t="s">
        <v>2596</v>
      </c>
      <c r="C109" s="3" t="s">
        <v>65</v>
      </c>
      <c r="D109" s="3" t="s">
        <v>2596</v>
      </c>
      <c r="E109" s="7" t="str">
        <f>HYPERLINK("https://data.bls.gov/projections/nationalMatrix?queryParams=333300&amp;ioType=i", "Projections for 333300")</f>
        <v>Projections for 333300</v>
      </c>
    </row>
    <row r="110" spans="1:5" x14ac:dyDescent="0.35">
      <c r="A110" s="3" t="s">
        <v>2597</v>
      </c>
      <c r="B110" s="3" t="s">
        <v>2598</v>
      </c>
      <c r="C110" s="3" t="s">
        <v>65</v>
      </c>
      <c r="D110" s="3" t="s">
        <v>2598</v>
      </c>
      <c r="E110" s="7" t="str">
        <f>HYPERLINK("https://data.bls.gov/projections/nationalMatrix?queryParams=333500&amp;ioType=i", "Projections for 333500")</f>
        <v>Projections for 333500</v>
      </c>
    </row>
    <row r="111" spans="1:5" x14ac:dyDescent="0.35">
      <c r="A111" s="3" t="s">
        <v>2599</v>
      </c>
      <c r="B111" s="3" t="s">
        <v>2600</v>
      </c>
      <c r="C111" s="3" t="s">
        <v>65</v>
      </c>
      <c r="D111" s="3" t="s">
        <v>2600</v>
      </c>
      <c r="E111" s="7" t="str">
        <f>HYPERLINK("https://data.bls.gov/projections/nationalMatrix?queryParams=333600&amp;ioType=i", "Projections for 333600")</f>
        <v>Projections for 333600</v>
      </c>
    </row>
    <row r="112" spans="1:5" x14ac:dyDescent="0.35">
      <c r="A112" s="3" t="s">
        <v>2601</v>
      </c>
      <c r="B112" s="3" t="s">
        <v>2602</v>
      </c>
      <c r="C112" s="3" t="s">
        <v>65</v>
      </c>
      <c r="D112" s="3" t="s">
        <v>2603</v>
      </c>
      <c r="E112" s="7" t="str">
        <f>HYPERLINK("https://data.bls.gov/projections/nationalMatrix?queryParams=3330A1&amp;ioType=i", "Projections for 3330A1")</f>
        <v>Projections for 3330A1</v>
      </c>
    </row>
    <row r="113" spans="1:5" x14ac:dyDescent="0.35">
      <c r="A113" s="3" t="s">
        <v>2604</v>
      </c>
      <c r="B113" s="3" t="s">
        <v>2605</v>
      </c>
      <c r="C113" s="3" t="s">
        <v>60</v>
      </c>
      <c r="D113" s="3" t="s">
        <v>2605</v>
      </c>
      <c r="E113" s="7" t="str">
        <f>HYPERLINK("https://data.bls.gov/projections/nationalMatrix?queryParams=334000&amp;ioType=i", "Projections for 334000")</f>
        <v>Projections for 334000</v>
      </c>
    </row>
    <row r="114" spans="1:5" x14ac:dyDescent="0.35">
      <c r="A114" s="3" t="s">
        <v>2606</v>
      </c>
      <c r="B114" s="3" t="s">
        <v>2607</v>
      </c>
      <c r="C114" s="3" t="s">
        <v>65</v>
      </c>
      <c r="D114" s="3" t="s">
        <v>2607</v>
      </c>
      <c r="E114" s="7" t="str">
        <f>HYPERLINK("https://data.bls.gov/projections/nationalMatrix?queryParams=334100&amp;ioType=i", "Projections for 334100")</f>
        <v>Projections for 334100</v>
      </c>
    </row>
    <row r="115" spans="1:5" x14ac:dyDescent="0.35">
      <c r="A115" s="3" t="s">
        <v>2608</v>
      </c>
      <c r="B115" s="3" t="s">
        <v>2609</v>
      </c>
      <c r="C115" s="3" t="s">
        <v>65</v>
      </c>
      <c r="D115" s="3" t="s">
        <v>2609</v>
      </c>
      <c r="E115" s="7" t="str">
        <f>HYPERLINK("https://data.bls.gov/projections/nationalMatrix?queryParams=334200&amp;ioType=i", "Projections for 334200")</f>
        <v>Projections for 334200</v>
      </c>
    </row>
    <row r="116" spans="1:5" x14ac:dyDescent="0.35">
      <c r="A116" s="3" t="s">
        <v>2610</v>
      </c>
      <c r="B116" s="3" t="s">
        <v>2611</v>
      </c>
      <c r="C116" s="3" t="s">
        <v>65</v>
      </c>
      <c r="D116" s="3" t="s">
        <v>2611</v>
      </c>
      <c r="E116" s="7" t="str">
        <f>HYPERLINK("https://data.bls.gov/projections/nationalMatrix?queryParams=334300&amp;ioType=i", "Projections for 334300")</f>
        <v>Projections for 334300</v>
      </c>
    </row>
    <row r="117" spans="1:5" x14ac:dyDescent="0.35">
      <c r="A117" s="3" t="s">
        <v>2612</v>
      </c>
      <c r="B117" s="3" t="s">
        <v>2613</v>
      </c>
      <c r="C117" s="3" t="s">
        <v>65</v>
      </c>
      <c r="D117" s="3" t="s">
        <v>2613</v>
      </c>
      <c r="E117" s="7" t="str">
        <f>HYPERLINK("https://data.bls.gov/projections/nationalMatrix?queryParams=334400&amp;ioType=i", "Projections for 334400")</f>
        <v>Projections for 334400</v>
      </c>
    </row>
    <row r="118" spans="1:5" x14ac:dyDescent="0.35">
      <c r="A118" s="3" t="s">
        <v>2614</v>
      </c>
      <c r="B118" s="3" t="s">
        <v>2615</v>
      </c>
      <c r="C118" s="3" t="s">
        <v>65</v>
      </c>
      <c r="D118" s="3" t="s">
        <v>2615</v>
      </c>
      <c r="E118" s="7" t="str">
        <f>HYPERLINK("https://data.bls.gov/projections/nationalMatrix?queryParams=334500&amp;ioType=i", "Projections for 334500")</f>
        <v>Projections for 334500</v>
      </c>
    </row>
    <row r="119" spans="1:5" x14ac:dyDescent="0.35">
      <c r="A119" s="3" t="s">
        <v>2616</v>
      </c>
      <c r="B119" s="3" t="s">
        <v>2617</v>
      </c>
      <c r="C119" s="3" t="s">
        <v>65</v>
      </c>
      <c r="D119" s="3" t="s">
        <v>2617</v>
      </c>
      <c r="E119" s="7" t="str">
        <f>HYPERLINK("https://data.bls.gov/projections/nationalMatrix?queryParams=334600&amp;ioType=i", "Projections for 334600")</f>
        <v>Projections for 334600</v>
      </c>
    </row>
    <row r="120" spans="1:5" x14ac:dyDescent="0.35">
      <c r="A120" s="3" t="s">
        <v>2618</v>
      </c>
      <c r="B120" s="3" t="s">
        <v>2619</v>
      </c>
      <c r="C120" s="3" t="s">
        <v>60</v>
      </c>
      <c r="D120" s="3" t="s">
        <v>2619</v>
      </c>
      <c r="E120" s="7" t="str">
        <f>HYPERLINK("https://data.bls.gov/projections/nationalMatrix?queryParams=335000&amp;ioType=i", "Projections for 335000")</f>
        <v>Projections for 335000</v>
      </c>
    </row>
    <row r="121" spans="1:5" x14ac:dyDescent="0.35">
      <c r="A121" s="3" t="s">
        <v>2620</v>
      </c>
      <c r="B121" s="3" t="s">
        <v>2621</v>
      </c>
      <c r="C121" s="3" t="s">
        <v>65</v>
      </c>
      <c r="D121" s="3" t="s">
        <v>2621</v>
      </c>
      <c r="E121" s="7" t="str">
        <f>HYPERLINK("https://data.bls.gov/projections/nationalMatrix?queryParams=335100&amp;ioType=i", "Projections for 335100")</f>
        <v>Projections for 335100</v>
      </c>
    </row>
    <row r="122" spans="1:5" x14ac:dyDescent="0.35">
      <c r="A122" s="3" t="s">
        <v>2622</v>
      </c>
      <c r="B122" s="3" t="s">
        <v>2623</v>
      </c>
      <c r="C122" s="3" t="s">
        <v>65</v>
      </c>
      <c r="D122" s="3" t="s">
        <v>2623</v>
      </c>
      <c r="E122" s="7" t="str">
        <f>HYPERLINK("https://data.bls.gov/projections/nationalMatrix?queryParams=335200&amp;ioType=i", "Projections for 335200")</f>
        <v>Projections for 335200</v>
      </c>
    </row>
    <row r="123" spans="1:5" x14ac:dyDescent="0.35">
      <c r="A123" s="3" t="s">
        <v>2624</v>
      </c>
      <c r="B123" s="3" t="s">
        <v>2625</v>
      </c>
      <c r="C123" s="3" t="s">
        <v>65</v>
      </c>
      <c r="D123" s="3" t="s">
        <v>2625</v>
      </c>
      <c r="E123" s="7" t="str">
        <f>HYPERLINK("https://data.bls.gov/projections/nationalMatrix?queryParams=335300&amp;ioType=i", "Projections for 335300")</f>
        <v>Projections for 335300</v>
      </c>
    </row>
    <row r="124" spans="1:5" x14ac:dyDescent="0.35">
      <c r="A124" s="3" t="s">
        <v>2626</v>
      </c>
      <c r="B124" s="3" t="s">
        <v>2627</v>
      </c>
      <c r="C124" s="3" t="s">
        <v>65</v>
      </c>
      <c r="D124" s="3" t="s">
        <v>2627</v>
      </c>
      <c r="E124" s="7" t="str">
        <f>HYPERLINK("https://data.bls.gov/projections/nationalMatrix?queryParams=335900&amp;ioType=i", "Projections for 335900")</f>
        <v>Projections for 335900</v>
      </c>
    </row>
    <row r="125" spans="1:5" x14ac:dyDescent="0.35">
      <c r="A125" s="3" t="s">
        <v>2628</v>
      </c>
      <c r="B125" s="3" t="s">
        <v>2629</v>
      </c>
      <c r="C125" s="3" t="s">
        <v>60</v>
      </c>
      <c r="D125" s="3" t="s">
        <v>2629</v>
      </c>
      <c r="E125" s="7" t="str">
        <f>HYPERLINK("https://data.bls.gov/projections/nationalMatrix?queryParams=336000&amp;ioType=i", "Projections for 336000")</f>
        <v>Projections for 336000</v>
      </c>
    </row>
    <row r="126" spans="1:5" x14ac:dyDescent="0.35">
      <c r="A126" s="3" t="s">
        <v>2630</v>
      </c>
      <c r="B126" s="3" t="s">
        <v>2631</v>
      </c>
      <c r="C126" s="3" t="s">
        <v>65</v>
      </c>
      <c r="D126" s="3" t="s">
        <v>2631</v>
      </c>
      <c r="E126" s="7" t="str">
        <f>HYPERLINK("https://data.bls.gov/projections/nationalMatrix?queryParams=336100&amp;ioType=i", "Projections for 336100")</f>
        <v>Projections for 336100</v>
      </c>
    </row>
    <row r="127" spans="1:5" x14ac:dyDescent="0.35">
      <c r="A127" s="3" t="s">
        <v>2632</v>
      </c>
      <c r="B127" s="3" t="s">
        <v>2633</v>
      </c>
      <c r="C127" s="3" t="s">
        <v>65</v>
      </c>
      <c r="D127" s="3" t="s">
        <v>2633</v>
      </c>
      <c r="E127" s="7" t="str">
        <f>HYPERLINK("https://data.bls.gov/projections/nationalMatrix?queryParams=336200&amp;ioType=i", "Projections for 336200")</f>
        <v>Projections for 336200</v>
      </c>
    </row>
    <row r="128" spans="1:5" x14ac:dyDescent="0.35">
      <c r="A128" s="3" t="s">
        <v>2634</v>
      </c>
      <c r="B128" s="3" t="s">
        <v>2635</v>
      </c>
      <c r="C128" s="3" t="s">
        <v>65</v>
      </c>
      <c r="D128" s="3" t="s">
        <v>2635</v>
      </c>
      <c r="E128" s="7" t="str">
        <f>HYPERLINK("https://data.bls.gov/projections/nationalMatrix?queryParams=336300&amp;ioType=i", "Projections for 336300")</f>
        <v>Projections for 336300</v>
      </c>
    </row>
    <row r="129" spans="1:5" x14ac:dyDescent="0.35">
      <c r="A129" s="3" t="s">
        <v>2636</v>
      </c>
      <c r="B129" s="3" t="s">
        <v>2637</v>
      </c>
      <c r="C129" s="3" t="s">
        <v>65</v>
      </c>
      <c r="D129" s="3" t="s">
        <v>2637</v>
      </c>
      <c r="E129" s="7" t="str">
        <f>HYPERLINK("https://data.bls.gov/projections/nationalMatrix?queryParams=336400&amp;ioType=i", "Projections for 336400")</f>
        <v>Projections for 336400</v>
      </c>
    </row>
    <row r="130" spans="1:5" x14ac:dyDescent="0.35">
      <c r="A130" s="3" t="s">
        <v>2638</v>
      </c>
      <c r="B130" s="3" t="s">
        <v>2639</v>
      </c>
      <c r="C130" s="3" t="s">
        <v>65</v>
      </c>
      <c r="D130" s="3" t="s">
        <v>2639</v>
      </c>
      <c r="E130" s="7" t="str">
        <f>HYPERLINK("https://data.bls.gov/projections/nationalMatrix?queryParams=336500&amp;ioType=i", "Projections for 336500")</f>
        <v>Projections for 336500</v>
      </c>
    </row>
    <row r="131" spans="1:5" x14ac:dyDescent="0.35">
      <c r="A131" s="3" t="s">
        <v>2640</v>
      </c>
      <c r="B131" s="3" t="s">
        <v>2641</v>
      </c>
      <c r="C131" s="3" t="s">
        <v>65</v>
      </c>
      <c r="D131" s="3" t="s">
        <v>2641</v>
      </c>
      <c r="E131" s="7" t="str">
        <f>HYPERLINK("https://data.bls.gov/projections/nationalMatrix?queryParams=336600&amp;ioType=i", "Projections for 336600")</f>
        <v>Projections for 336600</v>
      </c>
    </row>
    <row r="132" spans="1:5" x14ac:dyDescent="0.35">
      <c r="A132" s="3" t="s">
        <v>2642</v>
      </c>
      <c r="B132" s="3" t="s">
        <v>2643</v>
      </c>
      <c r="C132" s="3" t="s">
        <v>65</v>
      </c>
      <c r="D132" s="3" t="s">
        <v>2643</v>
      </c>
      <c r="E132" s="7" t="str">
        <f>HYPERLINK("https://data.bls.gov/projections/nationalMatrix?queryParams=336900&amp;ioType=i", "Projections for 336900")</f>
        <v>Projections for 336900</v>
      </c>
    </row>
    <row r="133" spans="1:5" x14ac:dyDescent="0.35">
      <c r="A133" s="3" t="s">
        <v>2644</v>
      </c>
      <c r="B133" s="3" t="s">
        <v>2645</v>
      </c>
      <c r="C133" s="3" t="s">
        <v>60</v>
      </c>
      <c r="D133" s="3" t="s">
        <v>2645</v>
      </c>
      <c r="E133" s="7" t="str">
        <f>HYPERLINK("https://data.bls.gov/projections/nationalMatrix?queryParams=337000&amp;ioType=i", "Projections for 337000")</f>
        <v>Projections for 337000</v>
      </c>
    </row>
    <row r="134" spans="1:5" x14ac:dyDescent="0.35">
      <c r="A134" s="3" t="s">
        <v>2646</v>
      </c>
      <c r="B134" s="3" t="s">
        <v>2647</v>
      </c>
      <c r="C134" s="3" t="s">
        <v>65</v>
      </c>
      <c r="D134" s="3" t="s">
        <v>2648</v>
      </c>
      <c r="E134" s="7" t="str">
        <f>HYPERLINK("https://data.bls.gov/projections/nationalMatrix?queryParams=3370A1&amp;ioType=i", "Projections for 3370A1")</f>
        <v>Projections for 3370A1</v>
      </c>
    </row>
    <row r="135" spans="1:5" x14ac:dyDescent="0.35">
      <c r="A135" s="3" t="s">
        <v>2649</v>
      </c>
      <c r="B135" s="3" t="s">
        <v>2650</v>
      </c>
      <c r="C135" s="3" t="s">
        <v>65</v>
      </c>
      <c r="D135" s="3" t="s">
        <v>2650</v>
      </c>
      <c r="E135" s="7" t="str">
        <f>HYPERLINK("https://data.bls.gov/projections/nationalMatrix?queryParams=337900&amp;ioType=i", "Projections for 337900")</f>
        <v>Projections for 337900</v>
      </c>
    </row>
    <row r="136" spans="1:5" x14ac:dyDescent="0.35">
      <c r="A136" s="3" t="s">
        <v>2651</v>
      </c>
      <c r="B136" s="3" t="s">
        <v>2652</v>
      </c>
      <c r="C136" s="3" t="s">
        <v>60</v>
      </c>
      <c r="D136" s="3" t="s">
        <v>2652</v>
      </c>
      <c r="E136" s="7" t="str">
        <f>HYPERLINK("https://data.bls.gov/projections/nationalMatrix?queryParams=339000&amp;ioType=i", "Projections for 339000")</f>
        <v>Projections for 339000</v>
      </c>
    </row>
    <row r="137" spans="1:5" x14ac:dyDescent="0.35">
      <c r="A137" s="3" t="s">
        <v>2653</v>
      </c>
      <c r="B137" s="3" t="s">
        <v>2654</v>
      </c>
      <c r="C137" s="3" t="s">
        <v>65</v>
      </c>
      <c r="D137" s="3" t="s">
        <v>2654</v>
      </c>
      <c r="E137" s="7" t="str">
        <f>HYPERLINK("https://data.bls.gov/projections/nationalMatrix?queryParams=339100&amp;ioType=i", "Projections for 339100")</f>
        <v>Projections for 339100</v>
      </c>
    </row>
    <row r="138" spans="1:5" x14ac:dyDescent="0.35">
      <c r="A138" s="3" t="s">
        <v>2655</v>
      </c>
      <c r="B138" s="3" t="s">
        <v>2656</v>
      </c>
      <c r="C138" s="3" t="s">
        <v>60</v>
      </c>
      <c r="D138" s="3" t="s">
        <v>2656</v>
      </c>
      <c r="E138" s="7" t="str">
        <f>HYPERLINK("https://data.bls.gov/projections/nationalMatrix?queryParams=339900&amp;ioType=i", "Projections for 339900")</f>
        <v>Projections for 339900</v>
      </c>
    </row>
    <row r="139" spans="1:5" x14ac:dyDescent="0.35">
      <c r="A139" s="3" t="s">
        <v>2657</v>
      </c>
      <c r="B139" s="3" t="s">
        <v>2658</v>
      </c>
      <c r="C139" s="3" t="s">
        <v>65</v>
      </c>
      <c r="D139" s="3" t="s">
        <v>2658</v>
      </c>
      <c r="E139" s="7" t="str">
        <f>HYPERLINK("https://data.bls.gov/projections/nationalMatrix?queryParams=339910&amp;ioType=i", "Projections for 339910")</f>
        <v>Projections for 339910</v>
      </c>
    </row>
    <row r="140" spans="1:5" x14ac:dyDescent="0.35">
      <c r="A140" s="3" t="s">
        <v>2659</v>
      </c>
      <c r="B140" s="3" t="s">
        <v>2660</v>
      </c>
      <c r="C140" s="3" t="s">
        <v>60</v>
      </c>
      <c r="D140" s="3" t="s">
        <v>2660</v>
      </c>
      <c r="E140" s="7" t="str">
        <f>HYPERLINK("https://data.bls.gov/projections/nationalMatrix?queryParams=420000&amp;ioType=i", "Projections for 420000")</f>
        <v>Projections for 420000</v>
      </c>
    </row>
    <row r="141" spans="1:5" x14ac:dyDescent="0.35">
      <c r="A141" s="3" t="s">
        <v>2661</v>
      </c>
      <c r="B141" s="3" t="s">
        <v>2662</v>
      </c>
      <c r="C141" s="3" t="s">
        <v>60</v>
      </c>
      <c r="D141" s="3" t="s">
        <v>2662</v>
      </c>
      <c r="E141" s="7" t="str">
        <f>HYPERLINK("https://data.bls.gov/projections/nationalMatrix?queryParams=423000&amp;ioType=i", "Projections for 423000")</f>
        <v>Projections for 423000</v>
      </c>
    </row>
    <row r="142" spans="1:5" x14ac:dyDescent="0.35">
      <c r="A142" s="3" t="s">
        <v>2663</v>
      </c>
      <c r="B142" s="3" t="s">
        <v>2664</v>
      </c>
      <c r="C142" s="3" t="s">
        <v>65</v>
      </c>
      <c r="D142" s="3" t="s">
        <v>2664</v>
      </c>
      <c r="E142" s="7" t="str">
        <f>HYPERLINK("https://data.bls.gov/projections/nationalMatrix?queryParams=423100&amp;ioType=i", "Projections for 423100")</f>
        <v>Projections for 423100</v>
      </c>
    </row>
    <row r="143" spans="1:5" x14ac:dyDescent="0.35">
      <c r="A143" s="3" t="s">
        <v>2665</v>
      </c>
      <c r="B143" s="3" t="s">
        <v>2666</v>
      </c>
      <c r="C143" s="3" t="s">
        <v>65</v>
      </c>
      <c r="D143" s="3" t="s">
        <v>2666</v>
      </c>
      <c r="E143" s="7" t="str">
        <f>HYPERLINK("https://data.bls.gov/projections/nationalMatrix?queryParams=423400&amp;ioType=i", "Projections for 423400")</f>
        <v>Projections for 423400</v>
      </c>
    </row>
    <row r="144" spans="1:5" x14ac:dyDescent="0.35">
      <c r="A144" s="3" t="s">
        <v>2667</v>
      </c>
      <c r="B144" s="3" t="s">
        <v>2668</v>
      </c>
      <c r="C144" s="3" t="s">
        <v>60</v>
      </c>
      <c r="D144" s="3" t="s">
        <v>2668</v>
      </c>
      <c r="E144" s="7" t="str">
        <f>HYPERLINK("https://data.bls.gov/projections/nationalMatrix?queryParams=423800&amp;ioType=i", "Projections for 423800")</f>
        <v>Projections for 423800</v>
      </c>
    </row>
    <row r="145" spans="1:5" x14ac:dyDescent="0.35">
      <c r="A145" s="3" t="s">
        <v>2669</v>
      </c>
      <c r="B145" s="3" t="s">
        <v>2670</v>
      </c>
      <c r="C145" s="3" t="s">
        <v>65</v>
      </c>
      <c r="D145" s="3" t="s">
        <v>2670</v>
      </c>
      <c r="E145" s="7" t="str">
        <f>HYPERLINK("https://data.bls.gov/projections/nationalMatrix?queryParams=423820&amp;ioType=i", "Projections for 423820")</f>
        <v>Projections for 423820</v>
      </c>
    </row>
    <row r="146" spans="1:5" x14ac:dyDescent="0.35">
      <c r="A146" s="3" t="s">
        <v>2671</v>
      </c>
      <c r="B146" s="3" t="s">
        <v>2672</v>
      </c>
      <c r="C146" s="3" t="s">
        <v>65</v>
      </c>
      <c r="D146" s="3" t="s">
        <v>2673</v>
      </c>
      <c r="E146" s="7" t="str">
        <f>HYPERLINK("https://data.bls.gov/projections/nationalMatrix?queryParams=4230A1&amp;ioType=i", "Projections for 4230A1")</f>
        <v>Projections for 4230A1</v>
      </c>
    </row>
    <row r="147" spans="1:5" x14ac:dyDescent="0.35">
      <c r="A147" s="3" t="s">
        <v>2674</v>
      </c>
      <c r="B147" s="3" t="s">
        <v>2675</v>
      </c>
      <c r="C147" s="3" t="s">
        <v>60</v>
      </c>
      <c r="D147" s="3" t="s">
        <v>2675</v>
      </c>
      <c r="E147" s="7" t="str">
        <f>HYPERLINK("https://data.bls.gov/projections/nationalMatrix?queryParams=424000&amp;ioType=i", "Projections for 424000")</f>
        <v>Projections for 424000</v>
      </c>
    </row>
    <row r="148" spans="1:5" x14ac:dyDescent="0.35">
      <c r="A148" s="3" t="s">
        <v>2676</v>
      </c>
      <c r="B148" s="3" t="s">
        <v>2677</v>
      </c>
      <c r="C148" s="3" t="s">
        <v>65</v>
      </c>
      <c r="D148" s="3" t="s">
        <v>2677</v>
      </c>
      <c r="E148" s="7" t="str">
        <f>HYPERLINK("https://data.bls.gov/projections/nationalMatrix?queryParams=424300&amp;ioType=i", "Projections for 424300")</f>
        <v>Projections for 424300</v>
      </c>
    </row>
    <row r="149" spans="1:5" x14ac:dyDescent="0.35">
      <c r="A149" s="3" t="s">
        <v>2678</v>
      </c>
      <c r="B149" s="3" t="s">
        <v>2679</v>
      </c>
      <c r="C149" s="3" t="s">
        <v>65</v>
      </c>
      <c r="D149" s="3" t="s">
        <v>2679</v>
      </c>
      <c r="E149" s="7" t="str">
        <f>HYPERLINK("https://data.bls.gov/projections/nationalMatrix?queryParams=424500&amp;ioType=i", "Projections for 424500")</f>
        <v>Projections for 424500</v>
      </c>
    </row>
    <row r="150" spans="1:5" x14ac:dyDescent="0.35">
      <c r="A150" s="3" t="s">
        <v>2680</v>
      </c>
      <c r="B150" s="3" t="s">
        <v>2681</v>
      </c>
      <c r="C150" s="3" t="s">
        <v>65</v>
      </c>
      <c r="D150" s="3" t="s">
        <v>2682</v>
      </c>
      <c r="E150" s="7" t="str">
        <f>HYPERLINK("https://data.bls.gov/projections/nationalMatrix?queryParams=4240A2&amp;ioType=i", "Projections for 4240A2")</f>
        <v>Projections for 4240A2</v>
      </c>
    </row>
    <row r="151" spans="1:5" x14ac:dyDescent="0.35">
      <c r="A151" s="3" t="s">
        <v>2683</v>
      </c>
      <c r="B151" s="3" t="s">
        <v>2684</v>
      </c>
      <c r="C151" s="3" t="s">
        <v>65</v>
      </c>
      <c r="D151" s="3" t="s">
        <v>2685</v>
      </c>
      <c r="E151" s="7" t="str">
        <f>HYPERLINK("https://data.bls.gov/projections/nationalMatrix?queryParams=4240A1&amp;ioType=i", "Projections for 4240A1")</f>
        <v>Projections for 4240A1</v>
      </c>
    </row>
    <row r="152" spans="1:5" x14ac:dyDescent="0.35">
      <c r="A152" s="3" t="s">
        <v>2686</v>
      </c>
      <c r="B152" s="3" t="s">
        <v>2687</v>
      </c>
      <c r="C152" s="3" t="s">
        <v>65</v>
      </c>
      <c r="D152" s="3" t="s">
        <v>2688</v>
      </c>
      <c r="E152" s="7" t="str">
        <f>HYPERLINK("https://data.bls.gov/projections/nationalMatrix?queryParams=4240A3&amp;ioType=i", "Projections for 4240A3")</f>
        <v>Projections for 4240A3</v>
      </c>
    </row>
    <row r="153" spans="1:5" x14ac:dyDescent="0.35">
      <c r="A153" s="3" t="s">
        <v>2689</v>
      </c>
      <c r="B153" s="3" t="s">
        <v>2690</v>
      </c>
      <c r="C153" s="3" t="s">
        <v>65</v>
      </c>
      <c r="D153" s="3" t="s">
        <v>2690</v>
      </c>
      <c r="E153" s="7" t="str">
        <f>HYPERLINK("https://data.bls.gov/projections/nationalMatrix?queryParams=425000&amp;ioType=i", "Projections for 425000")</f>
        <v>Projections for 425000</v>
      </c>
    </row>
    <row r="154" spans="1:5" x14ac:dyDescent="0.35">
      <c r="A154" s="3" t="s">
        <v>2691</v>
      </c>
      <c r="B154" s="3" t="s">
        <v>2692</v>
      </c>
      <c r="C154" s="3" t="s">
        <v>60</v>
      </c>
      <c r="D154" s="3" t="s">
        <v>2693</v>
      </c>
      <c r="E154" s="7" t="str">
        <f>HYPERLINK("https://data.bls.gov/projections/nationalMatrix?queryParams=44-450&amp;ioType=i", "Projections for 44-450")</f>
        <v>Projections for 44-450</v>
      </c>
    </row>
    <row r="155" spans="1:5" x14ac:dyDescent="0.35">
      <c r="A155" s="3" t="s">
        <v>2694</v>
      </c>
      <c r="B155" s="3" t="s">
        <v>2695</v>
      </c>
      <c r="C155" s="3" t="s">
        <v>60</v>
      </c>
      <c r="D155" s="3" t="s">
        <v>2695</v>
      </c>
      <c r="E155" s="7" t="str">
        <f>HYPERLINK("https://data.bls.gov/projections/nationalMatrix?queryParams=441000&amp;ioType=i", "Projections for 441000")</f>
        <v>Projections for 441000</v>
      </c>
    </row>
    <row r="156" spans="1:5" x14ac:dyDescent="0.35">
      <c r="A156" s="3" t="s">
        <v>2696</v>
      </c>
      <c r="B156" s="3" t="s">
        <v>2697</v>
      </c>
      <c r="C156" s="3" t="s">
        <v>65</v>
      </c>
      <c r="D156" s="3" t="s">
        <v>2697</v>
      </c>
      <c r="E156" s="7" t="str">
        <f>HYPERLINK("https://data.bls.gov/projections/nationalMatrix?queryParams=441100&amp;ioType=i", "Projections for 441100")</f>
        <v>Projections for 441100</v>
      </c>
    </row>
    <row r="157" spans="1:5" x14ac:dyDescent="0.35">
      <c r="A157" s="3" t="s">
        <v>2698</v>
      </c>
      <c r="B157" s="3" t="s">
        <v>2699</v>
      </c>
      <c r="C157" s="3" t="s">
        <v>65</v>
      </c>
      <c r="D157" s="3" t="s">
        <v>2699</v>
      </c>
      <c r="E157" s="7" t="str">
        <f>HYPERLINK("https://data.bls.gov/projections/nationalMatrix?queryParams=441200&amp;ioType=i", "Projections for 441200")</f>
        <v>Projections for 441200</v>
      </c>
    </row>
    <row r="158" spans="1:5" x14ac:dyDescent="0.35">
      <c r="A158" s="3" t="s">
        <v>2700</v>
      </c>
      <c r="B158" s="3" t="s">
        <v>2701</v>
      </c>
      <c r="C158" s="3" t="s">
        <v>65</v>
      </c>
      <c r="D158" s="3" t="s">
        <v>2701</v>
      </c>
      <c r="E158" s="7" t="str">
        <f>HYPERLINK("https://data.bls.gov/projections/nationalMatrix?queryParams=441300&amp;ioType=i", "Projections for 441300")</f>
        <v>Projections for 441300</v>
      </c>
    </row>
    <row r="159" spans="1:5" x14ac:dyDescent="0.35">
      <c r="A159" s="3" t="s">
        <v>2702</v>
      </c>
      <c r="B159" s="3" t="s">
        <v>2703</v>
      </c>
      <c r="C159" s="3" t="s">
        <v>60</v>
      </c>
      <c r="D159" s="3" t="s">
        <v>2703</v>
      </c>
      <c r="E159" s="7" t="str">
        <f>HYPERLINK("https://data.bls.gov/projections/nationalMatrix?queryParams=445000&amp;ioType=i", "Projections for 445000")</f>
        <v>Projections for 445000</v>
      </c>
    </row>
    <row r="160" spans="1:5" x14ac:dyDescent="0.35">
      <c r="A160" s="3" t="s">
        <v>2704</v>
      </c>
      <c r="B160" s="3" t="s">
        <v>2705</v>
      </c>
      <c r="C160" s="3" t="s">
        <v>65</v>
      </c>
      <c r="D160" s="3" t="s">
        <v>2706</v>
      </c>
      <c r="E160" s="7" t="str">
        <f>HYPERLINK("https://data.bls.gov/projections/nationalMatrix?queryParams=4450A1&amp;ioType=i", "Projections for 4450A1")</f>
        <v>Projections for 4450A1</v>
      </c>
    </row>
    <row r="161" spans="1:5" x14ac:dyDescent="0.35">
      <c r="A161" s="3" t="s">
        <v>2707</v>
      </c>
      <c r="B161" s="3" t="s">
        <v>2708</v>
      </c>
      <c r="C161" s="3" t="s">
        <v>65</v>
      </c>
      <c r="D161" s="3" t="s">
        <v>2708</v>
      </c>
      <c r="E161" s="7" t="str">
        <f>HYPERLINK("https://data.bls.gov/projections/nationalMatrix?queryParams=445300&amp;ioType=i", "Projections for 445300")</f>
        <v>Projections for 445300</v>
      </c>
    </row>
    <row r="162" spans="1:5" x14ac:dyDescent="0.35">
      <c r="A162" s="3" t="s">
        <v>2709</v>
      </c>
      <c r="B162" s="3" t="s">
        <v>2710</v>
      </c>
      <c r="C162" s="3" t="s">
        <v>65</v>
      </c>
      <c r="D162" s="3" t="s">
        <v>2710</v>
      </c>
      <c r="E162" s="7" t="str">
        <f>HYPERLINK("https://data.bls.gov/projections/nationalMatrix?queryParams=455000&amp;ioType=i", "Projections for 455000")</f>
        <v>Projections for 455000</v>
      </c>
    </row>
    <row r="163" spans="1:5" x14ac:dyDescent="0.35">
      <c r="A163" s="3" t="s">
        <v>2711</v>
      </c>
      <c r="B163" s="3" t="s">
        <v>2712</v>
      </c>
      <c r="C163" s="3" t="s">
        <v>60</v>
      </c>
      <c r="D163" s="3" t="s">
        <v>2713</v>
      </c>
      <c r="E163" s="7" t="str">
        <f>HYPERLINK("https://data.bls.gov/projections/nationalMatrix?queryParams=4445R0&amp;ioType=i", "Projections for 4445R0")</f>
        <v>Projections for 4445R0</v>
      </c>
    </row>
    <row r="164" spans="1:5" x14ac:dyDescent="0.35">
      <c r="A164" s="3" t="s">
        <v>2714</v>
      </c>
      <c r="B164" s="3" t="s">
        <v>2715</v>
      </c>
      <c r="C164" s="3" t="s">
        <v>60</v>
      </c>
      <c r="D164" s="3" t="s">
        <v>2715</v>
      </c>
      <c r="E164" s="7" t="str">
        <f>HYPERLINK("https://data.bls.gov/projections/nationalMatrix?queryParams=444000&amp;ioType=i", "Projections for 444000")</f>
        <v>Projections for 444000</v>
      </c>
    </row>
    <row r="165" spans="1:5" x14ac:dyDescent="0.35">
      <c r="A165" s="3" t="s">
        <v>2716</v>
      </c>
      <c r="B165" s="3" t="s">
        <v>2717</v>
      </c>
      <c r="C165" s="3" t="s">
        <v>65</v>
      </c>
      <c r="D165" s="3" t="s">
        <v>2717</v>
      </c>
      <c r="E165" s="7" t="str">
        <f>HYPERLINK("https://data.bls.gov/projections/nationalMatrix?queryParams=444100&amp;ioType=i", "Projections for 444100")</f>
        <v>Projections for 444100</v>
      </c>
    </row>
    <row r="166" spans="1:5" x14ac:dyDescent="0.35">
      <c r="A166" s="3" t="s">
        <v>2718</v>
      </c>
      <c r="B166" s="3" t="s">
        <v>2719</v>
      </c>
      <c r="C166" s="3" t="s">
        <v>65</v>
      </c>
      <c r="D166" s="3" t="s">
        <v>2719</v>
      </c>
      <c r="E166" s="7" t="str">
        <f>HYPERLINK("https://data.bls.gov/projections/nationalMatrix?queryParams=444200&amp;ioType=i", "Projections for 444200")</f>
        <v>Projections for 444200</v>
      </c>
    </row>
    <row r="167" spans="1:5" x14ac:dyDescent="0.35">
      <c r="A167" s="3" t="s">
        <v>2720</v>
      </c>
      <c r="B167" s="3" t="s">
        <v>2721</v>
      </c>
      <c r="C167" s="3" t="s">
        <v>60</v>
      </c>
      <c r="D167" s="3" t="s">
        <v>2721</v>
      </c>
      <c r="E167" s="7" t="str">
        <f>HYPERLINK("https://data.bls.gov/projections/nationalMatrix?queryParams=449000&amp;ioType=i", "Projections for 449000")</f>
        <v>Projections for 449000</v>
      </c>
    </row>
    <row r="168" spans="1:5" x14ac:dyDescent="0.35">
      <c r="A168" s="3" t="s">
        <v>2722</v>
      </c>
      <c r="B168" s="3" t="s">
        <v>2723</v>
      </c>
      <c r="C168" s="3" t="s">
        <v>65</v>
      </c>
      <c r="D168" s="3" t="s">
        <v>2723</v>
      </c>
      <c r="E168" s="7" t="str">
        <f>HYPERLINK("https://data.bls.gov/projections/nationalMatrix?queryParams=449100&amp;ioType=i", "Projections for 449100")</f>
        <v>Projections for 449100</v>
      </c>
    </row>
    <row r="169" spans="1:5" x14ac:dyDescent="0.35">
      <c r="A169" s="3" t="s">
        <v>2724</v>
      </c>
      <c r="B169" s="3" t="s">
        <v>2725</v>
      </c>
      <c r="C169" s="3" t="s">
        <v>65</v>
      </c>
      <c r="D169" s="3" t="s">
        <v>2725</v>
      </c>
      <c r="E169" s="7" t="str">
        <f>HYPERLINK("https://data.bls.gov/projections/nationalMatrix?queryParams=449200&amp;ioType=i", "Projections for 449200")</f>
        <v>Projections for 449200</v>
      </c>
    </row>
    <row r="170" spans="1:5" x14ac:dyDescent="0.35">
      <c r="A170" s="3" t="s">
        <v>2726</v>
      </c>
      <c r="B170" s="3" t="s">
        <v>2727</v>
      </c>
      <c r="C170" s="3" t="s">
        <v>60</v>
      </c>
      <c r="D170" s="3" t="s">
        <v>2727</v>
      </c>
      <c r="E170" s="7" t="str">
        <f>HYPERLINK("https://data.bls.gov/projections/nationalMatrix?queryParams=456000&amp;ioType=i", "Projections for 456000")</f>
        <v>Projections for 456000</v>
      </c>
    </row>
    <row r="171" spans="1:5" x14ac:dyDescent="0.35">
      <c r="A171" s="3" t="s">
        <v>2728</v>
      </c>
      <c r="B171" s="3" t="s">
        <v>2729</v>
      </c>
      <c r="C171" s="3" t="s">
        <v>60</v>
      </c>
      <c r="D171" s="3" t="s">
        <v>2729</v>
      </c>
      <c r="E171" s="7" t="str">
        <f>HYPERLINK("https://data.bls.gov/projections/nationalMatrix?queryParams=456100&amp;ioType=i", "Projections for 456100")</f>
        <v>Projections for 456100</v>
      </c>
    </row>
    <row r="172" spans="1:5" x14ac:dyDescent="0.35">
      <c r="A172" s="3" t="s">
        <v>2730</v>
      </c>
      <c r="B172" s="3" t="s">
        <v>2731</v>
      </c>
      <c r="C172" s="3" t="s">
        <v>65</v>
      </c>
      <c r="D172" s="3" t="s">
        <v>2731</v>
      </c>
      <c r="E172" s="7" t="str">
        <f>HYPERLINK("https://data.bls.gov/projections/nationalMatrix?queryParams=456110&amp;ioType=i", "Projections for 456110")</f>
        <v>Projections for 456110</v>
      </c>
    </row>
    <row r="173" spans="1:5" x14ac:dyDescent="0.35">
      <c r="A173" s="3" t="s">
        <v>2732</v>
      </c>
      <c r="B173" s="3" t="s">
        <v>2733</v>
      </c>
      <c r="C173" s="3" t="s">
        <v>60</v>
      </c>
      <c r="D173" s="3" t="s">
        <v>2733</v>
      </c>
      <c r="E173" s="7" t="str">
        <f>HYPERLINK("https://data.bls.gov/projections/nationalMatrix?queryParams=457000&amp;ioType=i", "Projections for 457000")</f>
        <v>Projections for 457000</v>
      </c>
    </row>
    <row r="174" spans="1:5" x14ac:dyDescent="0.35">
      <c r="A174" s="3" t="s">
        <v>2734</v>
      </c>
      <c r="B174" s="3" t="s">
        <v>2735</v>
      </c>
      <c r="C174" s="3" t="s">
        <v>65</v>
      </c>
      <c r="D174" s="3" t="s">
        <v>2735</v>
      </c>
      <c r="E174" s="7" t="str">
        <f>HYPERLINK("https://data.bls.gov/projections/nationalMatrix?queryParams=457100&amp;ioType=i", "Projections for 457100")</f>
        <v>Projections for 457100</v>
      </c>
    </row>
    <row r="175" spans="1:5" x14ac:dyDescent="0.35">
      <c r="A175" s="3" t="s">
        <v>2736</v>
      </c>
      <c r="B175" s="3" t="s">
        <v>2737</v>
      </c>
      <c r="C175" s="3" t="s">
        <v>65</v>
      </c>
      <c r="D175" s="3" t="s">
        <v>2737</v>
      </c>
      <c r="E175" s="7" t="str">
        <f>HYPERLINK("https://data.bls.gov/projections/nationalMatrix?queryParams=457200&amp;ioType=i", "Projections for 457200")</f>
        <v>Projections for 457200</v>
      </c>
    </row>
    <row r="176" spans="1:5" x14ac:dyDescent="0.35">
      <c r="A176" s="3" t="s">
        <v>2738</v>
      </c>
      <c r="B176" s="3" t="s">
        <v>2739</v>
      </c>
      <c r="C176" s="3" t="s">
        <v>60</v>
      </c>
      <c r="D176" s="3" t="s">
        <v>2739</v>
      </c>
      <c r="E176" s="7" t="str">
        <f>HYPERLINK("https://data.bls.gov/projections/nationalMatrix?queryParams=458000&amp;ioType=i", "Projections for 458000")</f>
        <v>Projections for 458000</v>
      </c>
    </row>
    <row r="177" spans="1:5" x14ac:dyDescent="0.35">
      <c r="A177" s="3" t="s">
        <v>2740</v>
      </c>
      <c r="B177" s="3" t="s">
        <v>2741</v>
      </c>
      <c r="C177" s="3" t="s">
        <v>65</v>
      </c>
      <c r="D177" s="3" t="s">
        <v>2741</v>
      </c>
      <c r="E177" s="7" t="str">
        <f>HYPERLINK("https://data.bls.gov/projections/nationalMatrix?queryParams=458100&amp;ioType=i", "Projections for 458100")</f>
        <v>Projections for 458100</v>
      </c>
    </row>
    <row r="178" spans="1:5" x14ac:dyDescent="0.35">
      <c r="A178" s="3" t="s">
        <v>2742</v>
      </c>
      <c r="B178" s="3" t="s">
        <v>2743</v>
      </c>
      <c r="C178" s="3" t="s">
        <v>65</v>
      </c>
      <c r="D178" s="3" t="s">
        <v>2743</v>
      </c>
      <c r="E178" s="7" t="str">
        <f>HYPERLINK("https://data.bls.gov/projections/nationalMatrix?queryParams=458200&amp;ioType=i", "Projections for 458200")</f>
        <v>Projections for 458200</v>
      </c>
    </row>
    <row r="179" spans="1:5" x14ac:dyDescent="0.35">
      <c r="A179" s="3" t="s">
        <v>2744</v>
      </c>
      <c r="B179" s="3" t="s">
        <v>2745</v>
      </c>
      <c r="C179" s="3" t="s">
        <v>65</v>
      </c>
      <c r="D179" s="3" t="s">
        <v>2745</v>
      </c>
      <c r="E179" s="7" t="str">
        <f>HYPERLINK("https://data.bls.gov/projections/nationalMatrix?queryParams=458300&amp;ioType=i", "Projections for 458300")</f>
        <v>Projections for 458300</v>
      </c>
    </row>
    <row r="180" spans="1:5" x14ac:dyDescent="0.35">
      <c r="A180" s="3" t="s">
        <v>2746</v>
      </c>
      <c r="B180" s="3" t="s">
        <v>2747</v>
      </c>
      <c r="C180" s="3" t="s">
        <v>60</v>
      </c>
      <c r="D180" s="3" t="s">
        <v>2747</v>
      </c>
      <c r="E180" s="7" t="str">
        <f>HYPERLINK("https://data.bls.gov/projections/nationalMatrix?queryParams=459000&amp;ioType=i", "Projections for 459000")</f>
        <v>Projections for 459000</v>
      </c>
    </row>
    <row r="181" spans="1:5" x14ac:dyDescent="0.35">
      <c r="A181" s="3" t="s">
        <v>2748</v>
      </c>
      <c r="B181" s="3" t="s">
        <v>2749</v>
      </c>
      <c r="C181" s="3" t="s">
        <v>65</v>
      </c>
      <c r="D181" s="3" t="s">
        <v>2749</v>
      </c>
      <c r="E181" s="7" t="str">
        <f>HYPERLINK("https://data.bls.gov/projections/nationalMatrix?queryParams=459110&amp;ioType=i", "Projections for 459110")</f>
        <v>Projections for 459110</v>
      </c>
    </row>
    <row r="182" spans="1:5" x14ac:dyDescent="0.35">
      <c r="A182" s="3" t="s">
        <v>2750</v>
      </c>
      <c r="B182" s="3" t="s">
        <v>2751</v>
      </c>
      <c r="C182" s="3" t="s">
        <v>65</v>
      </c>
      <c r="D182" s="3" t="s">
        <v>2751</v>
      </c>
      <c r="E182" s="7" t="str">
        <f>HYPERLINK("https://data.bls.gov/projections/nationalMatrix?queryParams=459200&amp;ioType=i", "Projections for 459200")</f>
        <v>Projections for 459200</v>
      </c>
    </row>
    <row r="183" spans="1:5" x14ac:dyDescent="0.35">
      <c r="A183" s="3" t="s">
        <v>2752</v>
      </c>
      <c r="B183" s="3" t="s">
        <v>2753</v>
      </c>
      <c r="C183" s="3" t="s">
        <v>65</v>
      </c>
      <c r="D183" s="3" t="s">
        <v>2753</v>
      </c>
      <c r="E183" s="7" t="str">
        <f>HYPERLINK("https://data.bls.gov/projections/nationalMatrix?queryParams=459300&amp;ioType=i", "Projections for 459300")</f>
        <v>Projections for 459300</v>
      </c>
    </row>
    <row r="184" spans="1:5" x14ac:dyDescent="0.35">
      <c r="A184" s="3" t="s">
        <v>2754</v>
      </c>
      <c r="B184" s="3" t="s">
        <v>2755</v>
      </c>
      <c r="C184" s="3" t="s">
        <v>65</v>
      </c>
      <c r="D184" s="3" t="s">
        <v>2756</v>
      </c>
      <c r="E184" s="7" t="str">
        <f>HYPERLINK("https://data.bls.gov/projections/nationalMatrix?queryParams=4590A1&amp;ioType=i", "Projections for 4590A1")</f>
        <v>Projections for 4590A1</v>
      </c>
    </row>
    <row r="185" spans="1:5" x14ac:dyDescent="0.35">
      <c r="A185" s="3" t="s">
        <v>2757</v>
      </c>
      <c r="B185" s="3" t="s">
        <v>2758</v>
      </c>
      <c r="C185" s="3" t="s">
        <v>65</v>
      </c>
      <c r="D185" s="3" t="s">
        <v>2758</v>
      </c>
      <c r="E185" s="7" t="str">
        <f>HYPERLINK("https://data.bls.gov/projections/nationalMatrix?queryParams=459900&amp;ioType=i", "Projections for 459900")</f>
        <v>Projections for 459900</v>
      </c>
    </row>
    <row r="186" spans="1:5" x14ac:dyDescent="0.35">
      <c r="A186" s="3" t="s">
        <v>2759</v>
      </c>
      <c r="B186" s="3" t="s">
        <v>2760</v>
      </c>
      <c r="C186" s="3" t="s">
        <v>60</v>
      </c>
      <c r="D186" s="3" t="s">
        <v>2761</v>
      </c>
      <c r="E186" s="7" t="str">
        <f>HYPERLINK("https://data.bls.gov/projections/nationalMatrix?queryParams=48-490&amp;ioType=i", "Projections for 48-490")</f>
        <v>Projections for 48-490</v>
      </c>
    </row>
    <row r="187" spans="1:5" x14ac:dyDescent="0.35">
      <c r="A187" s="3" t="s">
        <v>2762</v>
      </c>
      <c r="B187" s="3" t="s">
        <v>2763</v>
      </c>
      <c r="C187" s="3" t="s">
        <v>60</v>
      </c>
      <c r="D187" s="3" t="s">
        <v>2763</v>
      </c>
      <c r="E187" s="7" t="str">
        <f>HYPERLINK("https://data.bls.gov/projections/nationalMatrix?queryParams=481000&amp;ioType=i", "Projections for 481000")</f>
        <v>Projections for 481000</v>
      </c>
    </row>
    <row r="188" spans="1:5" x14ac:dyDescent="0.35">
      <c r="A188" s="3" t="s">
        <v>2764</v>
      </c>
      <c r="B188" s="3" t="s">
        <v>2765</v>
      </c>
      <c r="C188" s="3" t="s">
        <v>65</v>
      </c>
      <c r="D188" s="3" t="s">
        <v>2765</v>
      </c>
      <c r="E188" s="7" t="str">
        <f>HYPERLINK("https://data.bls.gov/projections/nationalMatrix?queryParams=481100&amp;ioType=i", "Projections for 481100")</f>
        <v>Projections for 481100</v>
      </c>
    </row>
    <row r="189" spans="1:5" x14ac:dyDescent="0.35">
      <c r="A189" s="3" t="s">
        <v>2766</v>
      </c>
      <c r="B189" s="3" t="s">
        <v>2767</v>
      </c>
      <c r="C189" s="3" t="s">
        <v>65</v>
      </c>
      <c r="D189" s="3" t="s">
        <v>2767</v>
      </c>
      <c r="E189" s="7" t="str">
        <f>HYPERLINK("https://data.bls.gov/projections/nationalMatrix?queryParams=481200&amp;ioType=i", "Projections for 481200")</f>
        <v>Projections for 481200</v>
      </c>
    </row>
    <row r="190" spans="1:5" x14ac:dyDescent="0.35">
      <c r="A190" s="3" t="s">
        <v>2768</v>
      </c>
      <c r="B190" s="3" t="s">
        <v>2769</v>
      </c>
      <c r="C190" s="3" t="s">
        <v>65</v>
      </c>
      <c r="D190" s="3" t="s">
        <v>2769</v>
      </c>
      <c r="E190" s="7" t="str">
        <f>HYPERLINK("https://data.bls.gov/projections/nationalMatrix?queryParams=482000&amp;ioType=i", "Projections for 482000")</f>
        <v>Projections for 482000</v>
      </c>
    </row>
    <row r="191" spans="1:5" x14ac:dyDescent="0.35">
      <c r="A191" s="3" t="s">
        <v>2770</v>
      </c>
      <c r="B191" s="3" t="s">
        <v>2771</v>
      </c>
      <c r="C191" s="3" t="s">
        <v>60</v>
      </c>
      <c r="D191" s="3" t="s">
        <v>2771</v>
      </c>
      <c r="E191" s="7" t="str">
        <f>HYPERLINK("https://data.bls.gov/projections/nationalMatrix?queryParams=483000&amp;ioType=i", "Projections for 483000")</f>
        <v>Projections for 483000</v>
      </c>
    </row>
    <row r="192" spans="1:5" x14ac:dyDescent="0.35">
      <c r="A192" s="3" t="s">
        <v>2772</v>
      </c>
      <c r="B192" s="3" t="s">
        <v>2773</v>
      </c>
      <c r="C192" s="3" t="s">
        <v>65</v>
      </c>
      <c r="D192" s="3" t="s">
        <v>2773</v>
      </c>
      <c r="E192" s="7" t="str">
        <f>HYPERLINK("https://data.bls.gov/projections/nationalMatrix?queryParams=483100&amp;ioType=i", "Projections for 483100")</f>
        <v>Projections for 483100</v>
      </c>
    </row>
    <row r="193" spans="1:5" x14ac:dyDescent="0.35">
      <c r="A193" s="3" t="s">
        <v>2774</v>
      </c>
      <c r="B193" s="3" t="s">
        <v>2775</v>
      </c>
      <c r="C193" s="3" t="s">
        <v>65</v>
      </c>
      <c r="D193" s="3" t="s">
        <v>2775</v>
      </c>
      <c r="E193" s="7" t="str">
        <f>HYPERLINK("https://data.bls.gov/projections/nationalMatrix?queryParams=483200&amp;ioType=i", "Projections for 483200")</f>
        <v>Projections for 483200</v>
      </c>
    </row>
    <row r="194" spans="1:5" x14ac:dyDescent="0.35">
      <c r="A194" s="3" t="s">
        <v>2776</v>
      </c>
      <c r="B194" s="3" t="s">
        <v>2777</v>
      </c>
      <c r="C194" s="3" t="s">
        <v>65</v>
      </c>
      <c r="D194" s="3" t="s">
        <v>2777</v>
      </c>
      <c r="E194" s="7" t="str">
        <f>HYPERLINK("https://data.bls.gov/projections/nationalMatrix?queryParams=484000&amp;ioType=i", "Projections for 484000")</f>
        <v>Projections for 484000</v>
      </c>
    </row>
    <row r="195" spans="1:5" x14ac:dyDescent="0.35">
      <c r="A195" s="3" t="s">
        <v>2778</v>
      </c>
      <c r="B195" s="3" t="s">
        <v>2779</v>
      </c>
      <c r="C195" s="3" t="s">
        <v>60</v>
      </c>
      <c r="D195" s="3" t="s">
        <v>2779</v>
      </c>
      <c r="E195" s="7" t="str">
        <f>HYPERLINK("https://data.bls.gov/projections/nationalMatrix?queryParams=485000&amp;ioType=i", "Projections for 485000")</f>
        <v>Projections for 485000</v>
      </c>
    </row>
    <row r="196" spans="1:5" x14ac:dyDescent="0.35">
      <c r="A196" s="3" t="s">
        <v>2780</v>
      </c>
      <c r="B196" s="3" t="s">
        <v>2781</v>
      </c>
      <c r="C196" s="3" t="s">
        <v>65</v>
      </c>
      <c r="D196" s="3" t="s">
        <v>2781</v>
      </c>
      <c r="E196" s="7" t="str">
        <f>HYPERLINK("https://data.bls.gov/projections/nationalMatrix?queryParams=485100&amp;ioType=i", "Projections for 485100")</f>
        <v>Projections for 485100</v>
      </c>
    </row>
    <row r="197" spans="1:5" x14ac:dyDescent="0.35">
      <c r="A197" s="3" t="s">
        <v>2782</v>
      </c>
      <c r="B197" s="3" t="s">
        <v>2783</v>
      </c>
      <c r="C197" s="3" t="s">
        <v>65</v>
      </c>
      <c r="D197" s="3" t="s">
        <v>2783</v>
      </c>
      <c r="E197" s="7" t="str">
        <f>HYPERLINK("https://data.bls.gov/projections/nationalMatrix?queryParams=485200&amp;ioType=i", "Projections for 485200")</f>
        <v>Projections for 485200</v>
      </c>
    </row>
    <row r="198" spans="1:5" x14ac:dyDescent="0.35">
      <c r="A198" s="3" t="s">
        <v>2784</v>
      </c>
      <c r="B198" s="3" t="s">
        <v>2785</v>
      </c>
      <c r="C198" s="3" t="s">
        <v>65</v>
      </c>
      <c r="D198" s="3" t="s">
        <v>2785</v>
      </c>
      <c r="E198" s="7" t="str">
        <f>HYPERLINK("https://data.bls.gov/projections/nationalMatrix?queryParams=485300&amp;ioType=i", "Projections for 485300")</f>
        <v>Projections for 485300</v>
      </c>
    </row>
    <row r="199" spans="1:5" x14ac:dyDescent="0.35">
      <c r="A199" s="3" t="s">
        <v>2786</v>
      </c>
      <c r="B199" s="3" t="s">
        <v>2787</v>
      </c>
      <c r="C199" s="3" t="s">
        <v>65</v>
      </c>
      <c r="D199" s="3" t="s">
        <v>2787</v>
      </c>
      <c r="E199" s="7" t="str">
        <f>HYPERLINK("https://data.bls.gov/projections/nationalMatrix?queryParams=485400&amp;ioType=i", "Projections for 485400")</f>
        <v>Projections for 485400</v>
      </c>
    </row>
    <row r="200" spans="1:5" x14ac:dyDescent="0.35">
      <c r="A200" s="3" t="s">
        <v>2788</v>
      </c>
      <c r="B200" s="3" t="s">
        <v>2789</v>
      </c>
      <c r="C200" s="3" t="s">
        <v>65</v>
      </c>
      <c r="D200" s="3" t="s">
        <v>2789</v>
      </c>
      <c r="E200" s="7" t="str">
        <f>HYPERLINK("https://data.bls.gov/projections/nationalMatrix?queryParams=485500&amp;ioType=i", "Projections for 485500")</f>
        <v>Projections for 485500</v>
      </c>
    </row>
    <row r="201" spans="1:5" x14ac:dyDescent="0.35">
      <c r="A201" s="3" t="s">
        <v>2790</v>
      </c>
      <c r="B201" s="3" t="s">
        <v>2791</v>
      </c>
      <c r="C201" s="3" t="s">
        <v>65</v>
      </c>
      <c r="D201" s="3" t="s">
        <v>2791</v>
      </c>
      <c r="E201" s="7" t="str">
        <f>HYPERLINK("https://data.bls.gov/projections/nationalMatrix?queryParams=485900&amp;ioType=i", "Projections for 485900")</f>
        <v>Projections for 485900</v>
      </c>
    </row>
    <row r="202" spans="1:5" x14ac:dyDescent="0.35">
      <c r="A202" s="3" t="s">
        <v>2792</v>
      </c>
      <c r="B202" s="3" t="s">
        <v>2793</v>
      </c>
      <c r="C202" s="3" t="s">
        <v>60</v>
      </c>
      <c r="D202" s="3" t="s">
        <v>2793</v>
      </c>
      <c r="E202" s="7" t="str">
        <f>HYPERLINK("https://data.bls.gov/projections/nationalMatrix?queryParams=486000&amp;ioType=i", "Projections for 486000")</f>
        <v>Projections for 486000</v>
      </c>
    </row>
    <row r="203" spans="1:5" x14ac:dyDescent="0.35">
      <c r="A203" s="3" t="s">
        <v>2794</v>
      </c>
      <c r="B203" s="3" t="s">
        <v>2795</v>
      </c>
      <c r="C203" s="3" t="s">
        <v>65</v>
      </c>
      <c r="D203" s="3" t="s">
        <v>2795</v>
      </c>
      <c r="E203" s="7" t="str">
        <f>HYPERLINK("https://data.bls.gov/projections/nationalMatrix?queryParams=486100&amp;ioType=i", "Projections for 486100")</f>
        <v>Projections for 486100</v>
      </c>
    </row>
    <row r="204" spans="1:5" x14ac:dyDescent="0.35">
      <c r="A204" s="3" t="s">
        <v>2796</v>
      </c>
      <c r="B204" s="3" t="s">
        <v>2797</v>
      </c>
      <c r="C204" s="3" t="s">
        <v>65</v>
      </c>
      <c r="D204" s="3" t="s">
        <v>2797</v>
      </c>
      <c r="E204" s="7" t="str">
        <f>HYPERLINK("https://data.bls.gov/projections/nationalMatrix?queryParams=486200&amp;ioType=i", "Projections for 486200")</f>
        <v>Projections for 486200</v>
      </c>
    </row>
    <row r="205" spans="1:5" x14ac:dyDescent="0.35">
      <c r="A205" s="3" t="s">
        <v>2798</v>
      </c>
      <c r="B205" s="3" t="s">
        <v>2799</v>
      </c>
      <c r="C205" s="3" t="s">
        <v>65</v>
      </c>
      <c r="D205" s="3" t="s">
        <v>2799</v>
      </c>
      <c r="E205" s="7" t="str">
        <f>HYPERLINK("https://data.bls.gov/projections/nationalMatrix?queryParams=486900&amp;ioType=i", "Projections for 486900")</f>
        <v>Projections for 486900</v>
      </c>
    </row>
    <row r="206" spans="1:5" x14ac:dyDescent="0.35">
      <c r="A206" s="3" t="s">
        <v>2800</v>
      </c>
      <c r="B206" s="3" t="s">
        <v>2801</v>
      </c>
      <c r="C206" s="3" t="s">
        <v>60</v>
      </c>
      <c r="D206" s="3" t="s">
        <v>2802</v>
      </c>
      <c r="E206" s="7" t="str">
        <f>HYPERLINK("https://data.bls.gov/projections/nationalMatrix?queryParams=487-80&amp;ioType=i", "Projections for 487-80")</f>
        <v>Projections for 487-80</v>
      </c>
    </row>
    <row r="207" spans="1:5" x14ac:dyDescent="0.35">
      <c r="A207" s="3" t="s">
        <v>2803</v>
      </c>
      <c r="B207" s="3" t="s">
        <v>2804</v>
      </c>
      <c r="C207" s="3" t="s">
        <v>60</v>
      </c>
      <c r="D207" s="3" t="s">
        <v>2804</v>
      </c>
      <c r="E207" s="7" t="str">
        <f>HYPERLINK("https://data.bls.gov/projections/nationalMatrix?queryParams=487000&amp;ioType=i", "Projections for 487000")</f>
        <v>Projections for 487000</v>
      </c>
    </row>
    <row r="208" spans="1:5" x14ac:dyDescent="0.35">
      <c r="A208" s="3" t="s">
        <v>2805</v>
      </c>
      <c r="B208" s="3" t="s">
        <v>2806</v>
      </c>
      <c r="C208" s="3" t="s">
        <v>65</v>
      </c>
      <c r="D208" s="3" t="s">
        <v>2806</v>
      </c>
      <c r="E208" s="7" t="str">
        <f>HYPERLINK("https://data.bls.gov/projections/nationalMatrix?queryParams=487100&amp;ioType=i", "Projections for 487100")</f>
        <v>Projections for 487100</v>
      </c>
    </row>
    <row r="209" spans="1:5" x14ac:dyDescent="0.35">
      <c r="A209" s="3" t="s">
        <v>2807</v>
      </c>
      <c r="B209" s="3" t="s">
        <v>2808</v>
      </c>
      <c r="C209" s="3" t="s">
        <v>65</v>
      </c>
      <c r="D209" s="3" t="s">
        <v>2808</v>
      </c>
      <c r="E209" s="7" t="str">
        <f>HYPERLINK("https://data.bls.gov/projections/nationalMatrix?queryParams=487200&amp;ioType=i", "Projections for 487200")</f>
        <v>Projections for 487200</v>
      </c>
    </row>
    <row r="210" spans="1:5" x14ac:dyDescent="0.35">
      <c r="A210" s="3" t="s">
        <v>2809</v>
      </c>
      <c r="B210" s="3" t="s">
        <v>2810</v>
      </c>
      <c r="C210" s="3" t="s">
        <v>65</v>
      </c>
      <c r="D210" s="3" t="s">
        <v>2810</v>
      </c>
      <c r="E210" s="7" t="str">
        <f>HYPERLINK("https://data.bls.gov/projections/nationalMatrix?queryParams=487900&amp;ioType=i", "Projections for 487900")</f>
        <v>Projections for 487900</v>
      </c>
    </row>
    <row r="211" spans="1:5" x14ac:dyDescent="0.35">
      <c r="A211" s="3" t="s">
        <v>2811</v>
      </c>
      <c r="B211" s="3" t="s">
        <v>2812</v>
      </c>
      <c r="C211" s="3" t="s">
        <v>60</v>
      </c>
      <c r="D211" s="3" t="s">
        <v>2812</v>
      </c>
      <c r="E211" s="7" t="str">
        <f>HYPERLINK("https://data.bls.gov/projections/nationalMatrix?queryParams=488000&amp;ioType=i", "Projections for 488000")</f>
        <v>Projections for 488000</v>
      </c>
    </row>
    <row r="212" spans="1:5" x14ac:dyDescent="0.35">
      <c r="A212" s="3" t="s">
        <v>2813</v>
      </c>
      <c r="B212" s="3" t="s">
        <v>2814</v>
      </c>
      <c r="C212" s="3" t="s">
        <v>65</v>
      </c>
      <c r="D212" s="3" t="s">
        <v>2814</v>
      </c>
      <c r="E212" s="7" t="str">
        <f>HYPERLINK("https://data.bls.gov/projections/nationalMatrix?queryParams=488100&amp;ioType=i", "Projections for 488100")</f>
        <v>Projections for 488100</v>
      </c>
    </row>
    <row r="213" spans="1:5" x14ac:dyDescent="0.35">
      <c r="A213" s="3" t="s">
        <v>2815</v>
      </c>
      <c r="B213" s="3" t="s">
        <v>2816</v>
      </c>
      <c r="C213" s="3" t="s">
        <v>65</v>
      </c>
      <c r="D213" s="3" t="s">
        <v>2816</v>
      </c>
      <c r="E213" s="7" t="str">
        <f>HYPERLINK("https://data.bls.gov/projections/nationalMatrix?queryParams=488200&amp;ioType=i", "Projections for 488200")</f>
        <v>Projections for 488200</v>
      </c>
    </row>
    <row r="214" spans="1:5" x14ac:dyDescent="0.35">
      <c r="A214" s="3" t="s">
        <v>2817</v>
      </c>
      <c r="B214" s="3" t="s">
        <v>2818</v>
      </c>
      <c r="C214" s="3" t="s">
        <v>65</v>
      </c>
      <c r="D214" s="3" t="s">
        <v>2818</v>
      </c>
      <c r="E214" s="7" t="str">
        <f>HYPERLINK("https://data.bls.gov/projections/nationalMatrix?queryParams=488300&amp;ioType=i", "Projections for 488300")</f>
        <v>Projections for 488300</v>
      </c>
    </row>
    <row r="215" spans="1:5" x14ac:dyDescent="0.35">
      <c r="A215" s="3" t="s">
        <v>2819</v>
      </c>
      <c r="B215" s="3" t="s">
        <v>2820</v>
      </c>
      <c r="C215" s="3" t="s">
        <v>65</v>
      </c>
      <c r="D215" s="3" t="s">
        <v>2820</v>
      </c>
      <c r="E215" s="7" t="str">
        <f>HYPERLINK("https://data.bls.gov/projections/nationalMatrix?queryParams=488400&amp;ioType=i", "Projections for 488400")</f>
        <v>Projections for 488400</v>
      </c>
    </row>
    <row r="216" spans="1:5" x14ac:dyDescent="0.35">
      <c r="A216" s="3" t="s">
        <v>2821</v>
      </c>
      <c r="B216" s="3" t="s">
        <v>2822</v>
      </c>
      <c r="C216" s="3" t="s">
        <v>65</v>
      </c>
      <c r="D216" s="3" t="s">
        <v>2822</v>
      </c>
      <c r="E216" s="7" t="str">
        <f>HYPERLINK("https://data.bls.gov/projections/nationalMatrix?queryParams=488500&amp;ioType=i", "Projections for 488500")</f>
        <v>Projections for 488500</v>
      </c>
    </row>
    <row r="217" spans="1:5" x14ac:dyDescent="0.35">
      <c r="A217" s="3" t="s">
        <v>2823</v>
      </c>
      <c r="B217" s="3" t="s">
        <v>2824</v>
      </c>
      <c r="C217" s="3" t="s">
        <v>65</v>
      </c>
      <c r="D217" s="3" t="s">
        <v>2824</v>
      </c>
      <c r="E217" s="7" t="str">
        <f>HYPERLINK("https://data.bls.gov/projections/nationalMatrix?queryParams=488900&amp;ioType=i", "Projections for 488900")</f>
        <v>Projections for 488900</v>
      </c>
    </row>
    <row r="218" spans="1:5" x14ac:dyDescent="0.35">
      <c r="A218" s="3" t="s">
        <v>1450</v>
      </c>
      <c r="B218" s="3" t="s">
        <v>2825</v>
      </c>
      <c r="C218" s="3" t="s">
        <v>60</v>
      </c>
      <c r="D218" s="3" t="s">
        <v>2825</v>
      </c>
      <c r="E218" s="7" t="str">
        <f>HYPERLINK("https://data.bls.gov/projections/nationalMatrix?queryParams=492000&amp;ioType=i", "Projections for 492000")</f>
        <v>Projections for 492000</v>
      </c>
    </row>
    <row r="219" spans="1:5" x14ac:dyDescent="0.35">
      <c r="A219" s="3" t="s">
        <v>2826</v>
      </c>
      <c r="B219" s="3" t="s">
        <v>2827</v>
      </c>
      <c r="C219" s="3" t="s">
        <v>65</v>
      </c>
      <c r="D219" s="3" t="s">
        <v>2827</v>
      </c>
      <c r="E219" s="7" t="str">
        <f>HYPERLINK("https://data.bls.gov/projections/nationalMatrix?queryParams=492100&amp;ioType=i", "Projections for 492100")</f>
        <v>Projections for 492100</v>
      </c>
    </row>
    <row r="220" spans="1:5" x14ac:dyDescent="0.35">
      <c r="A220" s="3" t="s">
        <v>2828</v>
      </c>
      <c r="B220" s="3" t="s">
        <v>2829</v>
      </c>
      <c r="C220" s="3" t="s">
        <v>65</v>
      </c>
      <c r="D220" s="3" t="s">
        <v>2829</v>
      </c>
      <c r="E220" s="7" t="str">
        <f>HYPERLINK("https://data.bls.gov/projections/nationalMatrix?queryParams=492200&amp;ioType=i", "Projections for 492200")</f>
        <v>Projections for 492200</v>
      </c>
    </row>
    <row r="221" spans="1:5" x14ac:dyDescent="0.35">
      <c r="A221" s="3" t="s">
        <v>2830</v>
      </c>
      <c r="B221" s="3" t="s">
        <v>2831</v>
      </c>
      <c r="C221" s="3" t="s">
        <v>65</v>
      </c>
      <c r="D221" s="3" t="s">
        <v>2831</v>
      </c>
      <c r="E221" s="7" t="str">
        <f>HYPERLINK("https://data.bls.gov/projections/nationalMatrix?queryParams=493000&amp;ioType=i", "Projections for 493000")</f>
        <v>Projections for 493000</v>
      </c>
    </row>
    <row r="222" spans="1:5" x14ac:dyDescent="0.35">
      <c r="A222" s="3" t="s">
        <v>2832</v>
      </c>
      <c r="B222" s="3" t="s">
        <v>2833</v>
      </c>
      <c r="C222" s="3" t="s">
        <v>60</v>
      </c>
      <c r="D222" s="3" t="s">
        <v>2833</v>
      </c>
      <c r="E222" s="7" t="str">
        <f>HYPERLINK("https://data.bls.gov/projections/nationalMatrix?queryParams=510000&amp;ioType=i", "Projections for 510000")</f>
        <v>Projections for 510000</v>
      </c>
    </row>
    <row r="223" spans="1:5" x14ac:dyDescent="0.35">
      <c r="A223" s="3" t="s">
        <v>2834</v>
      </c>
      <c r="B223" s="3" t="s">
        <v>2835</v>
      </c>
      <c r="C223" s="3" t="s">
        <v>60</v>
      </c>
      <c r="D223" s="3" t="s">
        <v>2835</v>
      </c>
      <c r="E223" s="7" t="str">
        <f>HYPERLINK("https://data.bls.gov/projections/nationalMatrix?queryParams=512000&amp;ioType=i", "Projections for 512000")</f>
        <v>Projections for 512000</v>
      </c>
    </row>
    <row r="224" spans="1:5" x14ac:dyDescent="0.35">
      <c r="A224" s="3" t="s">
        <v>2836</v>
      </c>
      <c r="B224" s="3" t="s">
        <v>2837</v>
      </c>
      <c r="C224" s="3" t="s">
        <v>60</v>
      </c>
      <c r="D224" s="3" t="s">
        <v>2837</v>
      </c>
      <c r="E224" s="7" t="str">
        <f>HYPERLINK("https://data.bls.gov/projections/nationalMatrix?queryParams=512100&amp;ioType=i", "Projections for 512100")</f>
        <v>Projections for 512100</v>
      </c>
    </row>
    <row r="225" spans="1:5" x14ac:dyDescent="0.35">
      <c r="A225" s="3" t="s">
        <v>2838</v>
      </c>
      <c r="B225" s="3" t="s">
        <v>2839</v>
      </c>
      <c r="C225" s="3" t="s">
        <v>65</v>
      </c>
      <c r="D225" s="3" t="s">
        <v>2839</v>
      </c>
      <c r="E225" s="7" t="str">
        <f>HYPERLINK("https://data.bls.gov/projections/nationalMatrix?queryParams=512130&amp;ioType=i", "Projections for 512130")</f>
        <v>Projections for 512130</v>
      </c>
    </row>
    <row r="226" spans="1:5" x14ac:dyDescent="0.35">
      <c r="A226" s="3" t="s">
        <v>2840</v>
      </c>
      <c r="B226" s="3" t="s">
        <v>2841</v>
      </c>
      <c r="C226" s="3" t="s">
        <v>65</v>
      </c>
      <c r="D226" s="3" t="s">
        <v>2841</v>
      </c>
      <c r="E226" s="7" t="str">
        <f>HYPERLINK("https://data.bls.gov/projections/nationalMatrix?queryParams=512200&amp;ioType=i", "Projections for 512200")</f>
        <v>Projections for 512200</v>
      </c>
    </row>
    <row r="227" spans="1:5" x14ac:dyDescent="0.35">
      <c r="A227" s="3" t="s">
        <v>2842</v>
      </c>
      <c r="B227" s="3" t="s">
        <v>2843</v>
      </c>
      <c r="C227" s="3" t="s">
        <v>60</v>
      </c>
      <c r="D227" s="3" t="s">
        <v>2843</v>
      </c>
      <c r="E227" s="7" t="str">
        <f>HYPERLINK("https://data.bls.gov/projections/nationalMatrix?queryParams=513000&amp;ioType=i", "Projections for 513000")</f>
        <v>Projections for 513000</v>
      </c>
    </row>
    <row r="228" spans="1:5" x14ac:dyDescent="0.35">
      <c r="A228" s="3" t="s">
        <v>2844</v>
      </c>
      <c r="B228" s="3" t="s">
        <v>2845</v>
      </c>
      <c r="C228" s="3" t="s">
        <v>65</v>
      </c>
      <c r="D228" s="3" t="s">
        <v>2845</v>
      </c>
      <c r="E228" s="7" t="str">
        <f>HYPERLINK("https://data.bls.gov/projections/nationalMatrix?queryParams=513110&amp;ioType=i", "Projections for 513110")</f>
        <v>Projections for 513110</v>
      </c>
    </row>
    <row r="229" spans="1:5" x14ac:dyDescent="0.35">
      <c r="A229" s="3" t="s">
        <v>2846</v>
      </c>
      <c r="B229" s="3" t="s">
        <v>2847</v>
      </c>
      <c r="C229" s="3" t="s">
        <v>65</v>
      </c>
      <c r="D229" s="3" t="s">
        <v>2847</v>
      </c>
      <c r="E229" s="7" t="str">
        <f>HYPERLINK("https://data.bls.gov/projections/nationalMatrix?queryParams=513200&amp;ioType=i", "Projections for 513200")</f>
        <v>Projections for 513200</v>
      </c>
    </row>
    <row r="230" spans="1:5" x14ac:dyDescent="0.35">
      <c r="A230" s="3" t="s">
        <v>2848</v>
      </c>
      <c r="B230" s="3" t="s">
        <v>2849</v>
      </c>
      <c r="C230" s="3" t="s">
        <v>60</v>
      </c>
      <c r="D230" s="3" t="s">
        <v>2849</v>
      </c>
      <c r="E230" s="7" t="str">
        <f>HYPERLINK("https://data.bls.gov/projections/nationalMatrix?queryParams=516000&amp;ioType=i", "Projections for 516000")</f>
        <v>Projections for 516000</v>
      </c>
    </row>
    <row r="231" spans="1:5" x14ac:dyDescent="0.35">
      <c r="A231" s="3" t="s">
        <v>2850</v>
      </c>
      <c r="B231" s="3" t="s">
        <v>2851</v>
      </c>
      <c r="C231" s="3" t="s">
        <v>65</v>
      </c>
      <c r="D231" s="3" t="s">
        <v>2851</v>
      </c>
      <c r="E231" s="7" t="str">
        <f>HYPERLINK("https://data.bls.gov/projections/nationalMatrix?queryParams=516110&amp;ioType=i", "Projections for 516110")</f>
        <v>Projections for 516110</v>
      </c>
    </row>
    <row r="232" spans="1:5" x14ac:dyDescent="0.35">
      <c r="A232" s="3" t="s">
        <v>2852</v>
      </c>
      <c r="B232" s="3" t="s">
        <v>2853</v>
      </c>
      <c r="C232" s="3" t="s">
        <v>65</v>
      </c>
      <c r="D232" s="3" t="s">
        <v>2853</v>
      </c>
      <c r="E232" s="7" t="str">
        <f>HYPERLINK("https://data.bls.gov/projections/nationalMatrix?queryParams=516120&amp;ioType=i", "Projections for 516120")</f>
        <v>Projections for 516120</v>
      </c>
    </row>
    <row r="233" spans="1:5" x14ac:dyDescent="0.35">
      <c r="A233" s="3" t="s">
        <v>2854</v>
      </c>
      <c r="B233" s="3" t="s">
        <v>2855</v>
      </c>
      <c r="C233" s="3" t="s">
        <v>65</v>
      </c>
      <c r="D233" s="3" t="s">
        <v>2855</v>
      </c>
      <c r="E233" s="7" t="str">
        <f>HYPERLINK("https://data.bls.gov/projections/nationalMatrix?queryParams=516210&amp;ioType=i", "Projections for 516210")</f>
        <v>Projections for 516210</v>
      </c>
    </row>
    <row r="234" spans="1:5" x14ac:dyDescent="0.35">
      <c r="A234" s="3" t="s">
        <v>2856</v>
      </c>
      <c r="B234" s="3" t="s">
        <v>2857</v>
      </c>
      <c r="C234" s="3" t="s">
        <v>65</v>
      </c>
      <c r="D234" s="3" t="s">
        <v>2857</v>
      </c>
      <c r="E234" s="7" t="str">
        <f>HYPERLINK("https://data.bls.gov/projections/nationalMatrix?queryParams=517000&amp;ioType=i", "Projections for 517000")</f>
        <v>Projections for 517000</v>
      </c>
    </row>
    <row r="235" spans="1:5" x14ac:dyDescent="0.35">
      <c r="A235" s="3" t="s">
        <v>2858</v>
      </c>
      <c r="B235" s="3" t="s">
        <v>2859</v>
      </c>
      <c r="C235" s="3" t="s">
        <v>65</v>
      </c>
      <c r="D235" s="3" t="s">
        <v>2859</v>
      </c>
      <c r="E235" s="7" t="str">
        <f>HYPERLINK("https://data.bls.gov/projections/nationalMatrix?queryParams=518000&amp;ioType=i", "Projections for 518000")</f>
        <v>Projections for 518000</v>
      </c>
    </row>
    <row r="236" spans="1:5" x14ac:dyDescent="0.35">
      <c r="A236" s="3" t="s">
        <v>2860</v>
      </c>
      <c r="B236" s="3" t="s">
        <v>2861</v>
      </c>
      <c r="C236" s="3" t="s">
        <v>65</v>
      </c>
      <c r="D236" s="3" t="s">
        <v>2861</v>
      </c>
      <c r="E236" s="7" t="str">
        <f>HYPERLINK("https://data.bls.gov/projections/nationalMatrix?queryParams=519000&amp;ioType=i", "Projections for 519000")</f>
        <v>Projections for 519000</v>
      </c>
    </row>
    <row r="237" spans="1:5" x14ac:dyDescent="0.35">
      <c r="A237" s="3" t="s">
        <v>2862</v>
      </c>
      <c r="B237" s="3" t="s">
        <v>2863</v>
      </c>
      <c r="C237" s="3" t="s">
        <v>60</v>
      </c>
      <c r="D237" s="3" t="s">
        <v>2863</v>
      </c>
      <c r="E237" s="7" t="str">
        <f>HYPERLINK("https://data.bls.gov/projections/nationalMatrix?queryParams=520000&amp;ioType=i", "Projections for 520000")</f>
        <v>Projections for 520000</v>
      </c>
    </row>
    <row r="238" spans="1:5" x14ac:dyDescent="0.35">
      <c r="A238" s="3" t="s">
        <v>2864</v>
      </c>
      <c r="B238" s="3" t="s">
        <v>2865</v>
      </c>
      <c r="C238" s="3" t="s">
        <v>60</v>
      </c>
      <c r="D238" s="3" t="s">
        <v>2866</v>
      </c>
      <c r="E238" s="7" t="str">
        <f>HYPERLINK("https://data.bls.gov/projections/nationalMatrix?queryParams=521-20&amp;ioType=i", "Projections for 521-20")</f>
        <v>Projections for 521-20</v>
      </c>
    </row>
    <row r="239" spans="1:5" x14ac:dyDescent="0.35">
      <c r="A239" s="3" t="s">
        <v>2867</v>
      </c>
      <c r="B239" s="3" t="s">
        <v>2868</v>
      </c>
      <c r="C239" s="3" t="s">
        <v>65</v>
      </c>
      <c r="D239" s="3" t="s">
        <v>2868</v>
      </c>
      <c r="E239" s="7" t="str">
        <f>HYPERLINK("https://data.bls.gov/projections/nationalMatrix?queryParams=521000&amp;ioType=i", "Projections for 521000")</f>
        <v>Projections for 521000</v>
      </c>
    </row>
    <row r="240" spans="1:5" x14ac:dyDescent="0.35">
      <c r="A240" s="3" t="s">
        <v>2869</v>
      </c>
      <c r="B240" s="3" t="s">
        <v>2870</v>
      </c>
      <c r="C240" s="3" t="s">
        <v>60</v>
      </c>
      <c r="D240" s="3" t="s">
        <v>2870</v>
      </c>
      <c r="E240" s="7" t="str">
        <f>HYPERLINK("https://data.bls.gov/projections/nationalMatrix?queryParams=522000&amp;ioType=i", "Projections for 522000")</f>
        <v>Projections for 522000</v>
      </c>
    </row>
    <row r="241" spans="1:5" x14ac:dyDescent="0.35">
      <c r="A241" s="3" t="s">
        <v>2871</v>
      </c>
      <c r="B241" s="3" t="s">
        <v>2872</v>
      </c>
      <c r="C241" s="3" t="s">
        <v>60</v>
      </c>
      <c r="D241" s="3" t="s">
        <v>2872</v>
      </c>
      <c r="E241" s="7" t="str">
        <f>HYPERLINK("https://data.bls.gov/projections/nationalMatrix?queryParams=522200&amp;ioType=i", "Projections for 522200")</f>
        <v>Projections for 522200</v>
      </c>
    </row>
    <row r="242" spans="1:5" x14ac:dyDescent="0.35">
      <c r="A242" s="3" t="s">
        <v>2873</v>
      </c>
      <c r="B242" s="3" t="s">
        <v>2874</v>
      </c>
      <c r="C242" s="3" t="s">
        <v>65</v>
      </c>
      <c r="D242" s="3" t="s">
        <v>2874</v>
      </c>
      <c r="E242" s="7" t="str">
        <f>HYPERLINK("https://data.bls.gov/projections/nationalMatrix?queryParams=522290&amp;ioType=i", "Projections for 522290")</f>
        <v>Projections for 522290</v>
      </c>
    </row>
    <row r="243" spans="1:5" x14ac:dyDescent="0.35">
      <c r="A243" s="3" t="s">
        <v>2875</v>
      </c>
      <c r="B243" s="3" t="s">
        <v>2876</v>
      </c>
      <c r="C243" s="3" t="s">
        <v>65</v>
      </c>
      <c r="D243" s="3" t="s">
        <v>2877</v>
      </c>
      <c r="E243" s="7" t="str">
        <f>HYPERLINK("https://data.bls.gov/projections/nationalMatrix?queryParams=5220A1&amp;ioType=i", "Projections for 5220A1")</f>
        <v>Projections for 5220A1</v>
      </c>
    </row>
    <row r="244" spans="1:5" x14ac:dyDescent="0.35">
      <c r="A244" s="3" t="s">
        <v>2878</v>
      </c>
      <c r="B244" s="3" t="s">
        <v>2879</v>
      </c>
      <c r="C244" s="3" t="s">
        <v>60</v>
      </c>
      <c r="D244" s="3" t="s">
        <v>2879</v>
      </c>
      <c r="E244" s="7" t="str">
        <f>HYPERLINK("https://data.bls.gov/projections/nationalMatrix?queryParams=524000&amp;ioType=i", "Projections for 524000")</f>
        <v>Projections for 524000</v>
      </c>
    </row>
    <row r="245" spans="1:5" x14ac:dyDescent="0.35">
      <c r="A245" s="3" t="s">
        <v>2880</v>
      </c>
      <c r="B245" s="3" t="s">
        <v>2881</v>
      </c>
      <c r="C245" s="3" t="s">
        <v>60</v>
      </c>
      <c r="D245" s="3" t="s">
        <v>2881</v>
      </c>
      <c r="E245" s="7" t="str">
        <f>HYPERLINK("https://data.bls.gov/projections/nationalMatrix?queryParams=524100&amp;ioType=i", "Projections for 524100")</f>
        <v>Projections for 524100</v>
      </c>
    </row>
    <row r="246" spans="1:5" x14ac:dyDescent="0.35">
      <c r="A246" s="3" t="s">
        <v>2882</v>
      </c>
      <c r="B246" s="3" t="s">
        <v>2883</v>
      </c>
      <c r="C246" s="3" t="s">
        <v>65</v>
      </c>
      <c r="D246" s="3" t="s">
        <v>2883</v>
      </c>
      <c r="E246" s="7" t="str">
        <f>HYPERLINK("https://data.bls.gov/projections/nationalMatrix?queryParams=524114&amp;ioType=i", "Projections for 524114")</f>
        <v>Projections for 524114</v>
      </c>
    </row>
    <row r="247" spans="1:5" x14ac:dyDescent="0.35">
      <c r="A247" s="3" t="s">
        <v>2884</v>
      </c>
      <c r="B247" s="3" t="s">
        <v>2885</v>
      </c>
      <c r="C247" s="3" t="s">
        <v>65</v>
      </c>
      <c r="D247" s="3" t="s">
        <v>2885</v>
      </c>
      <c r="E247" s="7" t="str">
        <f>HYPERLINK("https://data.bls.gov/projections/nationalMatrix?queryParams=524120&amp;ioType=i", "Projections for 524120")</f>
        <v>Projections for 524120</v>
      </c>
    </row>
    <row r="248" spans="1:5" x14ac:dyDescent="0.35">
      <c r="A248" s="3" t="s">
        <v>2886</v>
      </c>
      <c r="B248" s="3" t="s">
        <v>2887</v>
      </c>
      <c r="C248" s="3" t="s">
        <v>60</v>
      </c>
      <c r="D248" s="3" t="s">
        <v>2887</v>
      </c>
      <c r="E248" s="7" t="str">
        <f>HYPERLINK("https://data.bls.gov/projections/nationalMatrix?queryParams=524200&amp;ioType=i", "Projections for 524200")</f>
        <v>Projections for 524200</v>
      </c>
    </row>
    <row r="249" spans="1:5" x14ac:dyDescent="0.35">
      <c r="A249" s="3" t="s">
        <v>2888</v>
      </c>
      <c r="B249" s="3" t="s">
        <v>2889</v>
      </c>
      <c r="C249" s="3" t="s">
        <v>65</v>
      </c>
      <c r="D249" s="3" t="s">
        <v>2889</v>
      </c>
      <c r="E249" s="7" t="str">
        <f>HYPERLINK("https://data.bls.gov/projections/nationalMatrix?queryParams=524210&amp;ioType=i", "Projections for 524210")</f>
        <v>Projections for 524210</v>
      </c>
    </row>
    <row r="250" spans="1:5" x14ac:dyDescent="0.35">
      <c r="A250" s="3" t="s">
        <v>2890</v>
      </c>
      <c r="B250" s="3" t="s">
        <v>2891</v>
      </c>
      <c r="C250" s="3" t="s">
        <v>65</v>
      </c>
      <c r="D250" s="3" t="s">
        <v>2891</v>
      </c>
      <c r="E250" s="7" t="str">
        <f>HYPERLINK("https://data.bls.gov/projections/nationalMatrix?queryParams=524290&amp;ioType=i", "Projections for 524290")</f>
        <v>Projections for 524290</v>
      </c>
    </row>
    <row r="251" spans="1:5" x14ac:dyDescent="0.35">
      <c r="A251" s="3" t="s">
        <v>2892</v>
      </c>
      <c r="B251" s="3" t="s">
        <v>2893</v>
      </c>
      <c r="C251" s="3" t="s">
        <v>60</v>
      </c>
      <c r="D251" s="3" t="s">
        <v>2894</v>
      </c>
      <c r="E251" s="7" t="str">
        <f>HYPERLINK("https://data.bls.gov/projections/nationalMatrix?queryParams=523,50&amp;ioType=i", "Projections for 523,50")</f>
        <v>Projections for 523,50</v>
      </c>
    </row>
    <row r="252" spans="1:5" x14ac:dyDescent="0.35">
      <c r="A252" s="3" t="s">
        <v>2895</v>
      </c>
      <c r="B252" s="3" t="s">
        <v>2896</v>
      </c>
      <c r="C252" s="3" t="s">
        <v>65</v>
      </c>
      <c r="D252" s="3" t="s">
        <v>2896</v>
      </c>
      <c r="E252" s="7" t="str">
        <f>HYPERLINK("https://data.bls.gov/projections/nationalMatrix?queryParams=523000&amp;ioType=i", "Projections for 523000")</f>
        <v>Projections for 523000</v>
      </c>
    </row>
    <row r="253" spans="1:5" x14ac:dyDescent="0.35">
      <c r="A253" s="3" t="s">
        <v>2897</v>
      </c>
      <c r="B253" s="3" t="s">
        <v>2898</v>
      </c>
      <c r="C253" s="3" t="s">
        <v>60</v>
      </c>
      <c r="D253" s="3" t="s">
        <v>2898</v>
      </c>
      <c r="E253" s="7" t="str">
        <f>HYPERLINK("https://data.bls.gov/projections/nationalMatrix?queryParams=525000&amp;ioType=i", "Projections for 525000")</f>
        <v>Projections for 525000</v>
      </c>
    </row>
    <row r="254" spans="1:5" x14ac:dyDescent="0.35">
      <c r="A254" s="3" t="s">
        <v>2899</v>
      </c>
      <c r="B254" s="3" t="s">
        <v>2900</v>
      </c>
      <c r="C254" s="3" t="s">
        <v>65</v>
      </c>
      <c r="D254" s="3" t="s">
        <v>2900</v>
      </c>
      <c r="E254" s="7" t="str">
        <f>HYPERLINK("https://data.bls.gov/projections/nationalMatrix?queryParams=525100&amp;ioType=i", "Projections for 525100")</f>
        <v>Projections for 525100</v>
      </c>
    </row>
    <row r="255" spans="1:5" x14ac:dyDescent="0.35">
      <c r="A255" s="3" t="s">
        <v>2901</v>
      </c>
      <c r="B255" s="3" t="s">
        <v>2902</v>
      </c>
      <c r="C255" s="3" t="s">
        <v>65</v>
      </c>
      <c r="D255" s="3" t="s">
        <v>2902</v>
      </c>
      <c r="E255" s="7" t="str">
        <f>HYPERLINK("https://data.bls.gov/projections/nationalMatrix?queryParams=525900&amp;ioType=i", "Projections for 525900")</f>
        <v>Projections for 525900</v>
      </c>
    </row>
    <row r="256" spans="1:5" x14ac:dyDescent="0.35">
      <c r="A256" s="3" t="s">
        <v>2903</v>
      </c>
      <c r="B256" s="3" t="s">
        <v>2904</v>
      </c>
      <c r="C256" s="3" t="s">
        <v>60</v>
      </c>
      <c r="D256" s="3" t="s">
        <v>2904</v>
      </c>
      <c r="E256" s="7" t="str">
        <f>HYPERLINK("https://data.bls.gov/projections/nationalMatrix?queryParams=530000&amp;ioType=i", "Projections for 530000")</f>
        <v>Projections for 530000</v>
      </c>
    </row>
    <row r="257" spans="1:5" x14ac:dyDescent="0.35">
      <c r="A257" s="3" t="s">
        <v>2905</v>
      </c>
      <c r="B257" s="3" t="s">
        <v>2906</v>
      </c>
      <c r="C257" s="3" t="s">
        <v>65</v>
      </c>
      <c r="D257" s="3" t="s">
        <v>2906</v>
      </c>
      <c r="E257" s="7" t="str">
        <f>HYPERLINK("https://data.bls.gov/projections/nationalMatrix?queryParams=531000&amp;ioType=i", "Projections for 531000")</f>
        <v>Projections for 531000</v>
      </c>
    </row>
    <row r="258" spans="1:5" x14ac:dyDescent="0.35">
      <c r="A258" s="3" t="s">
        <v>2907</v>
      </c>
      <c r="B258" s="3" t="s">
        <v>2908</v>
      </c>
      <c r="C258" s="3" t="s">
        <v>60</v>
      </c>
      <c r="D258" s="3" t="s">
        <v>2908</v>
      </c>
      <c r="E258" s="7" t="str">
        <f>HYPERLINK("https://data.bls.gov/projections/nationalMatrix?queryParams=532000&amp;ioType=i", "Projections for 532000")</f>
        <v>Projections for 532000</v>
      </c>
    </row>
    <row r="259" spans="1:5" x14ac:dyDescent="0.35">
      <c r="A259" s="3" t="s">
        <v>2909</v>
      </c>
      <c r="B259" s="3" t="s">
        <v>2910</v>
      </c>
      <c r="C259" s="3" t="s">
        <v>65</v>
      </c>
      <c r="D259" s="3" t="s">
        <v>2910</v>
      </c>
      <c r="E259" s="7" t="str">
        <f>HYPERLINK("https://data.bls.gov/projections/nationalMatrix?queryParams=532100&amp;ioType=i", "Projections for 532100")</f>
        <v>Projections for 532100</v>
      </c>
    </row>
    <row r="260" spans="1:5" x14ac:dyDescent="0.35">
      <c r="A260" s="3" t="s">
        <v>2911</v>
      </c>
      <c r="B260" s="3" t="s">
        <v>2912</v>
      </c>
      <c r="C260" s="3" t="s">
        <v>65</v>
      </c>
      <c r="D260" s="3" t="s">
        <v>2913</v>
      </c>
      <c r="E260" s="7" t="str">
        <f>HYPERLINK("https://data.bls.gov/projections/nationalMatrix?queryParams=5320A1&amp;ioType=i", "Projections for 5320A1")</f>
        <v>Projections for 5320A1</v>
      </c>
    </row>
    <row r="261" spans="1:5" x14ac:dyDescent="0.35">
      <c r="A261" s="3" t="s">
        <v>2914</v>
      </c>
      <c r="B261" s="3" t="s">
        <v>2915</v>
      </c>
      <c r="C261" s="3" t="s">
        <v>65</v>
      </c>
      <c r="D261" s="3" t="s">
        <v>2915</v>
      </c>
      <c r="E261" s="7" t="str">
        <f>HYPERLINK("https://data.bls.gov/projections/nationalMatrix?queryParams=533000&amp;ioType=i", "Projections for 533000")</f>
        <v>Projections for 533000</v>
      </c>
    </row>
    <row r="262" spans="1:5" x14ac:dyDescent="0.35">
      <c r="A262" s="3" t="s">
        <v>2916</v>
      </c>
      <c r="B262" s="3" t="s">
        <v>2917</v>
      </c>
      <c r="C262" s="3" t="s">
        <v>60</v>
      </c>
      <c r="D262" s="3" t="s">
        <v>2917</v>
      </c>
      <c r="E262" s="7" t="str">
        <f>HYPERLINK("https://data.bls.gov/projections/nationalMatrix?queryParams=540000&amp;ioType=i", "Projections for 540000")</f>
        <v>Projections for 540000</v>
      </c>
    </row>
    <row r="263" spans="1:5" x14ac:dyDescent="0.35">
      <c r="A263" s="3" t="s">
        <v>2918</v>
      </c>
      <c r="B263" s="3" t="s">
        <v>2919</v>
      </c>
      <c r="C263" s="3" t="s">
        <v>60</v>
      </c>
      <c r="D263" s="3" t="s">
        <v>2919</v>
      </c>
      <c r="E263" s="7" t="str">
        <f>HYPERLINK("https://data.bls.gov/projections/nationalMatrix?queryParams=541000&amp;ioType=i", "Projections for 541000")</f>
        <v>Projections for 541000</v>
      </c>
    </row>
    <row r="264" spans="1:5" x14ac:dyDescent="0.35">
      <c r="A264" s="3" t="s">
        <v>2920</v>
      </c>
      <c r="B264" s="3" t="s">
        <v>2921</v>
      </c>
      <c r="C264" s="3" t="s">
        <v>65</v>
      </c>
      <c r="D264" s="3" t="s">
        <v>2921</v>
      </c>
      <c r="E264" s="7" t="str">
        <f>HYPERLINK("https://data.bls.gov/projections/nationalMatrix?queryParams=541100&amp;ioType=i", "Projections for 541100")</f>
        <v>Projections for 541100</v>
      </c>
    </row>
    <row r="265" spans="1:5" x14ac:dyDescent="0.35">
      <c r="A265" s="3" t="s">
        <v>2922</v>
      </c>
      <c r="B265" s="3" t="s">
        <v>2923</v>
      </c>
      <c r="C265" s="3" t="s">
        <v>65</v>
      </c>
      <c r="D265" s="3" t="s">
        <v>2923</v>
      </c>
      <c r="E265" s="7" t="str">
        <f>HYPERLINK("https://data.bls.gov/projections/nationalMatrix?queryParams=541200&amp;ioType=i", "Projections for 541200")</f>
        <v>Projections for 541200</v>
      </c>
    </row>
    <row r="266" spans="1:5" x14ac:dyDescent="0.35">
      <c r="A266" s="3" t="s">
        <v>2924</v>
      </c>
      <c r="B266" s="3" t="s">
        <v>2925</v>
      </c>
      <c r="C266" s="3" t="s">
        <v>60</v>
      </c>
      <c r="D266" s="3" t="s">
        <v>2925</v>
      </c>
      <c r="E266" s="7" t="str">
        <f>HYPERLINK("https://data.bls.gov/projections/nationalMatrix?queryParams=541300&amp;ioType=i", "Projections for 541300")</f>
        <v>Projections for 541300</v>
      </c>
    </row>
    <row r="267" spans="1:5" x14ac:dyDescent="0.35">
      <c r="A267" s="3" t="s">
        <v>2926</v>
      </c>
      <c r="B267" s="3" t="s">
        <v>2927</v>
      </c>
      <c r="C267" s="3" t="s">
        <v>65</v>
      </c>
      <c r="D267" s="3" t="s">
        <v>2927</v>
      </c>
      <c r="E267" s="7" t="str">
        <f>HYPERLINK("https://data.bls.gov/projections/nationalMatrix?queryParams=541330&amp;ioType=i", "Projections for 541330")</f>
        <v>Projections for 541330</v>
      </c>
    </row>
    <row r="268" spans="1:5" x14ac:dyDescent="0.35">
      <c r="A268" s="3" t="s">
        <v>2928</v>
      </c>
      <c r="B268" s="3" t="s">
        <v>2929</v>
      </c>
      <c r="C268" s="3" t="s">
        <v>65</v>
      </c>
      <c r="D268" s="3" t="s">
        <v>2929</v>
      </c>
      <c r="E268" s="7" t="str">
        <f>HYPERLINK("https://data.bls.gov/projections/nationalMatrix?queryParams=541380&amp;ioType=i", "Projections for 541380")</f>
        <v>Projections for 541380</v>
      </c>
    </row>
    <row r="269" spans="1:5" x14ac:dyDescent="0.35">
      <c r="A269" s="3" t="s">
        <v>2930</v>
      </c>
      <c r="B269" s="3" t="s">
        <v>2931</v>
      </c>
      <c r="C269" s="3" t="s">
        <v>65</v>
      </c>
      <c r="D269" s="3" t="s">
        <v>2931</v>
      </c>
      <c r="E269" s="7" t="str">
        <f>HYPERLINK("https://data.bls.gov/projections/nationalMatrix?queryParams=541400&amp;ioType=i", "Projections for 541400")</f>
        <v>Projections for 541400</v>
      </c>
    </row>
    <row r="270" spans="1:5" x14ac:dyDescent="0.35">
      <c r="A270" s="3" t="s">
        <v>2932</v>
      </c>
      <c r="B270" s="3" t="s">
        <v>2933</v>
      </c>
      <c r="C270" s="3" t="s">
        <v>65</v>
      </c>
      <c r="D270" s="3" t="s">
        <v>2933</v>
      </c>
      <c r="E270" s="7" t="str">
        <f>HYPERLINK("https://data.bls.gov/projections/nationalMatrix?queryParams=541500&amp;ioType=i", "Projections for 541500")</f>
        <v>Projections for 541500</v>
      </c>
    </row>
    <row r="271" spans="1:5" x14ac:dyDescent="0.35">
      <c r="A271" s="3" t="s">
        <v>2934</v>
      </c>
      <c r="B271" s="3" t="s">
        <v>2935</v>
      </c>
      <c r="C271" s="3" t="s">
        <v>65</v>
      </c>
      <c r="D271" s="3" t="s">
        <v>2935</v>
      </c>
      <c r="E271" s="7" t="str">
        <f>HYPERLINK("https://data.bls.gov/projections/nationalMatrix?queryParams=541600&amp;ioType=i", "Projections for 541600")</f>
        <v>Projections for 541600</v>
      </c>
    </row>
    <row r="272" spans="1:5" x14ac:dyDescent="0.35">
      <c r="A272" s="3" t="s">
        <v>2936</v>
      </c>
      <c r="B272" s="3" t="s">
        <v>2937</v>
      </c>
      <c r="C272" s="3" t="s">
        <v>60</v>
      </c>
      <c r="D272" s="3" t="s">
        <v>2937</v>
      </c>
      <c r="E272" s="7" t="str">
        <f>HYPERLINK("https://data.bls.gov/projections/nationalMatrix?queryParams=541700&amp;ioType=i", "Projections for 541700")</f>
        <v>Projections for 541700</v>
      </c>
    </row>
    <row r="273" spans="1:5" x14ac:dyDescent="0.35">
      <c r="A273" s="3" t="s">
        <v>2938</v>
      </c>
      <c r="B273" s="3" t="s">
        <v>2939</v>
      </c>
      <c r="C273" s="3" t="s">
        <v>65</v>
      </c>
      <c r="D273" s="3" t="s">
        <v>2939</v>
      </c>
      <c r="E273" s="7" t="str">
        <f>HYPERLINK("https://data.bls.gov/projections/nationalMatrix?queryParams=541710&amp;ioType=i", "Projections for 541710")</f>
        <v>Projections for 541710</v>
      </c>
    </row>
    <row r="274" spans="1:5" x14ac:dyDescent="0.35">
      <c r="A274" s="3" t="s">
        <v>2940</v>
      </c>
      <c r="B274" s="3" t="s">
        <v>2941</v>
      </c>
      <c r="C274" s="3" t="s">
        <v>65</v>
      </c>
      <c r="D274" s="3" t="s">
        <v>2941</v>
      </c>
      <c r="E274" s="7" t="str">
        <f>HYPERLINK("https://data.bls.gov/projections/nationalMatrix?queryParams=541720&amp;ioType=i", "Projections for 541720")</f>
        <v>Projections for 541720</v>
      </c>
    </row>
    <row r="275" spans="1:5" x14ac:dyDescent="0.35">
      <c r="A275" s="3" t="s">
        <v>2942</v>
      </c>
      <c r="B275" s="3" t="s">
        <v>2943</v>
      </c>
      <c r="C275" s="3" t="s">
        <v>65</v>
      </c>
      <c r="D275" s="3" t="s">
        <v>2943</v>
      </c>
      <c r="E275" s="7" t="str">
        <f>HYPERLINK("https://data.bls.gov/projections/nationalMatrix?queryParams=541800&amp;ioType=i", "Projections for 541800")</f>
        <v>Projections for 541800</v>
      </c>
    </row>
    <row r="276" spans="1:5" x14ac:dyDescent="0.35">
      <c r="A276" s="3" t="s">
        <v>2944</v>
      </c>
      <c r="B276" s="3" t="s">
        <v>2945</v>
      </c>
      <c r="C276" s="3" t="s">
        <v>60</v>
      </c>
      <c r="D276" s="3" t="s">
        <v>2945</v>
      </c>
      <c r="E276" s="7" t="str">
        <f>HYPERLINK("https://data.bls.gov/projections/nationalMatrix?queryParams=541900&amp;ioType=i", "Projections for 541900")</f>
        <v>Projections for 541900</v>
      </c>
    </row>
    <row r="277" spans="1:5" x14ac:dyDescent="0.35">
      <c r="A277" s="3" t="s">
        <v>2946</v>
      </c>
      <c r="B277" s="3" t="s">
        <v>2947</v>
      </c>
      <c r="C277" s="3" t="s">
        <v>65</v>
      </c>
      <c r="D277" s="3" t="s">
        <v>2947</v>
      </c>
      <c r="E277" s="7" t="str">
        <f>HYPERLINK("https://data.bls.gov/projections/nationalMatrix?queryParams=541920&amp;ioType=i", "Projections for 541920")</f>
        <v>Projections for 541920</v>
      </c>
    </row>
    <row r="278" spans="1:5" x14ac:dyDescent="0.35">
      <c r="A278" s="3" t="s">
        <v>2948</v>
      </c>
      <c r="B278" s="3" t="s">
        <v>2949</v>
      </c>
      <c r="C278" s="3" t="s">
        <v>65</v>
      </c>
      <c r="D278" s="3" t="s">
        <v>2949</v>
      </c>
      <c r="E278" s="7" t="str">
        <f>HYPERLINK("https://data.bls.gov/projections/nationalMatrix?queryParams=541940&amp;ioType=i", "Projections for 541940")</f>
        <v>Projections for 541940</v>
      </c>
    </row>
    <row r="279" spans="1:5" x14ac:dyDescent="0.35">
      <c r="A279" s="3" t="s">
        <v>2950</v>
      </c>
      <c r="B279" s="3" t="s">
        <v>2951</v>
      </c>
      <c r="C279" s="3" t="s">
        <v>60</v>
      </c>
      <c r="D279" s="3" t="s">
        <v>2951</v>
      </c>
      <c r="E279" s="7" t="str">
        <f>HYPERLINK("https://data.bls.gov/projections/nationalMatrix?queryParams=550000&amp;ioType=i", "Projections for 550000")</f>
        <v>Projections for 550000</v>
      </c>
    </row>
    <row r="280" spans="1:5" x14ac:dyDescent="0.35">
      <c r="A280" s="3" t="s">
        <v>2952</v>
      </c>
      <c r="B280" s="3" t="s">
        <v>2953</v>
      </c>
      <c r="C280" s="3" t="s">
        <v>65</v>
      </c>
      <c r="D280" s="3" t="s">
        <v>2953</v>
      </c>
      <c r="E280" s="7" t="str">
        <f>HYPERLINK("https://data.bls.gov/projections/nationalMatrix?queryParams=551000&amp;ioType=i", "Projections for 551000")</f>
        <v>Projections for 551000</v>
      </c>
    </row>
    <row r="281" spans="1:5" x14ac:dyDescent="0.35">
      <c r="A281" s="3" t="s">
        <v>2954</v>
      </c>
      <c r="B281" s="3" t="s">
        <v>2955</v>
      </c>
      <c r="C281" s="3" t="s">
        <v>60</v>
      </c>
      <c r="D281" s="3" t="s">
        <v>2955</v>
      </c>
      <c r="E281" s="7" t="str">
        <f>HYPERLINK("https://data.bls.gov/projections/nationalMatrix?queryParams=560000&amp;ioType=i", "Projections for 560000")</f>
        <v>Projections for 560000</v>
      </c>
    </row>
    <row r="282" spans="1:5" x14ac:dyDescent="0.35">
      <c r="A282" s="3" t="s">
        <v>2956</v>
      </c>
      <c r="B282" s="3" t="s">
        <v>2957</v>
      </c>
      <c r="C282" s="3" t="s">
        <v>60</v>
      </c>
      <c r="D282" s="3" t="s">
        <v>2957</v>
      </c>
      <c r="E282" s="7" t="str">
        <f>HYPERLINK("https://data.bls.gov/projections/nationalMatrix?queryParams=561000&amp;ioType=i", "Projections for 561000")</f>
        <v>Projections for 561000</v>
      </c>
    </row>
    <row r="283" spans="1:5" x14ac:dyDescent="0.35">
      <c r="A283" s="3" t="s">
        <v>2958</v>
      </c>
      <c r="B283" s="3" t="s">
        <v>2959</v>
      </c>
      <c r="C283" s="3" t="s">
        <v>65</v>
      </c>
      <c r="D283" s="3" t="s">
        <v>2959</v>
      </c>
      <c r="E283" s="7" t="str">
        <f>HYPERLINK("https://data.bls.gov/projections/nationalMatrix?queryParams=561100&amp;ioType=i", "Projections for 561100")</f>
        <v>Projections for 561100</v>
      </c>
    </row>
    <row r="284" spans="1:5" x14ac:dyDescent="0.35">
      <c r="A284" s="3" t="s">
        <v>2960</v>
      </c>
      <c r="B284" s="3" t="s">
        <v>2961</v>
      </c>
      <c r="C284" s="3" t="s">
        <v>65</v>
      </c>
      <c r="D284" s="3" t="s">
        <v>2961</v>
      </c>
      <c r="E284" s="7" t="str">
        <f>HYPERLINK("https://data.bls.gov/projections/nationalMatrix?queryParams=561200&amp;ioType=i", "Projections for 561200")</f>
        <v>Projections for 561200</v>
      </c>
    </row>
    <row r="285" spans="1:5" x14ac:dyDescent="0.35">
      <c r="A285" s="3" t="s">
        <v>2962</v>
      </c>
      <c r="B285" s="3" t="s">
        <v>2963</v>
      </c>
      <c r="C285" s="3" t="s">
        <v>60</v>
      </c>
      <c r="D285" s="3" t="s">
        <v>2963</v>
      </c>
      <c r="E285" s="7" t="str">
        <f>HYPERLINK("https://data.bls.gov/projections/nationalMatrix?queryParams=561300&amp;ioType=i", "Projections for 561300")</f>
        <v>Projections for 561300</v>
      </c>
    </row>
    <row r="286" spans="1:5" x14ac:dyDescent="0.35">
      <c r="A286" s="3" t="s">
        <v>2964</v>
      </c>
      <c r="B286" s="3" t="s">
        <v>2965</v>
      </c>
      <c r="C286" s="3" t="s">
        <v>65</v>
      </c>
      <c r="D286" s="3" t="s">
        <v>2965</v>
      </c>
      <c r="E286" s="7" t="str">
        <f>HYPERLINK("https://data.bls.gov/projections/nationalMatrix?queryParams=561320&amp;ioType=i", "Projections for 561320")</f>
        <v>Projections for 561320</v>
      </c>
    </row>
    <row r="287" spans="1:5" x14ac:dyDescent="0.35">
      <c r="A287" s="3" t="s">
        <v>2966</v>
      </c>
      <c r="B287" s="3" t="s">
        <v>2967</v>
      </c>
      <c r="C287" s="3" t="s">
        <v>65</v>
      </c>
      <c r="D287" s="3" t="s">
        <v>2967</v>
      </c>
      <c r="E287" s="7" t="str">
        <f>HYPERLINK("https://data.bls.gov/projections/nationalMatrix?queryParams=561400&amp;ioType=i", "Projections for 561400")</f>
        <v>Projections for 561400</v>
      </c>
    </row>
    <row r="288" spans="1:5" x14ac:dyDescent="0.35">
      <c r="A288" s="3" t="s">
        <v>2968</v>
      </c>
      <c r="B288" s="3" t="s">
        <v>2969</v>
      </c>
      <c r="C288" s="3" t="s">
        <v>65</v>
      </c>
      <c r="D288" s="3" t="s">
        <v>2969</v>
      </c>
      <c r="E288" s="7" t="str">
        <f>HYPERLINK("https://data.bls.gov/projections/nationalMatrix?queryParams=561500&amp;ioType=i", "Projections for 561500")</f>
        <v>Projections for 561500</v>
      </c>
    </row>
    <row r="289" spans="1:5" x14ac:dyDescent="0.35">
      <c r="A289" s="3" t="s">
        <v>2970</v>
      </c>
      <c r="B289" s="3" t="s">
        <v>2971</v>
      </c>
      <c r="C289" s="3" t="s">
        <v>60</v>
      </c>
      <c r="D289" s="3" t="s">
        <v>2971</v>
      </c>
      <c r="E289" s="7" t="str">
        <f>HYPERLINK("https://data.bls.gov/projections/nationalMatrix?queryParams=561600&amp;ioType=i", "Projections for 561600")</f>
        <v>Projections for 561600</v>
      </c>
    </row>
    <row r="290" spans="1:5" x14ac:dyDescent="0.35">
      <c r="A290" s="3" t="s">
        <v>2972</v>
      </c>
      <c r="B290" s="3" t="s">
        <v>2973</v>
      </c>
      <c r="C290" s="3" t="s">
        <v>65</v>
      </c>
      <c r="D290" s="3" t="s">
        <v>2973</v>
      </c>
      <c r="E290" s="7" t="str">
        <f>HYPERLINK("https://data.bls.gov/projections/nationalMatrix?queryParams=561610&amp;ioType=i", "Projections for 561610")</f>
        <v>Projections for 561610</v>
      </c>
    </row>
    <row r="291" spans="1:5" x14ac:dyDescent="0.35">
      <c r="A291" s="3" t="s">
        <v>2974</v>
      </c>
      <c r="B291" s="3" t="s">
        <v>2975</v>
      </c>
      <c r="C291" s="3" t="s">
        <v>65</v>
      </c>
      <c r="D291" s="3" t="s">
        <v>2975</v>
      </c>
      <c r="E291" s="7" t="str">
        <f>HYPERLINK("https://data.bls.gov/projections/nationalMatrix?queryParams=561620&amp;ioType=i", "Projections for 561620")</f>
        <v>Projections for 561620</v>
      </c>
    </row>
    <row r="292" spans="1:5" x14ac:dyDescent="0.35">
      <c r="A292" s="3" t="s">
        <v>2976</v>
      </c>
      <c r="B292" s="3" t="s">
        <v>2977</v>
      </c>
      <c r="C292" s="3" t="s">
        <v>60</v>
      </c>
      <c r="D292" s="3" t="s">
        <v>2977</v>
      </c>
      <c r="E292" s="7" t="str">
        <f>HYPERLINK("https://data.bls.gov/projections/nationalMatrix?queryParams=561700&amp;ioType=i", "Projections for 561700")</f>
        <v>Projections for 561700</v>
      </c>
    </row>
    <row r="293" spans="1:5" x14ac:dyDescent="0.35">
      <c r="A293" s="3" t="s">
        <v>2978</v>
      </c>
      <c r="B293" s="3" t="s">
        <v>2979</v>
      </c>
      <c r="C293" s="3" t="s">
        <v>65</v>
      </c>
      <c r="D293" s="3" t="s">
        <v>2979</v>
      </c>
      <c r="E293" s="7" t="str">
        <f>HYPERLINK("https://data.bls.gov/projections/nationalMatrix?queryParams=561710&amp;ioType=i", "Projections for 561710")</f>
        <v>Projections for 561710</v>
      </c>
    </row>
    <row r="294" spans="1:5" x14ac:dyDescent="0.35">
      <c r="A294" s="3" t="s">
        <v>2980</v>
      </c>
      <c r="B294" s="3" t="s">
        <v>2981</v>
      </c>
      <c r="C294" s="3" t="s">
        <v>65</v>
      </c>
      <c r="D294" s="3" t="s">
        <v>2981</v>
      </c>
      <c r="E294" s="7" t="str">
        <f>HYPERLINK("https://data.bls.gov/projections/nationalMatrix?queryParams=561730&amp;ioType=i", "Projections for 561730")</f>
        <v>Projections for 561730</v>
      </c>
    </row>
    <row r="295" spans="1:5" x14ac:dyDescent="0.35">
      <c r="A295" s="3" t="s">
        <v>2982</v>
      </c>
      <c r="B295" s="3" t="s">
        <v>2983</v>
      </c>
      <c r="C295" s="3" t="s">
        <v>65</v>
      </c>
      <c r="D295" s="3" t="s">
        <v>2983</v>
      </c>
      <c r="E295" s="7" t="str">
        <f>HYPERLINK("https://data.bls.gov/projections/nationalMatrix?queryParams=561900&amp;ioType=i", "Projections for 561900")</f>
        <v>Projections for 561900</v>
      </c>
    </row>
    <row r="296" spans="1:5" x14ac:dyDescent="0.35">
      <c r="A296" s="3" t="s">
        <v>2984</v>
      </c>
      <c r="B296" s="3" t="s">
        <v>2985</v>
      </c>
      <c r="C296" s="3" t="s">
        <v>60</v>
      </c>
      <c r="D296" s="3" t="s">
        <v>2985</v>
      </c>
      <c r="E296" s="7" t="str">
        <f>HYPERLINK("https://data.bls.gov/projections/nationalMatrix?queryParams=562000&amp;ioType=i", "Projections for 562000")</f>
        <v>Projections for 562000</v>
      </c>
    </row>
    <row r="297" spans="1:5" x14ac:dyDescent="0.35">
      <c r="A297" s="3" t="s">
        <v>2986</v>
      </c>
      <c r="B297" s="3" t="s">
        <v>2987</v>
      </c>
      <c r="C297" s="3" t="s">
        <v>65</v>
      </c>
      <c r="D297" s="3" t="s">
        <v>2987</v>
      </c>
      <c r="E297" s="7" t="str">
        <f>HYPERLINK("https://data.bls.gov/projections/nationalMatrix?queryParams=562100&amp;ioType=i", "Projections for 562100")</f>
        <v>Projections for 562100</v>
      </c>
    </row>
    <row r="298" spans="1:5" x14ac:dyDescent="0.35">
      <c r="A298" s="3" t="s">
        <v>2988</v>
      </c>
      <c r="B298" s="3" t="s">
        <v>2989</v>
      </c>
      <c r="C298" s="3" t="s">
        <v>65</v>
      </c>
      <c r="D298" s="3" t="s">
        <v>2989</v>
      </c>
      <c r="E298" s="7" t="str">
        <f>HYPERLINK("https://data.bls.gov/projections/nationalMatrix?queryParams=562200&amp;ioType=i", "Projections for 562200")</f>
        <v>Projections for 562200</v>
      </c>
    </row>
    <row r="299" spans="1:5" x14ac:dyDescent="0.35">
      <c r="A299" s="3" t="s">
        <v>2990</v>
      </c>
      <c r="B299" s="3" t="s">
        <v>2991</v>
      </c>
      <c r="C299" s="3" t="s">
        <v>65</v>
      </c>
      <c r="D299" s="3" t="s">
        <v>2991</v>
      </c>
      <c r="E299" s="7" t="str">
        <f>HYPERLINK("https://data.bls.gov/projections/nationalMatrix?queryParams=562900&amp;ioType=i", "Projections for 562900")</f>
        <v>Projections for 562900</v>
      </c>
    </row>
    <row r="300" spans="1:5" x14ac:dyDescent="0.35">
      <c r="A300" s="3" t="s">
        <v>2992</v>
      </c>
      <c r="B300" s="3" t="s">
        <v>2993</v>
      </c>
      <c r="C300" s="3" t="s">
        <v>60</v>
      </c>
      <c r="D300" s="3" t="s">
        <v>2993</v>
      </c>
      <c r="E300" s="7" t="str">
        <f>HYPERLINK("https://data.bls.gov/projections/nationalMatrix?queryParams=610000&amp;ioType=i", "Projections for 610000")</f>
        <v>Projections for 610000</v>
      </c>
    </row>
    <row r="301" spans="1:5" x14ac:dyDescent="0.35">
      <c r="A301" s="3" t="s">
        <v>2994</v>
      </c>
      <c r="B301" s="3" t="s">
        <v>2995</v>
      </c>
      <c r="C301" s="3" t="s">
        <v>60</v>
      </c>
      <c r="D301" s="3" t="s">
        <v>2995</v>
      </c>
      <c r="E301" s="7" t="str">
        <f>HYPERLINK("https://data.bls.gov/projections/nationalMatrix?queryParams=611000&amp;ioType=i", "Projections for 611000")</f>
        <v>Projections for 611000</v>
      </c>
    </row>
    <row r="302" spans="1:5" x14ac:dyDescent="0.35">
      <c r="A302" s="3" t="s">
        <v>2996</v>
      </c>
      <c r="B302" s="3" t="s">
        <v>2997</v>
      </c>
      <c r="C302" s="3" t="s">
        <v>60</v>
      </c>
      <c r="D302" s="3" t="s">
        <v>2997</v>
      </c>
      <c r="E302" s="7" t="str">
        <f>HYPERLINK("https://data.bls.gov/projections/nationalMatrix?queryParams=611100&amp;ioType=i", "Projections for 611100")</f>
        <v>Projections for 611100</v>
      </c>
    </row>
    <row r="303" spans="1:5" x14ac:dyDescent="0.35">
      <c r="A303" s="3" t="s">
        <v>2998</v>
      </c>
      <c r="B303" s="3" t="s">
        <v>2999</v>
      </c>
      <c r="C303" s="3" t="s">
        <v>65</v>
      </c>
      <c r="D303" s="3" t="s">
        <v>2997</v>
      </c>
      <c r="E303" s="7" t="str">
        <f>HYPERLINK("https://data.bls.gov/projections/nationalMatrix?queryParams=611105&amp;ioType=i", "Projections for 611105")</f>
        <v>Projections for 611105</v>
      </c>
    </row>
    <row r="304" spans="1:5" x14ac:dyDescent="0.35">
      <c r="A304" s="3" t="s">
        <v>3000</v>
      </c>
      <c r="B304" s="3" t="s">
        <v>3001</v>
      </c>
      <c r="C304" s="3" t="s">
        <v>65</v>
      </c>
      <c r="D304" s="3" t="s">
        <v>2997</v>
      </c>
      <c r="E304" s="7" t="str">
        <f>HYPERLINK("https://data.bls.gov/projections/nationalMatrix?queryParams=611102&amp;ioType=i", "Projections for 611102")</f>
        <v>Projections for 611102</v>
      </c>
    </row>
    <row r="305" spans="1:5" x14ac:dyDescent="0.35">
      <c r="A305" s="3" t="s">
        <v>3002</v>
      </c>
      <c r="B305" s="3" t="s">
        <v>3003</v>
      </c>
      <c r="C305" s="3" t="s">
        <v>65</v>
      </c>
      <c r="D305" s="3" t="s">
        <v>2997</v>
      </c>
      <c r="E305" s="7" t="str">
        <f>HYPERLINK("https://data.bls.gov/projections/nationalMatrix?queryParams=611103&amp;ioType=i", "Projections for 611103")</f>
        <v>Projections for 611103</v>
      </c>
    </row>
    <row r="306" spans="1:5" x14ac:dyDescent="0.35">
      <c r="A306" s="3" t="s">
        <v>3004</v>
      </c>
      <c r="B306" s="3" t="s">
        <v>3005</v>
      </c>
      <c r="C306" s="3" t="s">
        <v>60</v>
      </c>
      <c r="D306" s="3" t="s">
        <v>3006</v>
      </c>
      <c r="E306" s="7" t="str">
        <f>HYPERLINK("https://data.bls.gov/projections/nationalMatrix?queryParams=6112-3&amp;ioType=i", "Projections for 6112-3")</f>
        <v>Projections for 6112-3</v>
      </c>
    </row>
    <row r="307" spans="1:5" x14ac:dyDescent="0.35">
      <c r="A307" s="3" t="s">
        <v>3007</v>
      </c>
      <c r="B307" s="3" t="s">
        <v>3008</v>
      </c>
      <c r="C307" s="3" t="s">
        <v>60</v>
      </c>
      <c r="D307" s="3" t="s">
        <v>3008</v>
      </c>
      <c r="E307" s="7" t="str">
        <f>HYPERLINK("https://data.bls.gov/projections/nationalMatrix?queryParams=611200&amp;ioType=i", "Projections for 611200")</f>
        <v>Projections for 611200</v>
      </c>
    </row>
    <row r="308" spans="1:5" x14ac:dyDescent="0.35">
      <c r="A308" s="3" t="s">
        <v>3009</v>
      </c>
      <c r="B308" s="3" t="s">
        <v>3010</v>
      </c>
      <c r="C308" s="3" t="s">
        <v>65</v>
      </c>
      <c r="D308" s="3" t="s">
        <v>3008</v>
      </c>
      <c r="E308" s="7" t="str">
        <f>HYPERLINK("https://data.bls.gov/projections/nationalMatrix?queryParams=611205&amp;ioType=i", "Projections for 611205")</f>
        <v>Projections for 611205</v>
      </c>
    </row>
    <row r="309" spans="1:5" x14ac:dyDescent="0.35">
      <c r="A309" s="3" t="s">
        <v>3011</v>
      </c>
      <c r="B309" s="3" t="s">
        <v>3012</v>
      </c>
      <c r="C309" s="3" t="s">
        <v>65</v>
      </c>
      <c r="D309" s="3" t="s">
        <v>3008</v>
      </c>
      <c r="E309" s="7" t="str">
        <f>HYPERLINK("https://data.bls.gov/projections/nationalMatrix?queryParams=611202&amp;ioType=i", "Projections for 611202")</f>
        <v>Projections for 611202</v>
      </c>
    </row>
    <row r="310" spans="1:5" x14ac:dyDescent="0.35">
      <c r="A310" s="3" t="s">
        <v>3013</v>
      </c>
      <c r="B310" s="3" t="s">
        <v>3014</v>
      </c>
      <c r="C310" s="3" t="s">
        <v>65</v>
      </c>
      <c r="D310" s="3" t="s">
        <v>3008</v>
      </c>
      <c r="E310" s="7" t="str">
        <f>HYPERLINK("https://data.bls.gov/projections/nationalMatrix?queryParams=611203&amp;ioType=i", "Projections for 611203")</f>
        <v>Projections for 611203</v>
      </c>
    </row>
    <row r="311" spans="1:5" x14ac:dyDescent="0.35">
      <c r="A311" s="3" t="s">
        <v>3015</v>
      </c>
      <c r="B311" s="3" t="s">
        <v>3016</v>
      </c>
      <c r="C311" s="3" t="s">
        <v>60</v>
      </c>
      <c r="D311" s="3" t="s">
        <v>3016</v>
      </c>
      <c r="E311" s="7" t="str">
        <f>HYPERLINK("https://data.bls.gov/projections/nationalMatrix?queryParams=611300&amp;ioType=i", "Projections for 611300")</f>
        <v>Projections for 611300</v>
      </c>
    </row>
    <row r="312" spans="1:5" x14ac:dyDescent="0.35">
      <c r="A312" s="3" t="s">
        <v>3017</v>
      </c>
      <c r="B312" s="3" t="s">
        <v>3018</v>
      </c>
      <c r="C312" s="3" t="s">
        <v>65</v>
      </c>
      <c r="D312" s="3" t="s">
        <v>3016</v>
      </c>
      <c r="E312" s="7" t="str">
        <f>HYPERLINK("https://data.bls.gov/projections/nationalMatrix?queryParams=611305&amp;ioType=i", "Projections for 611305")</f>
        <v>Projections for 611305</v>
      </c>
    </row>
    <row r="313" spans="1:5" x14ac:dyDescent="0.35">
      <c r="A313" s="3" t="s">
        <v>3019</v>
      </c>
      <c r="B313" s="3" t="s">
        <v>3020</v>
      </c>
      <c r="C313" s="3" t="s">
        <v>65</v>
      </c>
      <c r="D313" s="3" t="s">
        <v>3016</v>
      </c>
      <c r="E313" s="7" t="str">
        <f>HYPERLINK("https://data.bls.gov/projections/nationalMatrix?queryParams=611302&amp;ioType=i", "Projections for 611302")</f>
        <v>Projections for 611302</v>
      </c>
    </row>
    <row r="314" spans="1:5" x14ac:dyDescent="0.35">
      <c r="A314" s="3" t="s">
        <v>3021</v>
      </c>
      <c r="B314" s="3" t="s">
        <v>3022</v>
      </c>
      <c r="C314" s="3" t="s">
        <v>65</v>
      </c>
      <c r="D314" s="3" t="s">
        <v>3016</v>
      </c>
      <c r="E314" s="7" t="str">
        <f>HYPERLINK("https://data.bls.gov/projections/nationalMatrix?queryParams=611303&amp;ioType=i", "Projections for 611303")</f>
        <v>Projections for 611303</v>
      </c>
    </row>
    <row r="315" spans="1:5" x14ac:dyDescent="0.35">
      <c r="A315" s="3" t="s">
        <v>3023</v>
      </c>
      <c r="B315" s="3" t="s">
        <v>3024</v>
      </c>
      <c r="C315" s="3" t="s">
        <v>60</v>
      </c>
      <c r="D315" s="3" t="s">
        <v>3025</v>
      </c>
      <c r="E315" s="7" t="str">
        <f>HYPERLINK("https://data.bls.gov/projections/nationalMatrix?queryParams=6114-7&amp;ioType=i", "Projections for 6114-7")</f>
        <v>Projections for 6114-7</v>
      </c>
    </row>
    <row r="316" spans="1:5" x14ac:dyDescent="0.35">
      <c r="A316" s="3" t="s">
        <v>3026</v>
      </c>
      <c r="B316" s="3" t="s">
        <v>3027</v>
      </c>
      <c r="C316" s="3" t="s">
        <v>60</v>
      </c>
      <c r="D316" s="3" t="s">
        <v>3027</v>
      </c>
      <c r="E316" s="7" t="str">
        <f>HYPERLINK("https://data.bls.gov/projections/nationalMatrix?queryParams=611400&amp;ioType=i", "Projections for 611400")</f>
        <v>Projections for 611400</v>
      </c>
    </row>
    <row r="317" spans="1:5" x14ac:dyDescent="0.35">
      <c r="A317" s="3" t="s">
        <v>3028</v>
      </c>
      <c r="B317" s="3" t="s">
        <v>3029</v>
      </c>
      <c r="C317" s="3" t="s">
        <v>65</v>
      </c>
      <c r="D317" s="3" t="s">
        <v>3027</v>
      </c>
      <c r="E317" s="7" t="str">
        <f>HYPERLINK("https://data.bls.gov/projections/nationalMatrix?queryParams=611405&amp;ioType=i", "Projections for 611405")</f>
        <v>Projections for 611405</v>
      </c>
    </row>
    <row r="318" spans="1:5" x14ac:dyDescent="0.35">
      <c r="A318" s="3" t="s">
        <v>3030</v>
      </c>
      <c r="B318" s="3" t="s">
        <v>3031</v>
      </c>
      <c r="C318" s="3" t="s">
        <v>65</v>
      </c>
      <c r="D318" s="3" t="s">
        <v>3027</v>
      </c>
      <c r="E318" s="7" t="str">
        <f>HYPERLINK("https://data.bls.gov/projections/nationalMatrix?queryParams=611402&amp;ioType=i", "Projections for 611402")</f>
        <v>Projections for 611402</v>
      </c>
    </row>
    <row r="319" spans="1:5" x14ac:dyDescent="0.35">
      <c r="A319" s="3" t="s">
        <v>3032</v>
      </c>
      <c r="B319" s="3" t="s">
        <v>3033</v>
      </c>
      <c r="C319" s="3" t="s">
        <v>65</v>
      </c>
      <c r="D319" s="3" t="s">
        <v>3027</v>
      </c>
      <c r="E319" s="7" t="str">
        <f>HYPERLINK("https://data.bls.gov/projections/nationalMatrix?queryParams=611403&amp;ioType=i", "Projections for 611403")</f>
        <v>Projections for 611403</v>
      </c>
    </row>
    <row r="320" spans="1:5" x14ac:dyDescent="0.35">
      <c r="A320" s="3" t="s">
        <v>3034</v>
      </c>
      <c r="B320" s="3" t="s">
        <v>3035</v>
      </c>
      <c r="C320" s="3" t="s">
        <v>60</v>
      </c>
      <c r="D320" s="3" t="s">
        <v>3035</v>
      </c>
      <c r="E320" s="7" t="str">
        <f>HYPERLINK("https://data.bls.gov/projections/nationalMatrix?queryParams=611500&amp;ioType=i", "Projections for 611500")</f>
        <v>Projections for 611500</v>
      </c>
    </row>
    <row r="321" spans="1:5" x14ac:dyDescent="0.35">
      <c r="A321" s="3" t="s">
        <v>3036</v>
      </c>
      <c r="B321" s="3" t="s">
        <v>3037</v>
      </c>
      <c r="C321" s="3" t="s">
        <v>65</v>
      </c>
      <c r="D321" s="3" t="s">
        <v>3035</v>
      </c>
      <c r="E321" s="7" t="str">
        <f>HYPERLINK("https://data.bls.gov/projections/nationalMatrix?queryParams=611505&amp;ioType=i", "Projections for 611505")</f>
        <v>Projections for 611505</v>
      </c>
    </row>
    <row r="322" spans="1:5" x14ac:dyDescent="0.35">
      <c r="A322" s="3" t="s">
        <v>3038</v>
      </c>
      <c r="B322" s="3" t="s">
        <v>3039</v>
      </c>
      <c r="C322" s="3" t="s">
        <v>65</v>
      </c>
      <c r="D322" s="3" t="s">
        <v>3035</v>
      </c>
      <c r="E322" s="7" t="str">
        <f>HYPERLINK("https://data.bls.gov/projections/nationalMatrix?queryParams=611502&amp;ioType=i", "Projections for 611502")</f>
        <v>Projections for 611502</v>
      </c>
    </row>
    <row r="323" spans="1:5" x14ac:dyDescent="0.35">
      <c r="A323" s="3" t="s">
        <v>3040</v>
      </c>
      <c r="B323" s="3" t="s">
        <v>3041</v>
      </c>
      <c r="C323" s="3" t="s">
        <v>65</v>
      </c>
      <c r="D323" s="3" t="s">
        <v>3035</v>
      </c>
      <c r="E323" s="7" t="str">
        <f>HYPERLINK("https://data.bls.gov/projections/nationalMatrix?queryParams=611503&amp;ioType=i", "Projections for 611503")</f>
        <v>Projections for 611503</v>
      </c>
    </row>
    <row r="324" spans="1:5" x14ac:dyDescent="0.35">
      <c r="A324" s="3" t="s">
        <v>3042</v>
      </c>
      <c r="B324" s="3" t="s">
        <v>3043</v>
      </c>
      <c r="C324" s="3" t="s">
        <v>60</v>
      </c>
      <c r="D324" s="3" t="s">
        <v>3043</v>
      </c>
      <c r="E324" s="7" t="str">
        <f>HYPERLINK("https://data.bls.gov/projections/nationalMatrix?queryParams=611600&amp;ioType=i", "Projections for 611600")</f>
        <v>Projections for 611600</v>
      </c>
    </row>
    <row r="325" spans="1:5" x14ac:dyDescent="0.35">
      <c r="A325" s="3" t="s">
        <v>3044</v>
      </c>
      <c r="B325" s="3" t="s">
        <v>3045</v>
      </c>
      <c r="C325" s="3" t="s">
        <v>65</v>
      </c>
      <c r="D325" s="3" t="s">
        <v>3043</v>
      </c>
      <c r="E325" s="7" t="str">
        <f>HYPERLINK("https://data.bls.gov/projections/nationalMatrix?queryParams=611605&amp;ioType=i", "Projections for 611605")</f>
        <v>Projections for 611605</v>
      </c>
    </row>
    <row r="326" spans="1:5" x14ac:dyDescent="0.35">
      <c r="A326" s="3" t="s">
        <v>3046</v>
      </c>
      <c r="B326" s="3" t="s">
        <v>3047</v>
      </c>
      <c r="C326" s="3" t="s">
        <v>65</v>
      </c>
      <c r="D326" s="3" t="s">
        <v>3043</v>
      </c>
      <c r="E326" s="7" t="str">
        <f>HYPERLINK("https://data.bls.gov/projections/nationalMatrix?queryParams=611602&amp;ioType=i", "Projections for 611602")</f>
        <v>Projections for 611602</v>
      </c>
    </row>
    <row r="327" spans="1:5" x14ac:dyDescent="0.35">
      <c r="A327" s="3" t="s">
        <v>3048</v>
      </c>
      <c r="B327" s="3" t="s">
        <v>3049</v>
      </c>
      <c r="C327" s="3" t="s">
        <v>65</v>
      </c>
      <c r="D327" s="3" t="s">
        <v>3043</v>
      </c>
      <c r="E327" s="7" t="str">
        <f>HYPERLINK("https://data.bls.gov/projections/nationalMatrix?queryParams=611603&amp;ioType=i", "Projections for 611603")</f>
        <v>Projections for 611603</v>
      </c>
    </row>
    <row r="328" spans="1:5" x14ac:dyDescent="0.35">
      <c r="A328" s="3" t="s">
        <v>3050</v>
      </c>
      <c r="B328" s="3" t="s">
        <v>3051</v>
      </c>
      <c r="C328" s="3" t="s">
        <v>60</v>
      </c>
      <c r="D328" s="3" t="s">
        <v>3051</v>
      </c>
      <c r="E328" s="7" t="str">
        <f>HYPERLINK("https://data.bls.gov/projections/nationalMatrix?queryParams=611700&amp;ioType=i", "Projections for 611700")</f>
        <v>Projections for 611700</v>
      </c>
    </row>
    <row r="329" spans="1:5" x14ac:dyDescent="0.35">
      <c r="A329" s="3" t="s">
        <v>3052</v>
      </c>
      <c r="B329" s="3" t="s">
        <v>3053</v>
      </c>
      <c r="C329" s="3" t="s">
        <v>65</v>
      </c>
      <c r="D329" s="3" t="s">
        <v>3051</v>
      </c>
      <c r="E329" s="7" t="str">
        <f>HYPERLINK("https://data.bls.gov/projections/nationalMatrix?queryParams=611705&amp;ioType=i", "Projections for 611705")</f>
        <v>Projections for 611705</v>
      </c>
    </row>
    <row r="330" spans="1:5" x14ac:dyDescent="0.35">
      <c r="A330" s="3" t="s">
        <v>3054</v>
      </c>
      <c r="B330" s="3" t="s">
        <v>3055</v>
      </c>
      <c r="C330" s="3" t="s">
        <v>65</v>
      </c>
      <c r="D330" s="3" t="s">
        <v>3051</v>
      </c>
      <c r="E330" s="7" t="str">
        <f>HYPERLINK("https://data.bls.gov/projections/nationalMatrix?queryParams=611703&amp;ioType=i", "Projections for 611703")</f>
        <v>Projections for 611703</v>
      </c>
    </row>
    <row r="331" spans="1:5" x14ac:dyDescent="0.35">
      <c r="A331" s="3" t="s">
        <v>3056</v>
      </c>
      <c r="B331" s="3" t="s">
        <v>3057</v>
      </c>
      <c r="C331" s="3" t="s">
        <v>60</v>
      </c>
      <c r="D331" s="3" t="s">
        <v>3057</v>
      </c>
      <c r="E331" s="7" t="str">
        <f>HYPERLINK("https://data.bls.gov/projections/nationalMatrix?queryParams=620000&amp;ioType=i", "Projections for 620000")</f>
        <v>Projections for 620000</v>
      </c>
    </row>
    <row r="332" spans="1:5" x14ac:dyDescent="0.35">
      <c r="A332" s="3" t="s">
        <v>3058</v>
      </c>
      <c r="B332" s="3" t="s">
        <v>3059</v>
      </c>
      <c r="C332" s="3" t="s">
        <v>60</v>
      </c>
      <c r="D332" s="3" t="s">
        <v>3059</v>
      </c>
      <c r="E332" s="7" t="str">
        <f>HYPERLINK("https://data.bls.gov/projections/nationalMatrix?queryParams=621000&amp;ioType=i", "Projections for 621000")</f>
        <v>Projections for 621000</v>
      </c>
    </row>
    <row r="333" spans="1:5" x14ac:dyDescent="0.35">
      <c r="A333" s="3" t="s">
        <v>3060</v>
      </c>
      <c r="B333" s="3" t="s">
        <v>3061</v>
      </c>
      <c r="C333" s="3" t="s">
        <v>65</v>
      </c>
      <c r="D333" s="3" t="s">
        <v>3061</v>
      </c>
      <c r="E333" s="7" t="str">
        <f>HYPERLINK("https://data.bls.gov/projections/nationalMatrix?queryParams=621100&amp;ioType=i", "Projections for 621100")</f>
        <v>Projections for 621100</v>
      </c>
    </row>
    <row r="334" spans="1:5" x14ac:dyDescent="0.35">
      <c r="A334" s="3" t="s">
        <v>3062</v>
      </c>
      <c r="B334" s="3" t="s">
        <v>3063</v>
      </c>
      <c r="C334" s="3" t="s">
        <v>65</v>
      </c>
      <c r="D334" s="3" t="s">
        <v>3063</v>
      </c>
      <c r="E334" s="7" t="str">
        <f>HYPERLINK("https://data.bls.gov/projections/nationalMatrix?queryParams=621200&amp;ioType=i", "Projections for 621200")</f>
        <v>Projections for 621200</v>
      </c>
    </row>
    <row r="335" spans="1:5" x14ac:dyDescent="0.35">
      <c r="A335" s="3" t="s">
        <v>3064</v>
      </c>
      <c r="B335" s="3" t="s">
        <v>3065</v>
      </c>
      <c r="C335" s="3" t="s">
        <v>60</v>
      </c>
      <c r="D335" s="3" t="s">
        <v>3065</v>
      </c>
      <c r="E335" s="7" t="str">
        <f>HYPERLINK("https://data.bls.gov/projections/nationalMatrix?queryParams=621300&amp;ioType=i", "Projections for 621300")</f>
        <v>Projections for 621300</v>
      </c>
    </row>
    <row r="336" spans="1:5" x14ac:dyDescent="0.35">
      <c r="A336" s="3" t="s">
        <v>3066</v>
      </c>
      <c r="B336" s="3" t="s">
        <v>3067</v>
      </c>
      <c r="C336" s="3" t="s">
        <v>65</v>
      </c>
      <c r="D336" s="3" t="s">
        <v>3067</v>
      </c>
      <c r="E336" s="7" t="str">
        <f>HYPERLINK("https://data.bls.gov/projections/nationalMatrix?queryParams=621310&amp;ioType=i", "Projections for 621310")</f>
        <v>Projections for 621310</v>
      </c>
    </row>
    <row r="337" spans="1:5" x14ac:dyDescent="0.35">
      <c r="A337" s="3" t="s">
        <v>3068</v>
      </c>
      <c r="B337" s="3" t="s">
        <v>3069</v>
      </c>
      <c r="C337" s="3" t="s">
        <v>65</v>
      </c>
      <c r="D337" s="3" t="s">
        <v>3069</v>
      </c>
      <c r="E337" s="7" t="str">
        <f>HYPERLINK("https://data.bls.gov/projections/nationalMatrix?queryParams=621320&amp;ioType=i", "Projections for 621320")</f>
        <v>Projections for 621320</v>
      </c>
    </row>
    <row r="338" spans="1:5" x14ac:dyDescent="0.35">
      <c r="A338" s="3" t="s">
        <v>3070</v>
      </c>
      <c r="B338" s="3" t="s">
        <v>3071</v>
      </c>
      <c r="C338" s="3" t="s">
        <v>65</v>
      </c>
      <c r="D338" s="3" t="s">
        <v>3071</v>
      </c>
      <c r="E338" s="7" t="str">
        <f>HYPERLINK("https://data.bls.gov/projections/nationalMatrix?queryParams=621330&amp;ioType=i", "Projections for 621330")</f>
        <v>Projections for 621330</v>
      </c>
    </row>
    <row r="339" spans="1:5" x14ac:dyDescent="0.35">
      <c r="A339" s="3" t="s">
        <v>3072</v>
      </c>
      <c r="B339" s="3" t="s">
        <v>3073</v>
      </c>
      <c r="C339" s="3" t="s">
        <v>65</v>
      </c>
      <c r="D339" s="3" t="s">
        <v>3073</v>
      </c>
      <c r="E339" s="7" t="str">
        <f>HYPERLINK("https://data.bls.gov/projections/nationalMatrix?queryParams=621340&amp;ioType=i", "Projections for 621340")</f>
        <v>Projections for 621340</v>
      </c>
    </row>
    <row r="340" spans="1:5" x14ac:dyDescent="0.35">
      <c r="A340" s="3" t="s">
        <v>3074</v>
      </c>
      <c r="B340" s="3" t="s">
        <v>3075</v>
      </c>
      <c r="C340" s="3" t="s">
        <v>65</v>
      </c>
      <c r="D340" s="3" t="s">
        <v>3075</v>
      </c>
      <c r="E340" s="7" t="str">
        <f>HYPERLINK("https://data.bls.gov/projections/nationalMatrix?queryParams=621390&amp;ioType=i", "Projections for 621390")</f>
        <v>Projections for 621390</v>
      </c>
    </row>
    <row r="341" spans="1:5" x14ac:dyDescent="0.35">
      <c r="A341" s="3" t="s">
        <v>3076</v>
      </c>
      <c r="B341" s="3" t="s">
        <v>3077</v>
      </c>
      <c r="C341" s="3" t="s">
        <v>60</v>
      </c>
      <c r="D341" s="3" t="s">
        <v>3077</v>
      </c>
      <c r="E341" s="7" t="str">
        <f>HYPERLINK("https://data.bls.gov/projections/nationalMatrix?queryParams=621400&amp;ioType=i", "Projections for 621400")</f>
        <v>Projections for 621400</v>
      </c>
    </row>
    <row r="342" spans="1:5" x14ac:dyDescent="0.35">
      <c r="A342" s="3" t="s">
        <v>3078</v>
      </c>
      <c r="B342" s="3" t="s">
        <v>3079</v>
      </c>
      <c r="C342" s="3" t="s">
        <v>65</v>
      </c>
      <c r="D342" s="3" t="s">
        <v>3079</v>
      </c>
      <c r="E342" s="7" t="str">
        <f>HYPERLINK("https://data.bls.gov/projections/nationalMatrix?queryParams=621420&amp;ioType=i", "Projections for 621420")</f>
        <v>Projections for 621420</v>
      </c>
    </row>
    <row r="343" spans="1:5" x14ac:dyDescent="0.35">
      <c r="A343" s="3" t="s">
        <v>3080</v>
      </c>
      <c r="B343" s="3" t="s">
        <v>3081</v>
      </c>
      <c r="C343" s="3" t="s">
        <v>65</v>
      </c>
      <c r="D343" s="3" t="s">
        <v>3081</v>
      </c>
      <c r="E343" s="7" t="str">
        <f>HYPERLINK("https://data.bls.gov/projections/nationalMatrix?queryParams=621500&amp;ioType=i", "Projections for 621500")</f>
        <v>Projections for 621500</v>
      </c>
    </row>
    <row r="344" spans="1:5" x14ac:dyDescent="0.35">
      <c r="A344" s="3" t="s">
        <v>3082</v>
      </c>
      <c r="B344" s="3" t="s">
        <v>3083</v>
      </c>
      <c r="C344" s="3" t="s">
        <v>65</v>
      </c>
      <c r="D344" s="3" t="s">
        <v>3083</v>
      </c>
      <c r="E344" s="7" t="str">
        <f>HYPERLINK("https://data.bls.gov/projections/nationalMatrix?queryParams=621600&amp;ioType=i", "Projections for 621600")</f>
        <v>Projections for 621600</v>
      </c>
    </row>
    <row r="345" spans="1:5" x14ac:dyDescent="0.35">
      <c r="A345" s="3" t="s">
        <v>3084</v>
      </c>
      <c r="B345" s="3" t="s">
        <v>3085</v>
      </c>
      <c r="C345" s="3" t="s">
        <v>60</v>
      </c>
      <c r="D345" s="3" t="s">
        <v>3085</v>
      </c>
      <c r="E345" s="7" t="str">
        <f>HYPERLINK("https://data.bls.gov/projections/nationalMatrix?queryParams=621900&amp;ioType=i", "Projections for 621900")</f>
        <v>Projections for 621900</v>
      </c>
    </row>
    <row r="346" spans="1:5" x14ac:dyDescent="0.35">
      <c r="A346" s="3" t="s">
        <v>3086</v>
      </c>
      <c r="B346" s="3" t="s">
        <v>3087</v>
      </c>
      <c r="C346" s="3" t="s">
        <v>65</v>
      </c>
      <c r="D346" s="3" t="s">
        <v>3087</v>
      </c>
      <c r="E346" s="7" t="str">
        <f>HYPERLINK("https://data.bls.gov/projections/nationalMatrix?queryParams=621910&amp;ioType=i", "Projections for 621910")</f>
        <v>Projections for 621910</v>
      </c>
    </row>
    <row r="347" spans="1:5" x14ac:dyDescent="0.35">
      <c r="A347" s="3" t="s">
        <v>3088</v>
      </c>
      <c r="B347" s="3" t="s">
        <v>3089</v>
      </c>
      <c r="C347" s="3" t="s">
        <v>65</v>
      </c>
      <c r="D347" s="3" t="s">
        <v>3089</v>
      </c>
      <c r="E347" s="7" t="str">
        <f>HYPERLINK("https://data.bls.gov/projections/nationalMatrix?queryParams=621990&amp;ioType=i", "Projections for 621990")</f>
        <v>Projections for 621990</v>
      </c>
    </row>
    <row r="348" spans="1:5" x14ac:dyDescent="0.35">
      <c r="A348" s="3" t="s">
        <v>3090</v>
      </c>
      <c r="B348" s="3" t="s">
        <v>3091</v>
      </c>
      <c r="C348" s="3" t="s">
        <v>60</v>
      </c>
      <c r="D348" s="3" t="s">
        <v>3091</v>
      </c>
      <c r="E348" s="7" t="str">
        <f>HYPERLINK("https://data.bls.gov/projections/nationalMatrix?queryParams=622000&amp;ioType=i", "Projections for 622000")</f>
        <v>Projections for 622000</v>
      </c>
    </row>
    <row r="349" spans="1:5" x14ac:dyDescent="0.35">
      <c r="A349" s="3" t="s">
        <v>3092</v>
      </c>
      <c r="B349" s="3" t="s">
        <v>3093</v>
      </c>
      <c r="C349" s="3" t="s">
        <v>60</v>
      </c>
      <c r="D349" s="3" t="s">
        <v>3093</v>
      </c>
      <c r="E349" s="7" t="str">
        <f>HYPERLINK("https://data.bls.gov/projections/nationalMatrix?queryParams=622100&amp;ioType=i", "Projections for 622100")</f>
        <v>Projections for 622100</v>
      </c>
    </row>
    <row r="350" spans="1:5" x14ac:dyDescent="0.35">
      <c r="A350" s="3" t="s">
        <v>3094</v>
      </c>
      <c r="B350" s="3" t="s">
        <v>3095</v>
      </c>
      <c r="C350" s="3" t="s">
        <v>65</v>
      </c>
      <c r="D350" s="3" t="s">
        <v>3093</v>
      </c>
      <c r="E350" s="7" t="str">
        <f>HYPERLINK("https://data.bls.gov/projections/nationalMatrix?queryParams=622105&amp;ioType=i", "Projections for 622105")</f>
        <v>Projections for 622105</v>
      </c>
    </row>
    <row r="351" spans="1:5" x14ac:dyDescent="0.35">
      <c r="A351" s="3" t="s">
        <v>3096</v>
      </c>
      <c r="B351" s="3" t="s">
        <v>3097</v>
      </c>
      <c r="C351" s="3" t="s">
        <v>65</v>
      </c>
      <c r="D351" s="3" t="s">
        <v>3093</v>
      </c>
      <c r="E351" s="7" t="str">
        <f>HYPERLINK("https://data.bls.gov/projections/nationalMatrix?queryParams=622102&amp;ioType=i", "Projections for 622102")</f>
        <v>Projections for 622102</v>
      </c>
    </row>
    <row r="352" spans="1:5" x14ac:dyDescent="0.35">
      <c r="A352" s="3" t="s">
        <v>3098</v>
      </c>
      <c r="B352" s="3" t="s">
        <v>3099</v>
      </c>
      <c r="C352" s="3" t="s">
        <v>65</v>
      </c>
      <c r="D352" s="3" t="s">
        <v>3093</v>
      </c>
      <c r="E352" s="7" t="str">
        <f>HYPERLINK("https://data.bls.gov/projections/nationalMatrix?queryParams=622103&amp;ioType=i", "Projections for 622103")</f>
        <v>Projections for 622103</v>
      </c>
    </row>
    <row r="353" spans="1:5" x14ac:dyDescent="0.35">
      <c r="A353" s="3" t="s">
        <v>3100</v>
      </c>
      <c r="B353" s="3" t="s">
        <v>3101</v>
      </c>
      <c r="C353" s="3" t="s">
        <v>60</v>
      </c>
      <c r="D353" s="3" t="s">
        <v>3101</v>
      </c>
      <c r="E353" s="7" t="str">
        <f>HYPERLINK("https://data.bls.gov/projections/nationalMatrix?queryParams=622200&amp;ioType=i", "Projections for 622200")</f>
        <v>Projections for 622200</v>
      </c>
    </row>
    <row r="354" spans="1:5" x14ac:dyDescent="0.35">
      <c r="A354" s="3" t="s">
        <v>3102</v>
      </c>
      <c r="B354" s="3" t="s">
        <v>3103</v>
      </c>
      <c r="C354" s="3" t="s">
        <v>65</v>
      </c>
      <c r="D354" s="3" t="s">
        <v>3101</v>
      </c>
      <c r="E354" s="7" t="str">
        <f>HYPERLINK("https://data.bls.gov/projections/nationalMatrix?queryParams=622205&amp;ioType=i", "Projections for 622205")</f>
        <v>Projections for 622205</v>
      </c>
    </row>
    <row r="355" spans="1:5" x14ac:dyDescent="0.35">
      <c r="A355" s="3" t="s">
        <v>3104</v>
      </c>
      <c r="B355" s="3" t="s">
        <v>3105</v>
      </c>
      <c r="C355" s="3" t="s">
        <v>65</v>
      </c>
      <c r="D355" s="3" t="s">
        <v>3101</v>
      </c>
      <c r="E355" s="7" t="str">
        <f>HYPERLINK("https://data.bls.gov/projections/nationalMatrix?queryParams=622202&amp;ioType=i", "Projections for 622202")</f>
        <v>Projections for 622202</v>
      </c>
    </row>
    <row r="356" spans="1:5" x14ac:dyDescent="0.35">
      <c r="A356" s="3" t="s">
        <v>3106</v>
      </c>
      <c r="B356" s="3" t="s">
        <v>3107</v>
      </c>
      <c r="C356" s="3" t="s">
        <v>65</v>
      </c>
      <c r="D356" s="3" t="s">
        <v>3101</v>
      </c>
      <c r="E356" s="7" t="str">
        <f>HYPERLINK("https://data.bls.gov/projections/nationalMatrix?queryParams=622203&amp;ioType=i", "Projections for 622203")</f>
        <v>Projections for 622203</v>
      </c>
    </row>
    <row r="357" spans="1:5" x14ac:dyDescent="0.35">
      <c r="A357" s="3" t="s">
        <v>3108</v>
      </c>
      <c r="B357" s="3" t="s">
        <v>3109</v>
      </c>
      <c r="C357" s="3" t="s">
        <v>60</v>
      </c>
      <c r="D357" s="3" t="s">
        <v>3109</v>
      </c>
      <c r="E357" s="7" t="str">
        <f>HYPERLINK("https://data.bls.gov/projections/nationalMatrix?queryParams=622300&amp;ioType=i", "Projections for 622300")</f>
        <v>Projections for 622300</v>
      </c>
    </row>
    <row r="358" spans="1:5" x14ac:dyDescent="0.35">
      <c r="A358" s="3" t="s">
        <v>3110</v>
      </c>
      <c r="B358" s="3" t="s">
        <v>3111</v>
      </c>
      <c r="C358" s="3" t="s">
        <v>65</v>
      </c>
      <c r="D358" s="3" t="s">
        <v>3109</v>
      </c>
      <c r="E358" s="7" t="str">
        <f>HYPERLINK("https://data.bls.gov/projections/nationalMatrix?queryParams=622305&amp;ioType=i", "Projections for 622305")</f>
        <v>Projections for 622305</v>
      </c>
    </row>
    <row r="359" spans="1:5" x14ac:dyDescent="0.35">
      <c r="A359" s="3" t="s">
        <v>3112</v>
      </c>
      <c r="B359" s="3" t="s">
        <v>3113</v>
      </c>
      <c r="C359" s="3" t="s">
        <v>65</v>
      </c>
      <c r="D359" s="3" t="s">
        <v>3109</v>
      </c>
      <c r="E359" s="7" t="str">
        <f>HYPERLINK("https://data.bls.gov/projections/nationalMatrix?queryParams=622302&amp;ioType=i", "Projections for 622302")</f>
        <v>Projections for 622302</v>
      </c>
    </row>
    <row r="360" spans="1:5" x14ac:dyDescent="0.35">
      <c r="A360" s="3" t="s">
        <v>3114</v>
      </c>
      <c r="B360" s="3" t="s">
        <v>3115</v>
      </c>
      <c r="C360" s="3" t="s">
        <v>65</v>
      </c>
      <c r="D360" s="3" t="s">
        <v>3109</v>
      </c>
      <c r="E360" s="7" t="str">
        <f>HYPERLINK("https://data.bls.gov/projections/nationalMatrix?queryParams=622303&amp;ioType=i", "Projections for 622303")</f>
        <v>Projections for 622303</v>
      </c>
    </row>
    <row r="361" spans="1:5" x14ac:dyDescent="0.35">
      <c r="A361" s="3" t="s">
        <v>3116</v>
      </c>
      <c r="B361" s="3" t="s">
        <v>3117</v>
      </c>
      <c r="C361" s="3" t="s">
        <v>60</v>
      </c>
      <c r="D361" s="3" t="s">
        <v>3117</v>
      </c>
      <c r="E361" s="7" t="str">
        <f>HYPERLINK("https://data.bls.gov/projections/nationalMatrix?queryParams=623000&amp;ioType=i", "Projections for 623000")</f>
        <v>Projections for 623000</v>
      </c>
    </row>
    <row r="362" spans="1:5" x14ac:dyDescent="0.35">
      <c r="A362" s="3" t="s">
        <v>3118</v>
      </c>
      <c r="B362" s="3" t="s">
        <v>3119</v>
      </c>
      <c r="C362" s="3" t="s">
        <v>65</v>
      </c>
      <c r="D362" s="3" t="s">
        <v>3119</v>
      </c>
      <c r="E362" s="7" t="str">
        <f>HYPERLINK("https://data.bls.gov/projections/nationalMatrix?queryParams=623100&amp;ioType=i", "Projections for 623100")</f>
        <v>Projections for 623100</v>
      </c>
    </row>
    <row r="363" spans="1:5" x14ac:dyDescent="0.35">
      <c r="A363" s="3" t="s">
        <v>3120</v>
      </c>
      <c r="B363" s="3" t="s">
        <v>3121</v>
      </c>
      <c r="C363" s="3" t="s">
        <v>60</v>
      </c>
      <c r="D363" s="3" t="s">
        <v>3121</v>
      </c>
      <c r="E363" s="7" t="str">
        <f>HYPERLINK("https://data.bls.gov/projections/nationalMatrix?queryParams=623200&amp;ioType=i", "Projections for 623200")</f>
        <v>Projections for 623200</v>
      </c>
    </row>
    <row r="364" spans="1:5" x14ac:dyDescent="0.35">
      <c r="A364" s="3" t="s">
        <v>3122</v>
      </c>
      <c r="B364" s="3" t="s">
        <v>3123</v>
      </c>
      <c r="C364" s="3" t="s">
        <v>65</v>
      </c>
      <c r="D364" s="3" t="s">
        <v>3123</v>
      </c>
      <c r="E364" s="7" t="str">
        <f>HYPERLINK("https://data.bls.gov/projections/nationalMatrix?queryParams=623210&amp;ioType=i", "Projections for 623210")</f>
        <v>Projections for 623210</v>
      </c>
    </row>
    <row r="365" spans="1:5" x14ac:dyDescent="0.35">
      <c r="A365" s="3" t="s">
        <v>3124</v>
      </c>
      <c r="B365" s="3" t="s">
        <v>3125</v>
      </c>
      <c r="C365" s="3" t="s">
        <v>65</v>
      </c>
      <c r="D365" s="3" t="s">
        <v>3125</v>
      </c>
      <c r="E365" s="7" t="str">
        <f>HYPERLINK("https://data.bls.gov/projections/nationalMatrix?queryParams=623220&amp;ioType=i", "Projections for 623220")</f>
        <v>Projections for 623220</v>
      </c>
    </row>
    <row r="366" spans="1:5" x14ac:dyDescent="0.35">
      <c r="A366" s="3" t="s">
        <v>3126</v>
      </c>
      <c r="B366" s="3" t="s">
        <v>3127</v>
      </c>
      <c r="C366" s="3" t="s">
        <v>65</v>
      </c>
      <c r="D366" s="3" t="s">
        <v>3127</v>
      </c>
      <c r="E366" s="7" t="str">
        <f>HYPERLINK("https://data.bls.gov/projections/nationalMatrix?queryParams=623300&amp;ioType=i", "Projections for 623300")</f>
        <v>Projections for 623300</v>
      </c>
    </row>
    <row r="367" spans="1:5" x14ac:dyDescent="0.35">
      <c r="A367" s="3" t="s">
        <v>3128</v>
      </c>
      <c r="B367" s="3" t="s">
        <v>3129</v>
      </c>
      <c r="C367" s="3" t="s">
        <v>65</v>
      </c>
      <c r="D367" s="3" t="s">
        <v>3129</v>
      </c>
      <c r="E367" s="7" t="str">
        <f>HYPERLINK("https://data.bls.gov/projections/nationalMatrix?queryParams=623900&amp;ioType=i", "Projections for 623900")</f>
        <v>Projections for 623900</v>
      </c>
    </row>
    <row r="368" spans="1:5" x14ac:dyDescent="0.35">
      <c r="A368" s="3" t="s">
        <v>3130</v>
      </c>
      <c r="B368" s="3" t="s">
        <v>3131</v>
      </c>
      <c r="C368" s="3" t="s">
        <v>60</v>
      </c>
      <c r="D368" s="3" t="s">
        <v>3131</v>
      </c>
      <c r="E368" s="7" t="str">
        <f>HYPERLINK("https://data.bls.gov/projections/nationalMatrix?queryParams=624000&amp;ioType=i", "Projections for 624000")</f>
        <v>Projections for 624000</v>
      </c>
    </row>
    <row r="369" spans="1:5" x14ac:dyDescent="0.35">
      <c r="A369" s="3" t="s">
        <v>3132</v>
      </c>
      <c r="B369" s="3" t="s">
        <v>3133</v>
      </c>
      <c r="C369" s="3" t="s">
        <v>60</v>
      </c>
      <c r="D369" s="3" t="s">
        <v>3133</v>
      </c>
      <c r="E369" s="7" t="str">
        <f>HYPERLINK("https://data.bls.gov/projections/nationalMatrix?queryParams=624100&amp;ioType=i", "Projections for 624100")</f>
        <v>Projections for 624100</v>
      </c>
    </row>
    <row r="370" spans="1:5" x14ac:dyDescent="0.35">
      <c r="A370" s="3" t="s">
        <v>3134</v>
      </c>
      <c r="B370" s="3" t="s">
        <v>3135</v>
      </c>
      <c r="C370" s="3" t="s">
        <v>65</v>
      </c>
      <c r="D370" s="3" t="s">
        <v>3135</v>
      </c>
      <c r="E370" s="7" t="str">
        <f>HYPERLINK("https://data.bls.gov/projections/nationalMatrix?queryParams=624120&amp;ioType=i", "Projections for 624120")</f>
        <v>Projections for 624120</v>
      </c>
    </row>
    <row r="371" spans="1:5" x14ac:dyDescent="0.35">
      <c r="A371" s="3" t="s">
        <v>3136</v>
      </c>
      <c r="B371" s="3" t="s">
        <v>3137</v>
      </c>
      <c r="C371" s="3" t="s">
        <v>60</v>
      </c>
      <c r="D371" s="3" t="s">
        <v>3138</v>
      </c>
      <c r="E371" s="7" t="str">
        <f>HYPERLINK("https://data.bls.gov/projections/nationalMatrix?queryParams=6242-3&amp;ioType=i", "Projections for 6242-3")</f>
        <v>Projections for 6242-3</v>
      </c>
    </row>
    <row r="372" spans="1:5" x14ac:dyDescent="0.35">
      <c r="A372" s="3" t="s">
        <v>3139</v>
      </c>
      <c r="B372" s="3" t="s">
        <v>3140</v>
      </c>
      <c r="C372" s="3" t="s">
        <v>65</v>
      </c>
      <c r="D372" s="3" t="s">
        <v>3140</v>
      </c>
      <c r="E372" s="7" t="str">
        <f>HYPERLINK("https://data.bls.gov/projections/nationalMatrix?queryParams=624200&amp;ioType=i", "Projections for 624200")</f>
        <v>Projections for 624200</v>
      </c>
    </row>
    <row r="373" spans="1:5" x14ac:dyDescent="0.35">
      <c r="A373" s="3" t="s">
        <v>3141</v>
      </c>
      <c r="B373" s="3" t="s">
        <v>3142</v>
      </c>
      <c r="C373" s="3" t="s">
        <v>65</v>
      </c>
      <c r="D373" s="3" t="s">
        <v>3142</v>
      </c>
      <c r="E373" s="7" t="str">
        <f>HYPERLINK("https://data.bls.gov/projections/nationalMatrix?queryParams=624300&amp;ioType=i", "Projections for 624300")</f>
        <v>Projections for 624300</v>
      </c>
    </row>
    <row r="374" spans="1:5" x14ac:dyDescent="0.35">
      <c r="A374" s="3" t="s">
        <v>3143</v>
      </c>
      <c r="B374" s="3" t="s">
        <v>3144</v>
      </c>
      <c r="C374" s="3" t="s">
        <v>65</v>
      </c>
      <c r="D374" s="3" t="s">
        <v>3144</v>
      </c>
      <c r="E374" s="7" t="str">
        <f>HYPERLINK("https://data.bls.gov/projections/nationalMatrix?queryParams=624400&amp;ioType=i", "Projections for 624400")</f>
        <v>Projections for 624400</v>
      </c>
    </row>
    <row r="375" spans="1:5" x14ac:dyDescent="0.35">
      <c r="A375" s="3" t="s">
        <v>3145</v>
      </c>
      <c r="B375" s="3" t="s">
        <v>3146</v>
      </c>
      <c r="C375" s="3" t="s">
        <v>60</v>
      </c>
      <c r="D375" s="3" t="s">
        <v>3146</v>
      </c>
      <c r="E375" s="7" t="str">
        <f>HYPERLINK("https://data.bls.gov/projections/nationalMatrix?queryParams=710000&amp;ioType=i", "Projections for 710000")</f>
        <v>Projections for 710000</v>
      </c>
    </row>
    <row r="376" spans="1:5" x14ac:dyDescent="0.35">
      <c r="A376" s="3" t="s">
        <v>3147</v>
      </c>
      <c r="B376" s="3" t="s">
        <v>3148</v>
      </c>
      <c r="C376" s="3" t="s">
        <v>60</v>
      </c>
      <c r="D376" s="3" t="s">
        <v>3148</v>
      </c>
      <c r="E376" s="7" t="str">
        <f>HYPERLINK("https://data.bls.gov/projections/nationalMatrix?queryParams=711000&amp;ioType=i", "Projections for 711000")</f>
        <v>Projections for 711000</v>
      </c>
    </row>
    <row r="377" spans="1:5" x14ac:dyDescent="0.35">
      <c r="A377" s="3" t="s">
        <v>3149</v>
      </c>
      <c r="B377" s="3" t="s">
        <v>3150</v>
      </c>
      <c r="C377" s="3" t="s">
        <v>60</v>
      </c>
      <c r="D377" s="3" t="s">
        <v>3150</v>
      </c>
      <c r="E377" s="7" t="str">
        <f>HYPERLINK("https://data.bls.gov/projections/nationalMatrix?queryParams=711100&amp;ioType=i", "Projections for 711100")</f>
        <v>Projections for 711100</v>
      </c>
    </row>
    <row r="378" spans="1:5" x14ac:dyDescent="0.35">
      <c r="A378" s="3" t="s">
        <v>3151</v>
      </c>
      <c r="B378" s="3" t="s">
        <v>3152</v>
      </c>
      <c r="C378" s="3" t="s">
        <v>65</v>
      </c>
      <c r="D378" s="3" t="s">
        <v>3152</v>
      </c>
      <c r="E378" s="7" t="str">
        <f>HYPERLINK("https://data.bls.gov/projections/nationalMatrix?queryParams=711110&amp;ioType=i", "Projections for 711110")</f>
        <v>Projections for 711110</v>
      </c>
    </row>
    <row r="379" spans="1:5" x14ac:dyDescent="0.35">
      <c r="A379" s="3" t="s">
        <v>3153</v>
      </c>
      <c r="B379" s="3" t="s">
        <v>3154</v>
      </c>
      <c r="C379" s="3" t="s">
        <v>65</v>
      </c>
      <c r="D379" s="3" t="s">
        <v>3154</v>
      </c>
      <c r="E379" s="7" t="str">
        <f>HYPERLINK("https://data.bls.gov/projections/nationalMatrix?queryParams=711200&amp;ioType=i", "Projections for 711200")</f>
        <v>Projections for 711200</v>
      </c>
    </row>
    <row r="380" spans="1:5" x14ac:dyDescent="0.35">
      <c r="A380" s="3" t="s">
        <v>3155</v>
      </c>
      <c r="B380" s="3" t="s">
        <v>3156</v>
      </c>
      <c r="C380" s="3" t="s">
        <v>60</v>
      </c>
      <c r="D380" s="3" t="s">
        <v>3157</v>
      </c>
      <c r="E380" s="7" t="str">
        <f>HYPERLINK("https://data.bls.gov/projections/nationalMatrix?queryParams=7113-4&amp;ioType=i", "Projections for 7113-4")</f>
        <v>Projections for 7113-4</v>
      </c>
    </row>
    <row r="381" spans="1:5" x14ac:dyDescent="0.35">
      <c r="A381" s="3" t="s">
        <v>3158</v>
      </c>
      <c r="B381" s="3" t="s">
        <v>3159</v>
      </c>
      <c r="C381" s="3" t="s">
        <v>65</v>
      </c>
      <c r="D381" s="3" t="s">
        <v>3159</v>
      </c>
      <c r="E381" s="7" t="str">
        <f>HYPERLINK("https://data.bls.gov/projections/nationalMatrix?queryParams=711300&amp;ioType=i", "Projections for 711300")</f>
        <v>Projections for 711300</v>
      </c>
    </row>
    <row r="382" spans="1:5" x14ac:dyDescent="0.35">
      <c r="A382" s="3" t="s">
        <v>3160</v>
      </c>
      <c r="B382" s="3" t="s">
        <v>3161</v>
      </c>
      <c r="C382" s="3" t="s">
        <v>65</v>
      </c>
      <c r="D382" s="3" t="s">
        <v>3161</v>
      </c>
      <c r="E382" s="7" t="str">
        <f>HYPERLINK("https://data.bls.gov/projections/nationalMatrix?queryParams=711400&amp;ioType=i", "Projections for 711400")</f>
        <v>Projections for 711400</v>
      </c>
    </row>
    <row r="383" spans="1:5" x14ac:dyDescent="0.35">
      <c r="A383" s="3" t="s">
        <v>3162</v>
      </c>
      <c r="B383" s="3" t="s">
        <v>3163</v>
      </c>
      <c r="C383" s="3" t="s">
        <v>65</v>
      </c>
      <c r="D383" s="3" t="s">
        <v>3163</v>
      </c>
      <c r="E383" s="7" t="str">
        <f>HYPERLINK("https://data.bls.gov/projections/nationalMatrix?queryParams=711500&amp;ioType=i", "Projections for 711500")</f>
        <v>Projections for 711500</v>
      </c>
    </row>
    <row r="384" spans="1:5" x14ac:dyDescent="0.35">
      <c r="A384" s="3" t="s">
        <v>3164</v>
      </c>
      <c r="B384" s="3" t="s">
        <v>3165</v>
      </c>
      <c r="C384" s="3" t="s">
        <v>65</v>
      </c>
      <c r="D384" s="3" t="s">
        <v>3165</v>
      </c>
      <c r="E384" s="7" t="str">
        <f>HYPERLINK("https://data.bls.gov/projections/nationalMatrix?queryParams=712000&amp;ioType=i", "Projections for 712000")</f>
        <v>Projections for 712000</v>
      </c>
    </row>
    <row r="385" spans="1:5" x14ac:dyDescent="0.35">
      <c r="A385" s="3" t="s">
        <v>3166</v>
      </c>
      <c r="B385" s="3" t="s">
        <v>3167</v>
      </c>
      <c r="C385" s="3" t="s">
        <v>60</v>
      </c>
      <c r="D385" s="3" t="s">
        <v>3167</v>
      </c>
      <c r="E385" s="7" t="str">
        <f>HYPERLINK("https://data.bls.gov/projections/nationalMatrix?queryParams=713000&amp;ioType=i", "Projections for 713000")</f>
        <v>Projections for 713000</v>
      </c>
    </row>
    <row r="386" spans="1:5" x14ac:dyDescent="0.35">
      <c r="A386" s="3" t="s">
        <v>3168</v>
      </c>
      <c r="B386" s="3" t="s">
        <v>3169</v>
      </c>
      <c r="C386" s="3" t="s">
        <v>65</v>
      </c>
      <c r="D386" s="3" t="s">
        <v>3169</v>
      </c>
      <c r="E386" s="7" t="str">
        <f>HYPERLINK("https://data.bls.gov/projections/nationalMatrix?queryParams=713100&amp;ioType=i", "Projections for 713100")</f>
        <v>Projections for 713100</v>
      </c>
    </row>
    <row r="387" spans="1:5" x14ac:dyDescent="0.35">
      <c r="A387" s="3" t="s">
        <v>3170</v>
      </c>
      <c r="B387" s="3" t="s">
        <v>3171</v>
      </c>
      <c r="C387" s="3" t="s">
        <v>65</v>
      </c>
      <c r="D387" s="3" t="s">
        <v>3171</v>
      </c>
      <c r="E387" s="7" t="str">
        <f>HYPERLINK("https://data.bls.gov/projections/nationalMatrix?queryParams=713200&amp;ioType=i", "Projections for 713200")</f>
        <v>Projections for 713200</v>
      </c>
    </row>
    <row r="388" spans="1:5" x14ac:dyDescent="0.35">
      <c r="A388" s="3" t="s">
        <v>3172</v>
      </c>
      <c r="B388" s="3" t="s">
        <v>3173</v>
      </c>
      <c r="C388" s="3" t="s">
        <v>60</v>
      </c>
      <c r="D388" s="3" t="s">
        <v>3173</v>
      </c>
      <c r="E388" s="7" t="str">
        <f>HYPERLINK("https://data.bls.gov/projections/nationalMatrix?queryParams=713900&amp;ioType=i", "Projections for 713900")</f>
        <v>Projections for 713900</v>
      </c>
    </row>
    <row r="389" spans="1:5" x14ac:dyDescent="0.35">
      <c r="A389" s="3" t="s">
        <v>3174</v>
      </c>
      <c r="B389" s="3" t="s">
        <v>3175</v>
      </c>
      <c r="C389" s="3" t="s">
        <v>65</v>
      </c>
      <c r="D389" s="3" t="s">
        <v>3175</v>
      </c>
      <c r="E389" s="7" t="str">
        <f>HYPERLINK("https://data.bls.gov/projections/nationalMatrix?queryParams=713940&amp;ioType=i", "Projections for 713940")</f>
        <v>Projections for 713940</v>
      </c>
    </row>
    <row r="390" spans="1:5" x14ac:dyDescent="0.35">
      <c r="A390" s="3" t="s">
        <v>3176</v>
      </c>
      <c r="B390" s="3" t="s">
        <v>3177</v>
      </c>
      <c r="C390" s="3" t="s">
        <v>60</v>
      </c>
      <c r="D390" s="3" t="s">
        <v>3177</v>
      </c>
      <c r="E390" s="7" t="str">
        <f>HYPERLINK("https://data.bls.gov/projections/nationalMatrix?queryParams=720000&amp;ioType=i", "Projections for 720000")</f>
        <v>Projections for 720000</v>
      </c>
    </row>
    <row r="391" spans="1:5" x14ac:dyDescent="0.35">
      <c r="A391" s="3" t="s">
        <v>3178</v>
      </c>
      <c r="B391" s="3" t="s">
        <v>3179</v>
      </c>
      <c r="C391" s="3" t="s">
        <v>60</v>
      </c>
      <c r="D391" s="3" t="s">
        <v>3179</v>
      </c>
      <c r="E391" s="7" t="str">
        <f>HYPERLINK("https://data.bls.gov/projections/nationalMatrix?queryParams=721000&amp;ioType=i", "Projections for 721000")</f>
        <v>Projections for 721000</v>
      </c>
    </row>
    <row r="392" spans="1:5" x14ac:dyDescent="0.35">
      <c r="A392" s="3" t="s">
        <v>3180</v>
      </c>
      <c r="B392" s="3" t="s">
        <v>3181</v>
      </c>
      <c r="C392" s="3" t="s">
        <v>60</v>
      </c>
      <c r="D392" s="3" t="s">
        <v>3181</v>
      </c>
      <c r="E392" s="7" t="str">
        <f>HYPERLINK("https://data.bls.gov/projections/nationalMatrix?queryParams=721100&amp;ioType=i", "Projections for 721100")</f>
        <v>Projections for 721100</v>
      </c>
    </row>
    <row r="393" spans="1:5" x14ac:dyDescent="0.35">
      <c r="A393" s="3" t="s">
        <v>3182</v>
      </c>
      <c r="B393" s="3" t="s">
        <v>3183</v>
      </c>
      <c r="C393" s="3" t="s">
        <v>65</v>
      </c>
      <c r="D393" s="3" t="s">
        <v>3183</v>
      </c>
      <c r="E393" s="7" t="str">
        <f>HYPERLINK("https://data.bls.gov/projections/nationalMatrix?queryParams=721120&amp;ioType=i", "Projections for 721120")</f>
        <v>Projections for 721120</v>
      </c>
    </row>
    <row r="394" spans="1:5" x14ac:dyDescent="0.35">
      <c r="A394" s="3" t="s">
        <v>3184</v>
      </c>
      <c r="B394" s="3" t="s">
        <v>3185</v>
      </c>
      <c r="C394" s="3" t="s">
        <v>65</v>
      </c>
      <c r="D394" s="3" t="s">
        <v>3185</v>
      </c>
      <c r="E394" s="7" t="str">
        <f>HYPERLINK("https://data.bls.gov/projections/nationalMatrix?queryParams=721200&amp;ioType=i", "Projections for 721200")</f>
        <v>Projections for 721200</v>
      </c>
    </row>
    <row r="395" spans="1:5" x14ac:dyDescent="0.35">
      <c r="A395" s="3" t="s">
        <v>3186</v>
      </c>
      <c r="B395" s="3" t="s">
        <v>3187</v>
      </c>
      <c r="C395" s="3" t="s">
        <v>65</v>
      </c>
      <c r="D395" s="3" t="s">
        <v>3187</v>
      </c>
      <c r="E395" s="7" t="str">
        <f>HYPERLINK("https://data.bls.gov/projections/nationalMatrix?queryParams=721300&amp;ioType=i", "Projections for 721300")</f>
        <v>Projections for 721300</v>
      </c>
    </row>
    <row r="396" spans="1:5" x14ac:dyDescent="0.35">
      <c r="A396" s="3" t="s">
        <v>3188</v>
      </c>
      <c r="B396" s="3" t="s">
        <v>3189</v>
      </c>
      <c r="C396" s="3" t="s">
        <v>60</v>
      </c>
      <c r="D396" s="3" t="s">
        <v>3189</v>
      </c>
      <c r="E396" s="7" t="str">
        <f>HYPERLINK("https://data.bls.gov/projections/nationalMatrix?queryParams=722000&amp;ioType=i", "Projections for 722000")</f>
        <v>Projections for 722000</v>
      </c>
    </row>
    <row r="397" spans="1:5" x14ac:dyDescent="0.35">
      <c r="A397" s="3" t="s">
        <v>3190</v>
      </c>
      <c r="B397" s="3" t="s">
        <v>3191</v>
      </c>
      <c r="C397" s="3" t="s">
        <v>65</v>
      </c>
      <c r="D397" s="3" t="s">
        <v>3191</v>
      </c>
      <c r="E397" s="7" t="str">
        <f>HYPERLINK("https://data.bls.gov/projections/nationalMatrix?queryParams=722300&amp;ioType=i", "Projections for 722300")</f>
        <v>Projections for 722300</v>
      </c>
    </row>
    <row r="398" spans="1:5" x14ac:dyDescent="0.35">
      <c r="A398" s="3" t="s">
        <v>3192</v>
      </c>
      <c r="B398" s="3" t="s">
        <v>3193</v>
      </c>
      <c r="C398" s="3" t="s">
        <v>65</v>
      </c>
      <c r="D398" s="3" t="s">
        <v>3193</v>
      </c>
      <c r="E398" s="7" t="str">
        <f>HYPERLINK("https://data.bls.gov/projections/nationalMatrix?queryParams=722400&amp;ioType=i", "Projections for 722400")</f>
        <v>Projections for 722400</v>
      </c>
    </row>
    <row r="399" spans="1:5" x14ac:dyDescent="0.35">
      <c r="A399" s="3" t="s">
        <v>3194</v>
      </c>
      <c r="B399" s="3" t="s">
        <v>3195</v>
      </c>
      <c r="C399" s="3" t="s">
        <v>60</v>
      </c>
      <c r="D399" s="3" t="s">
        <v>3195</v>
      </c>
      <c r="E399" s="7" t="str">
        <f>HYPERLINK("https://data.bls.gov/projections/nationalMatrix?queryParams=722500&amp;ioType=i", "Projections for 722500")</f>
        <v>Projections for 722500</v>
      </c>
    </row>
    <row r="400" spans="1:5" x14ac:dyDescent="0.35">
      <c r="A400" s="3" t="s">
        <v>3196</v>
      </c>
      <c r="B400" s="3" t="s">
        <v>3197</v>
      </c>
      <c r="C400" s="3" t="s">
        <v>65</v>
      </c>
      <c r="D400" s="3" t="s">
        <v>3197</v>
      </c>
      <c r="E400" s="7" t="str">
        <f>HYPERLINK("https://data.bls.gov/projections/nationalMatrix?queryParams=722511&amp;ioType=i", "Projections for 722511")</f>
        <v>Projections for 722511</v>
      </c>
    </row>
    <row r="401" spans="1:5" x14ac:dyDescent="0.35">
      <c r="A401" s="3" t="s">
        <v>3198</v>
      </c>
      <c r="B401" s="3" t="s">
        <v>3199</v>
      </c>
      <c r="C401" s="3" t="s">
        <v>60</v>
      </c>
      <c r="D401" s="3" t="s">
        <v>3199</v>
      </c>
      <c r="E401" s="7" t="str">
        <f>HYPERLINK("https://data.bls.gov/projections/nationalMatrix?queryParams=810000&amp;ioType=i", "Projections for 810000")</f>
        <v>Projections for 810000</v>
      </c>
    </row>
    <row r="402" spans="1:5" x14ac:dyDescent="0.35">
      <c r="A402" s="3" t="s">
        <v>3200</v>
      </c>
      <c r="B402" s="3" t="s">
        <v>3201</v>
      </c>
      <c r="C402" s="3" t="s">
        <v>60</v>
      </c>
      <c r="D402" s="3" t="s">
        <v>3201</v>
      </c>
      <c r="E402" s="7" t="str">
        <f>HYPERLINK("https://data.bls.gov/projections/nationalMatrix?queryParams=811000&amp;ioType=i", "Projections for 811000")</f>
        <v>Projections for 811000</v>
      </c>
    </row>
    <row r="403" spans="1:5" x14ac:dyDescent="0.35">
      <c r="A403" s="3" t="s">
        <v>3202</v>
      </c>
      <c r="B403" s="3" t="s">
        <v>3203</v>
      </c>
      <c r="C403" s="3" t="s">
        <v>60</v>
      </c>
      <c r="D403" s="3" t="s">
        <v>3203</v>
      </c>
      <c r="E403" s="7" t="str">
        <f>HYPERLINK("https://data.bls.gov/projections/nationalMatrix?queryParams=811100&amp;ioType=i", "Projections for 811100")</f>
        <v>Projections for 811100</v>
      </c>
    </row>
    <row r="404" spans="1:5" x14ac:dyDescent="0.35">
      <c r="A404" s="3" t="s">
        <v>3204</v>
      </c>
      <c r="B404" s="3" t="s">
        <v>3205</v>
      </c>
      <c r="C404" s="3" t="s">
        <v>65</v>
      </c>
      <c r="D404" s="3" t="s">
        <v>3205</v>
      </c>
      <c r="E404" s="7" t="str">
        <f>HYPERLINK("https://data.bls.gov/projections/nationalMatrix?queryParams=811110&amp;ioType=i", "Projections for 811110")</f>
        <v>Projections for 811110</v>
      </c>
    </row>
    <row r="405" spans="1:5" x14ac:dyDescent="0.35">
      <c r="A405" s="3" t="s">
        <v>3206</v>
      </c>
      <c r="B405" s="3" t="s">
        <v>3207</v>
      </c>
      <c r="C405" s="3" t="s">
        <v>65</v>
      </c>
      <c r="D405" s="3" t="s">
        <v>3207</v>
      </c>
      <c r="E405" s="7" t="str">
        <f>HYPERLINK("https://data.bls.gov/projections/nationalMatrix?queryParams=811120&amp;ioType=i", "Projections for 811120")</f>
        <v>Projections for 811120</v>
      </c>
    </row>
    <row r="406" spans="1:5" x14ac:dyDescent="0.35">
      <c r="A406" s="3" t="s">
        <v>3208</v>
      </c>
      <c r="B406" s="3" t="s">
        <v>3209</v>
      </c>
      <c r="C406" s="3" t="s">
        <v>65</v>
      </c>
      <c r="D406" s="3" t="s">
        <v>3209</v>
      </c>
      <c r="E406" s="7" t="str">
        <f>HYPERLINK("https://data.bls.gov/projections/nationalMatrix?queryParams=811190&amp;ioType=i", "Projections for 811190")</f>
        <v>Projections for 811190</v>
      </c>
    </row>
    <row r="407" spans="1:5" x14ac:dyDescent="0.35">
      <c r="A407" s="3" t="s">
        <v>3210</v>
      </c>
      <c r="B407" s="3" t="s">
        <v>3211</v>
      </c>
      <c r="C407" s="3" t="s">
        <v>65</v>
      </c>
      <c r="D407" s="3" t="s">
        <v>3211</v>
      </c>
      <c r="E407" s="7" t="str">
        <f>HYPERLINK("https://data.bls.gov/projections/nationalMatrix?queryParams=811200&amp;ioType=i", "Projections for 811200")</f>
        <v>Projections for 811200</v>
      </c>
    </row>
    <row r="408" spans="1:5" x14ac:dyDescent="0.35">
      <c r="A408" s="3" t="s">
        <v>3212</v>
      </c>
      <c r="B408" s="3" t="s">
        <v>3213</v>
      </c>
      <c r="C408" s="3" t="s">
        <v>65</v>
      </c>
      <c r="D408" s="3" t="s">
        <v>3213</v>
      </c>
      <c r="E408" s="7" t="str">
        <f>HYPERLINK("https://data.bls.gov/projections/nationalMatrix?queryParams=811300&amp;ioType=i", "Projections for 811300")</f>
        <v>Projections for 811300</v>
      </c>
    </row>
    <row r="409" spans="1:5" x14ac:dyDescent="0.35">
      <c r="A409" s="3" t="s">
        <v>3214</v>
      </c>
      <c r="B409" s="3" t="s">
        <v>3215</v>
      </c>
      <c r="C409" s="3" t="s">
        <v>65</v>
      </c>
      <c r="D409" s="3" t="s">
        <v>3215</v>
      </c>
      <c r="E409" s="7" t="str">
        <f>HYPERLINK("https://data.bls.gov/projections/nationalMatrix?queryParams=811400&amp;ioType=i", "Projections for 811400")</f>
        <v>Projections for 811400</v>
      </c>
    </row>
    <row r="410" spans="1:5" x14ac:dyDescent="0.35">
      <c r="A410" s="3" t="s">
        <v>3216</v>
      </c>
      <c r="B410" s="3" t="s">
        <v>3217</v>
      </c>
      <c r="C410" s="3" t="s">
        <v>60</v>
      </c>
      <c r="D410" s="3" t="s">
        <v>3217</v>
      </c>
      <c r="E410" s="7" t="str">
        <f>HYPERLINK("https://data.bls.gov/projections/nationalMatrix?queryParams=812000&amp;ioType=i", "Projections for 812000")</f>
        <v>Projections for 812000</v>
      </c>
    </row>
    <row r="411" spans="1:5" x14ac:dyDescent="0.35">
      <c r="A411" s="3" t="s">
        <v>3218</v>
      </c>
      <c r="B411" s="3" t="s">
        <v>3219</v>
      </c>
      <c r="C411" s="3" t="s">
        <v>65</v>
      </c>
      <c r="D411" s="3" t="s">
        <v>3219</v>
      </c>
      <c r="E411" s="7" t="str">
        <f>HYPERLINK("https://data.bls.gov/projections/nationalMatrix?queryParams=812100&amp;ioType=i", "Projections for 812100")</f>
        <v>Projections for 812100</v>
      </c>
    </row>
    <row r="412" spans="1:5" x14ac:dyDescent="0.35">
      <c r="A412" s="3" t="s">
        <v>3220</v>
      </c>
      <c r="B412" s="3" t="s">
        <v>3221</v>
      </c>
      <c r="C412" s="3" t="s">
        <v>65</v>
      </c>
      <c r="D412" s="3" t="s">
        <v>3221</v>
      </c>
      <c r="E412" s="7" t="str">
        <f>HYPERLINK("https://data.bls.gov/projections/nationalMatrix?queryParams=812200&amp;ioType=i", "Projections for 812200")</f>
        <v>Projections for 812200</v>
      </c>
    </row>
    <row r="413" spans="1:5" x14ac:dyDescent="0.35">
      <c r="A413" s="3" t="s">
        <v>3222</v>
      </c>
      <c r="B413" s="3" t="s">
        <v>3223</v>
      </c>
      <c r="C413" s="3" t="s">
        <v>65</v>
      </c>
      <c r="D413" s="3" t="s">
        <v>3223</v>
      </c>
      <c r="E413" s="7" t="str">
        <f>HYPERLINK("https://data.bls.gov/projections/nationalMatrix?queryParams=812300&amp;ioType=i", "Projections for 812300")</f>
        <v>Projections for 812300</v>
      </c>
    </row>
    <row r="414" spans="1:5" x14ac:dyDescent="0.35">
      <c r="A414" s="3" t="s">
        <v>3224</v>
      </c>
      <c r="B414" s="3" t="s">
        <v>3225</v>
      </c>
      <c r="C414" s="3" t="s">
        <v>65</v>
      </c>
      <c r="D414" s="3" t="s">
        <v>3225</v>
      </c>
      <c r="E414" s="7" t="str">
        <f>HYPERLINK("https://data.bls.gov/projections/nationalMatrix?queryParams=812900&amp;ioType=i", "Projections for 812900")</f>
        <v>Projections for 812900</v>
      </c>
    </row>
    <row r="415" spans="1:5" x14ac:dyDescent="0.35">
      <c r="A415" s="3" t="s">
        <v>3226</v>
      </c>
      <c r="B415" s="3" t="s">
        <v>3227</v>
      </c>
      <c r="C415" s="3" t="s">
        <v>60</v>
      </c>
      <c r="D415" s="3" t="s">
        <v>3227</v>
      </c>
      <c r="E415" s="7" t="str">
        <f>HYPERLINK("https://data.bls.gov/projections/nationalMatrix?queryParams=813000&amp;ioType=i", "Projections for 813000")</f>
        <v>Projections for 813000</v>
      </c>
    </row>
    <row r="416" spans="1:5" x14ac:dyDescent="0.35">
      <c r="A416" s="3" t="s">
        <v>3228</v>
      </c>
      <c r="B416" s="3" t="s">
        <v>3229</v>
      </c>
      <c r="C416" s="3" t="s">
        <v>60</v>
      </c>
      <c r="D416" s="3" t="s">
        <v>3230</v>
      </c>
      <c r="E416" s="7" t="str">
        <f>HYPERLINK("https://data.bls.gov/projections/nationalMatrix?queryParams=8132-3&amp;ioType=i", "Projections for 8132-3")</f>
        <v>Projections for 8132-3</v>
      </c>
    </row>
    <row r="417" spans="1:5" x14ac:dyDescent="0.35">
      <c r="A417" s="3" t="s">
        <v>3231</v>
      </c>
      <c r="B417" s="3" t="s">
        <v>3232</v>
      </c>
      <c r="C417" s="3" t="s">
        <v>65</v>
      </c>
      <c r="D417" s="3" t="s">
        <v>3232</v>
      </c>
      <c r="E417" s="7" t="str">
        <f>HYPERLINK("https://data.bls.gov/projections/nationalMatrix?queryParams=813200&amp;ioType=i", "Projections for 813200")</f>
        <v>Projections for 813200</v>
      </c>
    </row>
    <row r="418" spans="1:5" x14ac:dyDescent="0.35">
      <c r="A418" s="3" t="s">
        <v>3233</v>
      </c>
      <c r="B418" s="3" t="s">
        <v>3234</v>
      </c>
      <c r="C418" s="3" t="s">
        <v>65</v>
      </c>
      <c r="D418" s="3" t="s">
        <v>3234</v>
      </c>
      <c r="E418" s="7" t="str">
        <f>HYPERLINK("https://data.bls.gov/projections/nationalMatrix?queryParams=813300&amp;ioType=i", "Projections for 813300")</f>
        <v>Projections for 813300</v>
      </c>
    </row>
    <row r="419" spans="1:5" x14ac:dyDescent="0.35">
      <c r="A419" s="3" t="s">
        <v>3235</v>
      </c>
      <c r="B419" s="3" t="s">
        <v>3236</v>
      </c>
      <c r="C419" s="3" t="s">
        <v>60</v>
      </c>
      <c r="D419" s="3" t="s">
        <v>3237</v>
      </c>
      <c r="E419" s="7" t="str">
        <f>HYPERLINK("https://data.bls.gov/projections/nationalMatrix?queryParams=8134-9&amp;ioType=i", "Projections for 8134-9")</f>
        <v>Projections for 8134-9</v>
      </c>
    </row>
    <row r="420" spans="1:5" x14ac:dyDescent="0.35">
      <c r="A420" s="3" t="s">
        <v>3238</v>
      </c>
      <c r="B420" s="3" t="s">
        <v>3239</v>
      </c>
      <c r="C420" s="3" t="s">
        <v>65</v>
      </c>
      <c r="D420" s="3" t="s">
        <v>3239</v>
      </c>
      <c r="E420" s="7" t="str">
        <f>HYPERLINK("https://data.bls.gov/projections/nationalMatrix?queryParams=813400&amp;ioType=i", "Projections for 813400")</f>
        <v>Projections for 813400</v>
      </c>
    </row>
    <row r="421" spans="1:5" x14ac:dyDescent="0.35">
      <c r="A421" s="3" t="s">
        <v>3240</v>
      </c>
      <c r="B421" s="3" t="s">
        <v>3241</v>
      </c>
      <c r="C421" s="3" t="s">
        <v>60</v>
      </c>
      <c r="D421" s="3" t="s">
        <v>3241</v>
      </c>
      <c r="E421" s="7" t="str">
        <f>HYPERLINK("https://data.bls.gov/projections/nationalMatrix?queryParams=813900&amp;ioType=i", "Projections for 813900")</f>
        <v>Projections for 813900</v>
      </c>
    </row>
    <row r="422" spans="1:5" x14ac:dyDescent="0.35">
      <c r="A422" s="3" t="s">
        <v>3242</v>
      </c>
      <c r="B422" s="3" t="s">
        <v>3243</v>
      </c>
      <c r="C422" s="3" t="s">
        <v>65</v>
      </c>
      <c r="D422" s="3" t="s">
        <v>3243</v>
      </c>
      <c r="E422" s="7" t="str">
        <f>HYPERLINK("https://data.bls.gov/projections/nationalMatrix?queryParams=813930&amp;ioType=i", "Projections for 813930")</f>
        <v>Projections for 813930</v>
      </c>
    </row>
    <row r="423" spans="1:5" x14ac:dyDescent="0.35">
      <c r="A423" s="3" t="s">
        <v>3244</v>
      </c>
      <c r="B423" s="3" t="s">
        <v>3245</v>
      </c>
      <c r="C423" s="3" t="s">
        <v>65</v>
      </c>
      <c r="D423" s="3" t="s">
        <v>3245</v>
      </c>
      <c r="E423" s="7" t="str">
        <f>HYPERLINK("https://data.bls.gov/projections/nationalMatrix?queryParams=814000&amp;ioType=i", "Projections for 814000")</f>
        <v>Projections for 814000</v>
      </c>
    </row>
    <row r="424" spans="1:5" x14ac:dyDescent="0.35">
      <c r="A424" s="3" t="s">
        <v>3246</v>
      </c>
      <c r="B424" s="3" t="s">
        <v>3247</v>
      </c>
      <c r="C424" s="3" t="s">
        <v>60</v>
      </c>
      <c r="D424" s="3" t="s">
        <v>2352</v>
      </c>
      <c r="E424" s="7" t="str">
        <f>HYPERLINK("https://data.bls.gov/projections/nationalMatrix?queryParams=900000&amp;ioType=i", "Projections for 900000")</f>
        <v>Projections for 900000</v>
      </c>
    </row>
    <row r="425" spans="1:5" x14ac:dyDescent="0.35">
      <c r="A425" s="3" t="s">
        <v>3248</v>
      </c>
      <c r="B425" s="3" t="s">
        <v>3249</v>
      </c>
      <c r="C425" s="3" t="s">
        <v>60</v>
      </c>
      <c r="D425" s="3" t="s">
        <v>2352</v>
      </c>
      <c r="E425" s="7" t="str">
        <f>HYPERLINK("https://data.bls.gov/projections/nationalMatrix?queryParams=910000&amp;ioType=i", "Projections for 910000")</f>
        <v>Projections for 910000</v>
      </c>
    </row>
    <row r="426" spans="1:5" x14ac:dyDescent="0.35">
      <c r="A426" s="3" t="s">
        <v>3250</v>
      </c>
      <c r="B426" s="3" t="s">
        <v>3251</v>
      </c>
      <c r="C426" s="3" t="s">
        <v>65</v>
      </c>
      <c r="D426" s="3" t="s">
        <v>3251</v>
      </c>
      <c r="E426" s="7" t="str">
        <f>HYPERLINK("https://data.bls.gov/projections/nationalMatrix?queryParams=491000&amp;ioType=i", "Projections for 491000")</f>
        <v>Projections for 491000</v>
      </c>
    </row>
    <row r="427" spans="1:5" x14ac:dyDescent="0.35">
      <c r="A427" s="3" t="s">
        <v>3252</v>
      </c>
      <c r="B427" s="3" t="s">
        <v>3253</v>
      </c>
      <c r="C427" s="3" t="s">
        <v>65</v>
      </c>
      <c r="D427" s="3" t="s">
        <v>2352</v>
      </c>
      <c r="E427" s="7" t="str">
        <f>HYPERLINK("https://data.bls.gov/projections/nationalMatrix?queryParams=999100&amp;ioType=i", "Projections for 999100")</f>
        <v>Projections for 999100</v>
      </c>
    </row>
    <row r="428" spans="1:5" x14ac:dyDescent="0.35">
      <c r="A428" s="3" t="s">
        <v>3254</v>
      </c>
      <c r="B428" s="3" t="s">
        <v>3255</v>
      </c>
      <c r="C428" s="3" t="s">
        <v>65</v>
      </c>
      <c r="D428" s="3" t="s">
        <v>2352</v>
      </c>
      <c r="E428" s="7" t="str">
        <f>HYPERLINK("https://data.bls.gov/projections/nationalMatrix?queryParams=999200&amp;ioType=i", "Projections for 999200")</f>
        <v>Projections for 999200</v>
      </c>
    </row>
    <row r="429" spans="1:5" x14ac:dyDescent="0.35">
      <c r="A429" s="3" t="s">
        <v>3256</v>
      </c>
      <c r="B429" s="3" t="s">
        <v>3257</v>
      </c>
      <c r="C429" s="3" t="s">
        <v>65</v>
      </c>
      <c r="D429" s="3" t="s">
        <v>2352</v>
      </c>
      <c r="E429" s="7" t="str">
        <f>HYPERLINK("https://data.bls.gov/projections/nationalMatrix?queryParams=999300&amp;ioType=i", "Projections for 999300")</f>
        <v>Projections for 999300</v>
      </c>
    </row>
    <row r="430" spans="1:5" x14ac:dyDescent="0.35">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defaultRowHeight="14.5" x14ac:dyDescent="0.3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35">
      <c r="A1" s="16" t="s">
        <v>4923</v>
      </c>
    </row>
    <row r="2" spans="1:14" ht="65.5" x14ac:dyDescent="0.35">
      <c r="A2" s="2" t="s">
        <v>0</v>
      </c>
      <c r="B2" s="2" t="s">
        <v>1</v>
      </c>
      <c r="C2" s="2" t="s">
        <v>56</v>
      </c>
      <c r="D2" s="2" t="s">
        <v>2</v>
      </c>
      <c r="E2" s="2" t="s">
        <v>3</v>
      </c>
      <c r="F2" s="2" t="s">
        <v>4</v>
      </c>
      <c r="G2" s="2" t="s">
        <v>5</v>
      </c>
      <c r="H2" s="2" t="s">
        <v>3258</v>
      </c>
      <c r="I2" s="2" t="s">
        <v>3259</v>
      </c>
      <c r="J2" s="2" t="s">
        <v>3260</v>
      </c>
      <c r="K2" s="2" t="s">
        <v>3261</v>
      </c>
      <c r="L2" s="2" t="s">
        <v>3262</v>
      </c>
      <c r="M2" s="2" t="s">
        <v>4926</v>
      </c>
      <c r="N2" s="2" t="s">
        <v>59</v>
      </c>
    </row>
    <row r="3" spans="1:14" x14ac:dyDescent="0.35">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35">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35">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35">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35">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35">
      <c r="A8" s="3" t="s">
        <v>68</v>
      </c>
      <c r="B8" s="3" t="s">
        <v>69</v>
      </c>
      <c r="C8" s="3" t="s">
        <v>65</v>
      </c>
      <c r="D8" s="4">
        <v>44.4</v>
      </c>
      <c r="E8" s="4">
        <v>46</v>
      </c>
      <c r="F8" s="4">
        <v>1.5</v>
      </c>
      <c r="G8" s="4">
        <v>3.4</v>
      </c>
      <c r="H8" s="4">
        <v>3.1</v>
      </c>
      <c r="I8" s="4">
        <v>4.2</v>
      </c>
      <c r="J8" s="4">
        <v>7.2</v>
      </c>
      <c r="K8" s="4">
        <v>1.4</v>
      </c>
      <c r="L8" s="4">
        <v>1.9</v>
      </c>
      <c r="M8" s="4">
        <v>3.3</v>
      </c>
      <c r="N8" s="4">
        <v>3.4</v>
      </c>
    </row>
    <row r="9" spans="1:14" x14ac:dyDescent="0.35">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35">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35">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35">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35">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35">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35">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35">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35">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35">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35">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35">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35">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35">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35">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35">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35">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35">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35">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35">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35">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35">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35">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35">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35">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35">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35">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35">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35">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35">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35">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35">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35">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35">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35">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35">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35">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35">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35">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35">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35">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35">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35">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35">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35">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35">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35">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35">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35">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35">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35">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35">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35">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35">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35">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35">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35">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35">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35">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35">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35">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35">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35">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35">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35">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35">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35">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35">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35">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35">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35">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35">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35">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35">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35">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35">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35">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35">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35">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35">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35">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35">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35">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35">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35">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35">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35">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35">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35">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35">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35">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35">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35">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35">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35">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35">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35">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35">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35">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35">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35">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35">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35">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35">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35">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35">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35">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35">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35">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35">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35">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35">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35">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35">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35">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35">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35">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35">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35">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35">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35">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35">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35">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35">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35">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35">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35">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35">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35">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35">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35">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35">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35">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35">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35">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35">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35">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35">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35">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35">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35">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35">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35">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35">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35">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35">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35">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35">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35">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35">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35">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35">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35">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35">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35">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35">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35">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35">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35">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35">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35">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35">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35">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35">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35">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35">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35">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35">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35">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35">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35">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35">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35">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35">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35">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35">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35">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35">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35">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35">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35">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35">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35">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35">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35">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35">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35">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35">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35">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35">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35">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35">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35">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35">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35">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35">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35">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35">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35">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35">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35">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35">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35">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35">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35">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35">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35">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35">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35">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35">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35">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35">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35">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35">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35">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35">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35">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35">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35">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35">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35">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35">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35">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35">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35">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35">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35">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35">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35">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35">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35">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35">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35">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35">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35">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35">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35">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35">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35">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35">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35">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35">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35">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35">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35">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35">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35">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35">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35">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35">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35">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35">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35">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35">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35">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35">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35">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35">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35">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35">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35">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35">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35">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35">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35">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35">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35">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35">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35">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35">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35">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35">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35">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35">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35">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35">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35">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35">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35">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35">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35">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35">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35">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35">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35">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35">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35">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35">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35">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35">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35">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35">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35">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35">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35">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35">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35">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35">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35">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35">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35">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35">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35">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35">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35">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35">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35">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35">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35">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35">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35">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35">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35">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35">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35">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35">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35">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35">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35">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35">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35">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35">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35">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35">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35">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35">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35">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35">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35">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35">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35">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35">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35">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35">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35">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35">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35">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35">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35">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35">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35">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35">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35">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35">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35">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35">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35">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35">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35">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35">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35">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35">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35">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35">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35">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35">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35">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35">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35">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35">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35">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35">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35">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35">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35">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35">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35">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35">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35">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35">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35">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35">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35">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35">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35">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35">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35">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35">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35">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35">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35">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35">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35">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35">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35">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35">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35">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35">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35">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35">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35">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35">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35">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35">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35">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35">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35">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35">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35">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35">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35">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35">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35">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35">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35">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35">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35">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35">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35">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35">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35">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35">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35">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35">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35">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35">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35">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35">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35">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35">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35">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35">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35">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35">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35">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35">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35">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35">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35">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35">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35">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35">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35">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35">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35">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35">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35">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35">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35">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35">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35">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35">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35">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35">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35">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35">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35">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35">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35">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35">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35">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35">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35">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35">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35">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35">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35">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35">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35">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35">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35">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35">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35">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35">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35">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35">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35">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35">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35">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35">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35">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35">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35">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35">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35">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35">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35">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35">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35">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35">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35">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35">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35">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35">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35">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35">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35">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35">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35">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35">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35">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35">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35">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35">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35">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35">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35">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35">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35">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35">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35">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35">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35">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35">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35">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35">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35">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35">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35">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35">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35">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35">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35">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35">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35">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35">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35">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35">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35">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35">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35">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35">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35">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35">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35">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35">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35">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35">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35">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35">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35">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35">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35">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35">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35">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35">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35">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35">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35">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35">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35">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35">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35">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35">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35">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35">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35">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35">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35">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35">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35">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35">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35">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35">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35">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35">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35">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35">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35">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35">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35">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35">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35">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35">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35">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35">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35">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35">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35">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35">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35">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35">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35">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35">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35">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35">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35">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35">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35">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35">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35">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35">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35">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35">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35">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35">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35">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35">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35">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35">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35">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35">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35">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35">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35">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35">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35">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35">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35">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35">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35">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35">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35">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35">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35">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35">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35">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35">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35">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35">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35">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35">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35">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35">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35">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35">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35">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35">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35">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35">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35">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35">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35">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35">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35">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35">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35">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35">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35">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35">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35">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35">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35">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35">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35">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35">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35">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35">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35">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35">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35">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35">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35">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35">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35">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35">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35">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35">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35">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35">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35">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35">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35">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35">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35">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35">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35">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35">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35">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35">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35">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35">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35">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35">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35">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35">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35">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35">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35">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35">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35">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35">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35">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35">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35">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35">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35">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35">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35">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35">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35">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35">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35">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35">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35">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35">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35">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35">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35">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35">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35">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35">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35">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35">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35">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35">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35">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35">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35">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35">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35">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35">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35">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35">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35">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35">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35">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35">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35">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35">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35">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35">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35">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35">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35">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35">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35">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35">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35">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35">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35">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35">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35">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35">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35">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35">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35">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35">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35">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35">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35">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35">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35">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35">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35">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35">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35">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35">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35">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35">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35">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35">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35">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35">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35">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35">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35">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35">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35">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35">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35">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35">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35">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35">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35">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35">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35">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35">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35">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35">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35">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35">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35">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35">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35">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35">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35">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35">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35">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35">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35">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35">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35">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35">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35">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35">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35">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35">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35">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35">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35">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35">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35">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35">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35">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35">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35">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35">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35">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35">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35">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35">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35">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35">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35">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35">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35">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35">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35">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35">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35">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35">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35">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35">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35">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35">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35">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35">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35">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35">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35">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35">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35">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35">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35">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35">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35">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35">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35">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35">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35">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35">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35">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35">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35">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35">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35">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35">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35">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35">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35">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35">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35">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35">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35">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35">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35">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35">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35">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35">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35">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35">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35">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35">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35">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35">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35">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35">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35">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35">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35">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35">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35">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35">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35">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35">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35">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35">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35">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35">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35">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35">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35">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35">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35">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35">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35">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35">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35">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35">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35">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35">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35">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35">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35">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35">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35">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35">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35">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35">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35">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35">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35">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35">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35">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35">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35">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35">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35">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35">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35">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35">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35">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35">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35">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35">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35">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35">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35">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35">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35">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35">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35">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35">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35">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35">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35">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35">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35">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35">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35">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35">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35">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35">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35">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35">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35">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35">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35">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35">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35">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35">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35">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35">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35">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35">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35">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35">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35">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35">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35">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35">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35">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35">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35">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35">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35">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35">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35">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35">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35">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35">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35">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35">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35">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35">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35">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35">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35">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35">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35">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35">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35">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35">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35">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35">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35">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35">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35">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35">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35">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35">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35">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35">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35">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35">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35">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35">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35">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35">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35">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35">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35">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35">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35">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35">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35">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35">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35">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35">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35">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35">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35">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35">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35">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35">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35">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35">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35">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35">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35">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35">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35">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35">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35">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35">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35">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35">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35">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35">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35">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35">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35">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35">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35">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35">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35">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35">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35">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35">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35">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35">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35">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35">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35">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35">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35">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35">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35">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35">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35">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35">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35">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35">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35">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35">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35">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35">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35">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35">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35">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35">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35">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35">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35">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35">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35">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35">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35">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35">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35">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35">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35">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35">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35">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35">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35">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35">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35">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35">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35">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35">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35">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35">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35">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35">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35">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35">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35">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35">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35">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35">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35">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35">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35">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35">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35">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35">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35">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35">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35">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35">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35">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35">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35">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35">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35">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35">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35">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35">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35">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35">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35">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35">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35">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35">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35">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35">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35">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35">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35">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35">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35">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35">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35">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35">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35">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35">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35">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35">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35">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35">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35">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35">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35">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35">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35">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35">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defaultRowHeight="14.5" x14ac:dyDescent="0.35"/>
  <cols>
    <col min="1" max="1" width="60" customWidth="1"/>
    <col min="2" max="3" width="15" customWidth="1"/>
    <col min="4" max="5" width="12" customWidth="1"/>
    <col min="6" max="6" width="15" customWidth="1"/>
  </cols>
  <sheetData>
    <row r="1" spans="1:6" x14ac:dyDescent="0.35">
      <c r="A1" s="16" t="s">
        <v>4924</v>
      </c>
    </row>
    <row r="2" spans="1:6" ht="52.5" x14ac:dyDescent="0.35">
      <c r="A2" s="2" t="s">
        <v>3263</v>
      </c>
      <c r="B2" s="2" t="s">
        <v>2</v>
      </c>
      <c r="C2" s="2" t="s">
        <v>3</v>
      </c>
      <c r="D2" s="2" t="s">
        <v>4</v>
      </c>
      <c r="E2" s="2" t="s">
        <v>5</v>
      </c>
      <c r="F2" s="2" t="s">
        <v>4925</v>
      </c>
    </row>
    <row r="3" spans="1:6" x14ac:dyDescent="0.35">
      <c r="A3" s="3" t="s">
        <v>6</v>
      </c>
      <c r="B3" s="4">
        <v>164482.6</v>
      </c>
      <c r="C3" s="4">
        <v>169148.1</v>
      </c>
      <c r="D3" s="4">
        <v>4665.5</v>
      </c>
      <c r="E3" s="4">
        <v>2.8</v>
      </c>
      <c r="F3" s="5">
        <v>46310</v>
      </c>
    </row>
    <row r="4" spans="1:6" ht="15.5" x14ac:dyDescent="0.35">
      <c r="A4" s="3" t="s">
        <v>5387</v>
      </c>
      <c r="B4" s="4">
        <v>10365</v>
      </c>
      <c r="C4" s="4">
        <v>11487.4</v>
      </c>
      <c r="D4" s="4">
        <v>1122.4000000000001</v>
      </c>
      <c r="E4" s="4">
        <v>10.8</v>
      </c>
      <c r="F4" s="5">
        <v>97980</v>
      </c>
    </row>
    <row r="5" spans="1:6" x14ac:dyDescent="0.35">
      <c r="A5" s="3" t="s">
        <v>3264</v>
      </c>
      <c r="B5" s="4">
        <v>154117.6</v>
      </c>
      <c r="C5" s="4">
        <v>157660.70000000001</v>
      </c>
      <c r="D5" s="4">
        <v>3543.1</v>
      </c>
      <c r="E5" s="4">
        <v>2.2999999999999998</v>
      </c>
      <c r="F5" s="5">
        <v>44670</v>
      </c>
    </row>
    <row r="6" spans="1:6" x14ac:dyDescent="0.35">
      <c r="A6" s="6" t="s">
        <v>52</v>
      </c>
      <c r="B6" s="6"/>
      <c r="C6" s="6"/>
      <c r="D6" s="6"/>
      <c r="E6" s="6"/>
      <c r="F6" s="6"/>
    </row>
    <row r="7" spans="1:6" x14ac:dyDescent="0.35">
      <c r="A7" s="6" t="s">
        <v>53</v>
      </c>
      <c r="B7" s="6"/>
      <c r="C7" s="6"/>
      <c r="D7" s="6"/>
      <c r="E7" s="6"/>
      <c r="F7" s="6"/>
    </row>
    <row r="8" spans="1:6" x14ac:dyDescent="0.35">
      <c r="A8" s="6" t="s">
        <v>3265</v>
      </c>
      <c r="B8" s="6"/>
      <c r="C8" s="6"/>
      <c r="D8" s="6"/>
      <c r="E8" s="6"/>
      <c r="F8" s="6"/>
    </row>
    <row r="9" spans="1:6" x14ac:dyDescent="0.35">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workbookViewId="0"/>
  </sheetViews>
  <sheetFormatPr defaultRowHeight="14.5" x14ac:dyDescent="0.35"/>
  <cols>
    <col min="1" max="1" width="60" customWidth="1"/>
    <col min="2" max="2" width="20" customWidth="1"/>
    <col min="3" max="3" width="60" customWidth="1"/>
    <col min="4" max="4" width="20" customWidth="1"/>
    <col min="5" max="5" width="60" customWidth="1"/>
  </cols>
  <sheetData>
    <row r="1" spans="1:5" x14ac:dyDescent="0.35">
      <c r="A1" s="1" t="s">
        <v>3266</v>
      </c>
    </row>
    <row r="2" spans="1:5" ht="39.5" x14ac:dyDescent="0.35">
      <c r="A2" s="2" t="s">
        <v>3267</v>
      </c>
      <c r="B2" s="2" t="s">
        <v>5388</v>
      </c>
      <c r="C2" s="2" t="s">
        <v>3268</v>
      </c>
      <c r="D2" s="2" t="s">
        <v>5389</v>
      </c>
      <c r="E2" s="2" t="s">
        <v>3269</v>
      </c>
    </row>
    <row r="3" spans="1:5" ht="38.5" x14ac:dyDescent="0.35">
      <c r="A3" s="3" t="s">
        <v>3270</v>
      </c>
      <c r="B3" s="3" t="s">
        <v>64</v>
      </c>
      <c r="C3" s="3" t="s">
        <v>2375</v>
      </c>
      <c r="D3" s="3" t="s">
        <v>2376</v>
      </c>
      <c r="E3" s="8" t="s">
        <v>3271</v>
      </c>
    </row>
    <row r="4" spans="1:5" ht="38.5" x14ac:dyDescent="0.35">
      <c r="A4" s="3" t="s">
        <v>3272</v>
      </c>
      <c r="B4" s="3" t="s">
        <v>73</v>
      </c>
      <c r="C4" s="3" t="s">
        <v>3273</v>
      </c>
      <c r="D4" s="3" t="s">
        <v>2697</v>
      </c>
      <c r="E4" s="8" t="s">
        <v>3274</v>
      </c>
    </row>
    <row r="5" spans="1:5" ht="38.5" x14ac:dyDescent="0.35">
      <c r="A5" s="3" t="s">
        <v>3275</v>
      </c>
      <c r="B5" s="3" t="s">
        <v>77</v>
      </c>
      <c r="C5" s="3" t="s">
        <v>3273</v>
      </c>
      <c r="D5" s="3" t="s">
        <v>2697</v>
      </c>
      <c r="E5" s="8" t="s">
        <v>3276</v>
      </c>
    </row>
    <row r="6" spans="1:5" ht="38.5" x14ac:dyDescent="0.35">
      <c r="A6" s="3" t="s">
        <v>3275</v>
      </c>
      <c r="B6" s="3" t="s">
        <v>77</v>
      </c>
      <c r="C6" s="3" t="s">
        <v>3277</v>
      </c>
      <c r="D6" s="3" t="s">
        <v>2841</v>
      </c>
      <c r="E6" s="8" t="s">
        <v>3278</v>
      </c>
    </row>
    <row r="7" spans="1:5" ht="38.5" x14ac:dyDescent="0.35">
      <c r="A7" s="3" t="s">
        <v>3279</v>
      </c>
      <c r="B7" s="3" t="s">
        <v>79</v>
      </c>
      <c r="C7" s="3" t="s">
        <v>3273</v>
      </c>
      <c r="D7" s="3" t="s">
        <v>2697</v>
      </c>
      <c r="E7" s="8" t="s">
        <v>3280</v>
      </c>
    </row>
    <row r="8" spans="1:5" ht="51" x14ac:dyDescent="0.35">
      <c r="A8" s="3" t="s">
        <v>3281</v>
      </c>
      <c r="B8" s="3" t="s">
        <v>95</v>
      </c>
      <c r="C8" s="3" t="s">
        <v>2375</v>
      </c>
      <c r="D8" s="3" t="s">
        <v>2376</v>
      </c>
      <c r="E8" s="8" t="s">
        <v>3282</v>
      </c>
    </row>
    <row r="9" spans="1:5" ht="38.5" x14ac:dyDescent="0.35">
      <c r="A9" s="3" t="s">
        <v>3283</v>
      </c>
      <c r="B9" s="3" t="s">
        <v>97</v>
      </c>
      <c r="C9" s="3" t="s">
        <v>2375</v>
      </c>
      <c r="D9" s="3" t="s">
        <v>2376</v>
      </c>
      <c r="E9" s="8" t="s">
        <v>3284</v>
      </c>
    </row>
    <row r="10" spans="1:5" ht="51" x14ac:dyDescent="0.35">
      <c r="A10" s="3" t="s">
        <v>3283</v>
      </c>
      <c r="B10" s="3" t="s">
        <v>97</v>
      </c>
      <c r="C10" s="3" t="s">
        <v>3285</v>
      </c>
      <c r="D10" s="3" t="s">
        <v>2896</v>
      </c>
      <c r="E10" s="8" t="s">
        <v>3286</v>
      </c>
    </row>
    <row r="11" spans="1:5" ht="38.5" x14ac:dyDescent="0.35">
      <c r="A11" s="3" t="s">
        <v>3287</v>
      </c>
      <c r="B11" s="3" t="s">
        <v>103</v>
      </c>
      <c r="C11" s="3" t="s">
        <v>3288</v>
      </c>
      <c r="D11" s="3" t="s">
        <v>2672</v>
      </c>
      <c r="E11" s="8" t="s">
        <v>3289</v>
      </c>
    </row>
    <row r="12" spans="1:5" ht="38.5" x14ac:dyDescent="0.35">
      <c r="A12" s="3" t="s">
        <v>3287</v>
      </c>
      <c r="B12" s="3" t="s">
        <v>103</v>
      </c>
      <c r="C12" s="3" t="s">
        <v>3290</v>
      </c>
      <c r="D12" s="3" t="s">
        <v>2684</v>
      </c>
      <c r="E12" s="8" t="s">
        <v>3289</v>
      </c>
    </row>
    <row r="13" spans="1:5" ht="38.5" x14ac:dyDescent="0.35">
      <c r="A13" s="3" t="s">
        <v>3287</v>
      </c>
      <c r="B13" s="3" t="s">
        <v>103</v>
      </c>
      <c r="C13" s="3" t="s">
        <v>3291</v>
      </c>
      <c r="D13" s="3" t="s">
        <v>2777</v>
      </c>
      <c r="E13" s="8" t="s">
        <v>3289</v>
      </c>
    </row>
    <row r="14" spans="1:5" ht="38.5" x14ac:dyDescent="0.35">
      <c r="A14" s="3" t="s">
        <v>3287</v>
      </c>
      <c r="B14" s="3" t="s">
        <v>103</v>
      </c>
      <c r="C14" s="3" t="s">
        <v>3292</v>
      </c>
      <c r="D14" s="3" t="s">
        <v>2822</v>
      </c>
      <c r="E14" s="8" t="s">
        <v>3289</v>
      </c>
    </row>
    <row r="15" spans="1:5" ht="26" x14ac:dyDescent="0.35">
      <c r="A15" s="3" t="s">
        <v>3287</v>
      </c>
      <c r="B15" s="3" t="s">
        <v>103</v>
      </c>
      <c r="C15" s="3" t="s">
        <v>3293</v>
      </c>
      <c r="D15" s="3" t="s">
        <v>2827</v>
      </c>
      <c r="E15" s="8" t="s">
        <v>3294</v>
      </c>
    </row>
    <row r="16" spans="1:5" ht="38.5" x14ac:dyDescent="0.35">
      <c r="A16" s="3" t="s">
        <v>3287</v>
      </c>
      <c r="B16" s="3" t="s">
        <v>103</v>
      </c>
      <c r="C16" s="3" t="s">
        <v>3295</v>
      </c>
      <c r="D16" s="3" t="s">
        <v>2831</v>
      </c>
      <c r="E16" s="8" t="s">
        <v>3289</v>
      </c>
    </row>
    <row r="17" spans="1:5" ht="38.5" x14ac:dyDescent="0.35">
      <c r="A17" s="3" t="s">
        <v>3287</v>
      </c>
      <c r="B17" s="3" t="s">
        <v>103</v>
      </c>
      <c r="C17" s="3" t="s">
        <v>3296</v>
      </c>
      <c r="D17" s="3" t="s">
        <v>2953</v>
      </c>
      <c r="E17" s="8" t="s">
        <v>3289</v>
      </c>
    </row>
    <row r="18" spans="1:5" ht="38.5" x14ac:dyDescent="0.35">
      <c r="A18" s="3" t="s">
        <v>3297</v>
      </c>
      <c r="B18" s="3" t="s">
        <v>105</v>
      </c>
      <c r="C18" s="3" t="s">
        <v>2375</v>
      </c>
      <c r="D18" s="3" t="s">
        <v>2376</v>
      </c>
      <c r="E18" s="8" t="s">
        <v>3298</v>
      </c>
    </row>
    <row r="19" spans="1:5" ht="38.5" x14ac:dyDescent="0.35">
      <c r="A19" s="3" t="s">
        <v>3297</v>
      </c>
      <c r="B19" s="3" t="s">
        <v>105</v>
      </c>
      <c r="C19" s="3" t="s">
        <v>3299</v>
      </c>
      <c r="D19" s="3" t="s">
        <v>2923</v>
      </c>
      <c r="E19" s="8" t="s">
        <v>3300</v>
      </c>
    </row>
    <row r="20" spans="1:5" ht="38.5" x14ac:dyDescent="0.35">
      <c r="A20" s="3" t="s">
        <v>3301</v>
      </c>
      <c r="B20" s="3" t="s">
        <v>115</v>
      </c>
      <c r="C20" s="3" t="s">
        <v>2375</v>
      </c>
      <c r="D20" s="3" t="s">
        <v>2376</v>
      </c>
      <c r="E20" s="8" t="s">
        <v>3302</v>
      </c>
    </row>
    <row r="21" spans="1:5" ht="38.5" x14ac:dyDescent="0.35">
      <c r="A21" s="3" t="s">
        <v>3301</v>
      </c>
      <c r="B21" s="3" t="s">
        <v>115</v>
      </c>
      <c r="C21" s="3" t="s">
        <v>3303</v>
      </c>
      <c r="D21" s="3" t="s">
        <v>2459</v>
      </c>
      <c r="E21" s="8" t="s">
        <v>3302</v>
      </c>
    </row>
    <row r="22" spans="1:5" ht="38.5" x14ac:dyDescent="0.35">
      <c r="A22" s="3" t="s">
        <v>3304</v>
      </c>
      <c r="B22" s="3" t="s">
        <v>129</v>
      </c>
      <c r="C22" s="3" t="s">
        <v>3305</v>
      </c>
      <c r="D22" s="3" t="s">
        <v>2839</v>
      </c>
      <c r="E22" s="8" t="s">
        <v>3306</v>
      </c>
    </row>
    <row r="23" spans="1:5" ht="38.5" x14ac:dyDescent="0.35">
      <c r="A23" s="3" t="s">
        <v>3307</v>
      </c>
      <c r="B23" s="3" t="s">
        <v>139</v>
      </c>
      <c r="C23" s="3" t="s">
        <v>2375</v>
      </c>
      <c r="D23" s="3" t="s">
        <v>2376</v>
      </c>
      <c r="E23" s="8" t="s">
        <v>3308</v>
      </c>
    </row>
    <row r="24" spans="1:5" ht="38.5" x14ac:dyDescent="0.35">
      <c r="A24" s="3" t="s">
        <v>3307</v>
      </c>
      <c r="B24" s="3" t="s">
        <v>139</v>
      </c>
      <c r="C24" s="3" t="s">
        <v>3309</v>
      </c>
      <c r="D24" s="3" t="s">
        <v>3097</v>
      </c>
      <c r="E24" s="8" t="s">
        <v>3308</v>
      </c>
    </row>
    <row r="25" spans="1:5" ht="38.5" x14ac:dyDescent="0.35">
      <c r="A25" s="3" t="s">
        <v>3307</v>
      </c>
      <c r="B25" s="3" t="s">
        <v>139</v>
      </c>
      <c r="C25" s="3" t="s">
        <v>3310</v>
      </c>
      <c r="D25" s="3" t="s">
        <v>3099</v>
      </c>
      <c r="E25" s="8" t="s">
        <v>3308</v>
      </c>
    </row>
    <row r="26" spans="1:5" ht="38.5" x14ac:dyDescent="0.35">
      <c r="A26" s="3" t="s">
        <v>3307</v>
      </c>
      <c r="B26" s="3" t="s">
        <v>139</v>
      </c>
      <c r="C26" s="3" t="s">
        <v>3311</v>
      </c>
      <c r="D26" s="3" t="s">
        <v>3107</v>
      </c>
      <c r="E26" s="8" t="s">
        <v>3308</v>
      </c>
    </row>
    <row r="27" spans="1:5" ht="38.5" x14ac:dyDescent="0.35">
      <c r="A27" s="3" t="s">
        <v>3307</v>
      </c>
      <c r="B27" s="3" t="s">
        <v>139</v>
      </c>
      <c r="C27" s="3" t="s">
        <v>3312</v>
      </c>
      <c r="D27" s="3" t="s">
        <v>3113</v>
      </c>
      <c r="E27" s="8" t="s">
        <v>3308</v>
      </c>
    </row>
    <row r="28" spans="1:5" ht="38.5" x14ac:dyDescent="0.35">
      <c r="A28" s="3" t="s">
        <v>3307</v>
      </c>
      <c r="B28" s="3" t="s">
        <v>139</v>
      </c>
      <c r="C28" s="3" t="s">
        <v>3313</v>
      </c>
      <c r="D28" s="3" t="s">
        <v>3119</v>
      </c>
      <c r="E28" s="8" t="s">
        <v>3308</v>
      </c>
    </row>
    <row r="29" spans="1:5" ht="38.5" x14ac:dyDescent="0.35">
      <c r="A29" s="3" t="s">
        <v>3307</v>
      </c>
      <c r="B29" s="3" t="s">
        <v>139</v>
      </c>
      <c r="C29" s="3" t="s">
        <v>3314</v>
      </c>
      <c r="D29" s="3" t="s">
        <v>3123</v>
      </c>
      <c r="E29" s="8" t="s">
        <v>3308</v>
      </c>
    </row>
    <row r="30" spans="1:5" ht="38.5" x14ac:dyDescent="0.35">
      <c r="A30" s="3" t="s">
        <v>3307</v>
      </c>
      <c r="B30" s="3" t="s">
        <v>139</v>
      </c>
      <c r="C30" s="3" t="s">
        <v>3315</v>
      </c>
      <c r="D30" s="3" t="s">
        <v>3125</v>
      </c>
      <c r="E30" s="8" t="s">
        <v>3308</v>
      </c>
    </row>
    <row r="31" spans="1:5" ht="38.5" x14ac:dyDescent="0.35">
      <c r="A31" s="3" t="s">
        <v>3307</v>
      </c>
      <c r="B31" s="3" t="s">
        <v>139</v>
      </c>
      <c r="C31" s="3" t="s">
        <v>3316</v>
      </c>
      <c r="D31" s="3" t="s">
        <v>3127</v>
      </c>
      <c r="E31" s="8" t="s">
        <v>3308</v>
      </c>
    </row>
    <row r="32" spans="1:5" ht="38.5" x14ac:dyDescent="0.35">
      <c r="A32" s="3" t="s">
        <v>3317</v>
      </c>
      <c r="B32" s="3" t="s">
        <v>163</v>
      </c>
      <c r="C32" s="3" t="s">
        <v>2375</v>
      </c>
      <c r="D32" s="3" t="s">
        <v>2376</v>
      </c>
      <c r="E32" s="8" t="s">
        <v>3318</v>
      </c>
    </row>
    <row r="33" spans="1:5" ht="76" x14ac:dyDescent="0.35">
      <c r="A33" s="3" t="s">
        <v>3317</v>
      </c>
      <c r="B33" s="3" t="s">
        <v>163</v>
      </c>
      <c r="C33" s="3" t="s">
        <v>3319</v>
      </c>
      <c r="D33" s="3" t="s">
        <v>3255</v>
      </c>
      <c r="E33" s="8" t="s">
        <v>3320</v>
      </c>
    </row>
    <row r="34" spans="1:5" ht="76" x14ac:dyDescent="0.35">
      <c r="A34" s="3" t="s">
        <v>3317</v>
      </c>
      <c r="B34" s="3" t="s">
        <v>163</v>
      </c>
      <c r="C34" s="3" t="s">
        <v>3321</v>
      </c>
      <c r="D34" s="3" t="s">
        <v>3257</v>
      </c>
      <c r="E34" s="8" t="s">
        <v>3320</v>
      </c>
    </row>
    <row r="35" spans="1:5" ht="26" x14ac:dyDescent="0.35">
      <c r="A35" s="3" t="s">
        <v>3322</v>
      </c>
      <c r="B35" s="3" t="s">
        <v>167</v>
      </c>
      <c r="C35" s="3" t="s">
        <v>2375</v>
      </c>
      <c r="D35" s="3" t="s">
        <v>2376</v>
      </c>
      <c r="E35" s="8" t="s">
        <v>3323</v>
      </c>
    </row>
    <row r="36" spans="1:5" ht="38.5" x14ac:dyDescent="0.35">
      <c r="A36" s="3" t="s">
        <v>3324</v>
      </c>
      <c r="B36" s="3" t="s">
        <v>169</v>
      </c>
      <c r="C36" s="3" t="s">
        <v>2375</v>
      </c>
      <c r="D36" s="3" t="s">
        <v>2376</v>
      </c>
      <c r="E36" s="8" t="s">
        <v>3325</v>
      </c>
    </row>
    <row r="37" spans="1:5" ht="26" x14ac:dyDescent="0.35">
      <c r="A37" s="3" t="s">
        <v>3326</v>
      </c>
      <c r="B37" s="3" t="s">
        <v>173</v>
      </c>
      <c r="C37" s="3" t="s">
        <v>2375</v>
      </c>
      <c r="D37" s="3" t="s">
        <v>2376</v>
      </c>
      <c r="E37" s="8" t="s">
        <v>3327</v>
      </c>
    </row>
    <row r="38" spans="1:5" ht="38.5" x14ac:dyDescent="0.35">
      <c r="A38" s="3" t="s">
        <v>3328</v>
      </c>
      <c r="B38" s="3" t="s">
        <v>177</v>
      </c>
      <c r="C38" s="3" t="s">
        <v>2375</v>
      </c>
      <c r="D38" s="3" t="s">
        <v>2376</v>
      </c>
      <c r="E38" s="8" t="s">
        <v>3329</v>
      </c>
    </row>
    <row r="39" spans="1:5" ht="26" x14ac:dyDescent="0.35">
      <c r="A39" s="3" t="s">
        <v>3328</v>
      </c>
      <c r="B39" s="3" t="s">
        <v>177</v>
      </c>
      <c r="C39" s="3" t="s">
        <v>3299</v>
      </c>
      <c r="D39" s="3" t="s">
        <v>2923</v>
      </c>
      <c r="E39" s="8" t="s">
        <v>3330</v>
      </c>
    </row>
    <row r="40" spans="1:5" ht="26" x14ac:dyDescent="0.35">
      <c r="A40" s="3" t="s">
        <v>3328</v>
      </c>
      <c r="B40" s="3" t="s">
        <v>177</v>
      </c>
      <c r="C40" s="3" t="s">
        <v>3331</v>
      </c>
      <c r="D40" s="3" t="s">
        <v>2935</v>
      </c>
      <c r="E40" s="8" t="s">
        <v>3330</v>
      </c>
    </row>
    <row r="41" spans="1:5" ht="26" x14ac:dyDescent="0.35">
      <c r="A41" s="3" t="s">
        <v>3328</v>
      </c>
      <c r="B41" s="3" t="s">
        <v>177</v>
      </c>
      <c r="C41" s="3" t="s">
        <v>3332</v>
      </c>
      <c r="D41" s="3" t="s">
        <v>2959</v>
      </c>
      <c r="E41" s="8" t="s">
        <v>3330</v>
      </c>
    </row>
    <row r="42" spans="1:5" ht="51" x14ac:dyDescent="0.35">
      <c r="A42" s="3" t="s">
        <v>3333</v>
      </c>
      <c r="B42" s="3" t="s">
        <v>181</v>
      </c>
      <c r="C42" s="3" t="s">
        <v>2375</v>
      </c>
      <c r="D42" s="3" t="s">
        <v>2376</v>
      </c>
      <c r="E42" s="8" t="s">
        <v>3334</v>
      </c>
    </row>
    <row r="43" spans="1:5" ht="26" x14ac:dyDescent="0.35">
      <c r="A43" s="3" t="s">
        <v>3335</v>
      </c>
      <c r="B43" s="3" t="s">
        <v>185</v>
      </c>
      <c r="C43" s="3" t="s">
        <v>2375</v>
      </c>
      <c r="D43" s="3" t="s">
        <v>2376</v>
      </c>
      <c r="E43" s="8" t="s">
        <v>3336</v>
      </c>
    </row>
    <row r="44" spans="1:5" ht="38.5" x14ac:dyDescent="0.35">
      <c r="A44" s="3" t="s">
        <v>3335</v>
      </c>
      <c r="B44" s="3" t="s">
        <v>185</v>
      </c>
      <c r="C44" s="3" t="s">
        <v>3337</v>
      </c>
      <c r="D44" s="3" t="s">
        <v>2799</v>
      </c>
      <c r="E44" s="8" t="s">
        <v>3338</v>
      </c>
    </row>
    <row r="45" spans="1:5" ht="26" x14ac:dyDescent="0.35">
      <c r="A45" s="3" t="s">
        <v>3335</v>
      </c>
      <c r="B45" s="3" t="s">
        <v>185</v>
      </c>
      <c r="C45" s="3" t="s">
        <v>3292</v>
      </c>
      <c r="D45" s="3" t="s">
        <v>2822</v>
      </c>
      <c r="E45" s="8" t="s">
        <v>3336</v>
      </c>
    </row>
    <row r="46" spans="1:5" ht="26" x14ac:dyDescent="0.35">
      <c r="A46" s="3" t="s">
        <v>3335</v>
      </c>
      <c r="B46" s="3" t="s">
        <v>185</v>
      </c>
      <c r="C46" s="3" t="s">
        <v>3295</v>
      </c>
      <c r="D46" s="3" t="s">
        <v>2831</v>
      </c>
      <c r="E46" s="8" t="s">
        <v>3336</v>
      </c>
    </row>
    <row r="47" spans="1:5" ht="26" x14ac:dyDescent="0.35">
      <c r="A47" s="3" t="s">
        <v>3335</v>
      </c>
      <c r="B47" s="3" t="s">
        <v>185</v>
      </c>
      <c r="C47" s="3" t="s">
        <v>3339</v>
      </c>
      <c r="D47" s="3" t="s">
        <v>3253</v>
      </c>
      <c r="E47" s="8" t="s">
        <v>3340</v>
      </c>
    </row>
    <row r="48" spans="1:5" ht="63.5" x14ac:dyDescent="0.35">
      <c r="A48" s="3" t="s">
        <v>3341</v>
      </c>
      <c r="B48" s="3" t="s">
        <v>187</v>
      </c>
      <c r="C48" s="3" t="s">
        <v>3342</v>
      </c>
      <c r="D48" s="3" t="s">
        <v>2933</v>
      </c>
      <c r="E48" s="8" t="s">
        <v>3343</v>
      </c>
    </row>
    <row r="49" spans="1:5" ht="38.5" x14ac:dyDescent="0.35">
      <c r="A49" s="3" t="s">
        <v>3344</v>
      </c>
      <c r="B49" s="3" t="s">
        <v>189</v>
      </c>
      <c r="C49" s="3" t="s">
        <v>3296</v>
      </c>
      <c r="D49" s="3" t="s">
        <v>2953</v>
      </c>
      <c r="E49" s="8" t="s">
        <v>3345</v>
      </c>
    </row>
    <row r="50" spans="1:5" ht="26" x14ac:dyDescent="0.35">
      <c r="A50" s="3" t="s">
        <v>3344</v>
      </c>
      <c r="B50" s="3" t="s">
        <v>189</v>
      </c>
      <c r="C50" s="3" t="s">
        <v>3339</v>
      </c>
      <c r="D50" s="3" t="s">
        <v>3253</v>
      </c>
      <c r="E50" s="8" t="s">
        <v>3346</v>
      </c>
    </row>
    <row r="51" spans="1:5" ht="26" x14ac:dyDescent="0.35">
      <c r="A51" s="3" t="s">
        <v>3344</v>
      </c>
      <c r="B51" s="3" t="s">
        <v>189</v>
      </c>
      <c r="C51" s="3" t="s">
        <v>3319</v>
      </c>
      <c r="D51" s="3" t="s">
        <v>3255</v>
      </c>
      <c r="E51" s="8" t="s">
        <v>3346</v>
      </c>
    </row>
    <row r="52" spans="1:5" ht="26" x14ac:dyDescent="0.35">
      <c r="A52" s="3" t="s">
        <v>3347</v>
      </c>
      <c r="B52" s="3" t="s">
        <v>197</v>
      </c>
      <c r="C52" s="3" t="s">
        <v>3342</v>
      </c>
      <c r="D52" s="3" t="s">
        <v>2933</v>
      </c>
      <c r="E52" s="8" t="s">
        <v>3348</v>
      </c>
    </row>
    <row r="53" spans="1:5" ht="38.5" x14ac:dyDescent="0.35">
      <c r="A53" s="3" t="s">
        <v>3349</v>
      </c>
      <c r="B53" s="3" t="s">
        <v>199</v>
      </c>
      <c r="C53" s="3" t="s">
        <v>2375</v>
      </c>
      <c r="D53" s="3" t="s">
        <v>2376</v>
      </c>
      <c r="E53" s="8" t="s">
        <v>3350</v>
      </c>
    </row>
    <row r="54" spans="1:5" ht="63.5" x14ac:dyDescent="0.35">
      <c r="A54" s="3" t="s">
        <v>3349</v>
      </c>
      <c r="B54" s="3" t="s">
        <v>199</v>
      </c>
      <c r="C54" s="3" t="s">
        <v>3351</v>
      </c>
      <c r="D54" s="3" t="s">
        <v>2943</v>
      </c>
      <c r="E54" s="8" t="s">
        <v>3352</v>
      </c>
    </row>
    <row r="55" spans="1:5" ht="38.5" x14ac:dyDescent="0.35">
      <c r="A55" s="3" t="s">
        <v>3353</v>
      </c>
      <c r="B55" s="3" t="s">
        <v>201</v>
      </c>
      <c r="C55" s="3" t="s">
        <v>3296</v>
      </c>
      <c r="D55" s="3" t="s">
        <v>2953</v>
      </c>
      <c r="E55" s="8" t="s">
        <v>3354</v>
      </c>
    </row>
    <row r="56" spans="1:5" ht="38.5" x14ac:dyDescent="0.35">
      <c r="A56" s="3" t="s">
        <v>3355</v>
      </c>
      <c r="B56" s="3" t="s">
        <v>211</v>
      </c>
      <c r="C56" s="3" t="s">
        <v>2375</v>
      </c>
      <c r="D56" s="3" t="s">
        <v>2376</v>
      </c>
      <c r="E56" s="8" t="s">
        <v>3356</v>
      </c>
    </row>
    <row r="57" spans="1:5" ht="38.5" x14ac:dyDescent="0.35">
      <c r="A57" s="3" t="s">
        <v>3357</v>
      </c>
      <c r="B57" s="3" t="s">
        <v>215</v>
      </c>
      <c r="C57" s="3" t="s">
        <v>3358</v>
      </c>
      <c r="D57" s="3" t="s">
        <v>2902</v>
      </c>
      <c r="E57" s="8" t="s">
        <v>3359</v>
      </c>
    </row>
    <row r="58" spans="1:5" ht="51" x14ac:dyDescent="0.35">
      <c r="A58" s="3" t="s">
        <v>3360</v>
      </c>
      <c r="B58" s="3" t="s">
        <v>217</v>
      </c>
      <c r="C58" s="3" t="s">
        <v>3361</v>
      </c>
      <c r="D58" s="3" t="s">
        <v>2876</v>
      </c>
      <c r="E58" s="8" t="s">
        <v>3362</v>
      </c>
    </row>
    <row r="59" spans="1:5" ht="51" x14ac:dyDescent="0.35">
      <c r="A59" s="3" t="s">
        <v>3360</v>
      </c>
      <c r="B59" s="3" t="s">
        <v>217</v>
      </c>
      <c r="C59" s="3" t="s">
        <v>3285</v>
      </c>
      <c r="D59" s="3" t="s">
        <v>2896</v>
      </c>
      <c r="E59" s="8" t="s">
        <v>3362</v>
      </c>
    </row>
    <row r="60" spans="1:5" ht="38.5" x14ac:dyDescent="0.35">
      <c r="A60" s="3" t="s">
        <v>3363</v>
      </c>
      <c r="B60" s="3" t="s">
        <v>219</v>
      </c>
      <c r="C60" s="3" t="s">
        <v>2375</v>
      </c>
      <c r="D60" s="3" t="s">
        <v>2376</v>
      </c>
      <c r="E60" s="8" t="s">
        <v>3364</v>
      </c>
    </row>
    <row r="61" spans="1:5" ht="38.5" x14ac:dyDescent="0.35">
      <c r="A61" s="3" t="s">
        <v>3363</v>
      </c>
      <c r="B61" s="3" t="s">
        <v>219</v>
      </c>
      <c r="C61" s="3" t="s">
        <v>3365</v>
      </c>
      <c r="D61" s="3" t="s">
        <v>2889</v>
      </c>
      <c r="E61" s="8" t="s">
        <v>3364</v>
      </c>
    </row>
    <row r="62" spans="1:5" ht="38.5" x14ac:dyDescent="0.35">
      <c r="A62" s="3" t="s">
        <v>3363</v>
      </c>
      <c r="B62" s="3" t="s">
        <v>219</v>
      </c>
      <c r="C62" s="3" t="s">
        <v>3366</v>
      </c>
      <c r="D62" s="3" t="s">
        <v>2891</v>
      </c>
      <c r="E62" s="8" t="s">
        <v>3364</v>
      </c>
    </row>
    <row r="63" spans="1:5" ht="38.5" x14ac:dyDescent="0.35">
      <c r="A63" s="3" t="s">
        <v>3367</v>
      </c>
      <c r="B63" s="3" t="s">
        <v>223</v>
      </c>
      <c r="C63" s="3" t="s">
        <v>3368</v>
      </c>
      <c r="D63" s="3" t="s">
        <v>2874</v>
      </c>
      <c r="E63" s="8" t="s">
        <v>3369</v>
      </c>
    </row>
    <row r="64" spans="1:5" ht="38.5" x14ac:dyDescent="0.35">
      <c r="A64" s="3" t="s">
        <v>3367</v>
      </c>
      <c r="B64" s="3" t="s">
        <v>223</v>
      </c>
      <c r="C64" s="3" t="s">
        <v>3361</v>
      </c>
      <c r="D64" s="3" t="s">
        <v>2876</v>
      </c>
      <c r="E64" s="8" t="s">
        <v>3369</v>
      </c>
    </row>
    <row r="65" spans="1:5" ht="38.5" x14ac:dyDescent="0.35">
      <c r="A65" s="3" t="s">
        <v>3367</v>
      </c>
      <c r="B65" s="3" t="s">
        <v>223</v>
      </c>
      <c r="C65" s="3" t="s">
        <v>3285</v>
      </c>
      <c r="D65" s="3" t="s">
        <v>2896</v>
      </c>
      <c r="E65" s="8" t="s">
        <v>3369</v>
      </c>
    </row>
    <row r="66" spans="1:5" ht="38.5" x14ac:dyDescent="0.35">
      <c r="A66" s="3" t="s">
        <v>3367</v>
      </c>
      <c r="B66" s="3" t="s">
        <v>223</v>
      </c>
      <c r="C66" s="3" t="s">
        <v>3296</v>
      </c>
      <c r="D66" s="3" t="s">
        <v>2953</v>
      </c>
      <c r="E66" s="8" t="s">
        <v>3369</v>
      </c>
    </row>
    <row r="67" spans="1:5" ht="51" x14ac:dyDescent="0.35">
      <c r="A67" s="3" t="s">
        <v>3370</v>
      </c>
      <c r="B67" s="3" t="s">
        <v>229</v>
      </c>
      <c r="C67" s="3" t="s">
        <v>3368</v>
      </c>
      <c r="D67" s="3" t="s">
        <v>2874</v>
      </c>
      <c r="E67" s="8" t="s">
        <v>3371</v>
      </c>
    </row>
    <row r="68" spans="1:5" ht="51" x14ac:dyDescent="0.35">
      <c r="A68" s="3" t="s">
        <v>3370</v>
      </c>
      <c r="B68" s="3" t="s">
        <v>229</v>
      </c>
      <c r="C68" s="3" t="s">
        <v>3361</v>
      </c>
      <c r="D68" s="3" t="s">
        <v>2876</v>
      </c>
      <c r="E68" s="8" t="s">
        <v>3371</v>
      </c>
    </row>
    <row r="69" spans="1:5" ht="26" x14ac:dyDescent="0.35">
      <c r="A69" s="3" t="s">
        <v>3372</v>
      </c>
      <c r="B69" s="3" t="s">
        <v>243</v>
      </c>
      <c r="C69" s="3" t="s">
        <v>3373</v>
      </c>
      <c r="D69" s="3" t="s">
        <v>2859</v>
      </c>
      <c r="E69" s="8" t="s">
        <v>3374</v>
      </c>
    </row>
    <row r="70" spans="1:5" ht="51" x14ac:dyDescent="0.35">
      <c r="A70" s="3" t="s">
        <v>3372</v>
      </c>
      <c r="B70" s="3" t="s">
        <v>243</v>
      </c>
      <c r="C70" s="3" t="s">
        <v>3375</v>
      </c>
      <c r="D70" s="3" t="s">
        <v>2868</v>
      </c>
      <c r="E70" s="8" t="s">
        <v>3376</v>
      </c>
    </row>
    <row r="71" spans="1:5" ht="26" x14ac:dyDescent="0.35">
      <c r="A71" s="3" t="s">
        <v>3372</v>
      </c>
      <c r="B71" s="3" t="s">
        <v>243</v>
      </c>
      <c r="C71" s="3" t="s">
        <v>3377</v>
      </c>
      <c r="D71" s="3" t="s">
        <v>2885</v>
      </c>
      <c r="E71" s="8" t="s">
        <v>3378</v>
      </c>
    </row>
    <row r="72" spans="1:5" ht="38.5" x14ac:dyDescent="0.35">
      <c r="A72" s="3" t="s">
        <v>3372</v>
      </c>
      <c r="B72" s="3" t="s">
        <v>243</v>
      </c>
      <c r="C72" s="3" t="s">
        <v>3299</v>
      </c>
      <c r="D72" s="3" t="s">
        <v>2923</v>
      </c>
      <c r="E72" s="8" t="s">
        <v>3379</v>
      </c>
    </row>
    <row r="73" spans="1:5" ht="26" x14ac:dyDescent="0.35">
      <c r="A73" s="3" t="s">
        <v>3372</v>
      </c>
      <c r="B73" s="3" t="s">
        <v>243</v>
      </c>
      <c r="C73" s="3" t="s">
        <v>3342</v>
      </c>
      <c r="D73" s="3" t="s">
        <v>2933</v>
      </c>
      <c r="E73" s="8" t="s">
        <v>3374</v>
      </c>
    </row>
    <row r="74" spans="1:5" ht="63.5" x14ac:dyDescent="0.35">
      <c r="A74" s="3" t="s">
        <v>3380</v>
      </c>
      <c r="B74" s="3" t="s">
        <v>245</v>
      </c>
      <c r="C74" s="3" t="s">
        <v>2375</v>
      </c>
      <c r="D74" s="3" t="s">
        <v>2376</v>
      </c>
      <c r="E74" s="8" t="s">
        <v>3381</v>
      </c>
    </row>
    <row r="75" spans="1:5" ht="63.5" x14ac:dyDescent="0.35">
      <c r="A75" s="3" t="s">
        <v>3380</v>
      </c>
      <c r="B75" s="3" t="s">
        <v>245</v>
      </c>
      <c r="C75" s="3" t="s">
        <v>3342</v>
      </c>
      <c r="D75" s="3" t="s">
        <v>2933</v>
      </c>
      <c r="E75" s="8" t="s">
        <v>3381</v>
      </c>
    </row>
    <row r="76" spans="1:5" ht="51" x14ac:dyDescent="0.35">
      <c r="A76" s="3" t="s">
        <v>3382</v>
      </c>
      <c r="B76" s="3" t="s">
        <v>247</v>
      </c>
      <c r="C76" s="3" t="s">
        <v>2375</v>
      </c>
      <c r="D76" s="3" t="s">
        <v>2376</v>
      </c>
      <c r="E76" s="8" t="s">
        <v>3383</v>
      </c>
    </row>
    <row r="77" spans="1:5" ht="38.5" x14ac:dyDescent="0.35">
      <c r="A77" s="3" t="s">
        <v>3384</v>
      </c>
      <c r="B77" s="3" t="s">
        <v>251</v>
      </c>
      <c r="C77" s="3" t="s">
        <v>3373</v>
      </c>
      <c r="D77" s="3" t="s">
        <v>2859</v>
      </c>
      <c r="E77" s="8" t="s">
        <v>3385</v>
      </c>
    </row>
    <row r="78" spans="1:5" ht="51" x14ac:dyDescent="0.35">
      <c r="A78" s="3" t="s">
        <v>3384</v>
      </c>
      <c r="B78" s="3" t="s">
        <v>251</v>
      </c>
      <c r="C78" s="3" t="s">
        <v>3342</v>
      </c>
      <c r="D78" s="3" t="s">
        <v>2933</v>
      </c>
      <c r="E78" s="8" t="s">
        <v>3386</v>
      </c>
    </row>
    <row r="79" spans="1:5" ht="51" x14ac:dyDescent="0.35">
      <c r="A79" s="3" t="s">
        <v>3387</v>
      </c>
      <c r="B79" s="3" t="s">
        <v>253</v>
      </c>
      <c r="C79" s="3" t="s">
        <v>2375</v>
      </c>
      <c r="D79" s="3" t="s">
        <v>2376</v>
      </c>
      <c r="E79" s="8" t="s">
        <v>3388</v>
      </c>
    </row>
    <row r="80" spans="1:5" ht="38.5" x14ac:dyDescent="0.35">
      <c r="A80" s="3" t="s">
        <v>3387</v>
      </c>
      <c r="B80" s="3" t="s">
        <v>253</v>
      </c>
      <c r="C80" s="3" t="s">
        <v>3373</v>
      </c>
      <c r="D80" s="3" t="s">
        <v>2859</v>
      </c>
      <c r="E80" s="8" t="s">
        <v>3385</v>
      </c>
    </row>
    <row r="81" spans="1:5" ht="38.5" x14ac:dyDescent="0.35">
      <c r="A81" s="3" t="s">
        <v>3387</v>
      </c>
      <c r="B81" s="3" t="s">
        <v>253</v>
      </c>
      <c r="C81" s="3" t="s">
        <v>3342</v>
      </c>
      <c r="D81" s="3" t="s">
        <v>2933</v>
      </c>
      <c r="E81" s="8" t="s">
        <v>3389</v>
      </c>
    </row>
    <row r="82" spans="1:5" ht="38.5" x14ac:dyDescent="0.35">
      <c r="A82" s="3" t="s">
        <v>3390</v>
      </c>
      <c r="B82" s="3" t="s">
        <v>257</v>
      </c>
      <c r="C82" s="3" t="s">
        <v>2375</v>
      </c>
      <c r="D82" s="3" t="s">
        <v>2376</v>
      </c>
      <c r="E82" s="8" t="s">
        <v>3391</v>
      </c>
    </row>
    <row r="83" spans="1:5" ht="38.5" x14ac:dyDescent="0.35">
      <c r="A83" s="3" t="s">
        <v>3392</v>
      </c>
      <c r="B83" s="3" t="s">
        <v>259</v>
      </c>
      <c r="C83" s="3" t="s">
        <v>3373</v>
      </c>
      <c r="D83" s="3" t="s">
        <v>2859</v>
      </c>
      <c r="E83" s="8" t="s">
        <v>3385</v>
      </c>
    </row>
    <row r="84" spans="1:5" ht="38.5" x14ac:dyDescent="0.35">
      <c r="A84" s="3" t="s">
        <v>3393</v>
      </c>
      <c r="B84" s="3" t="s">
        <v>261</v>
      </c>
      <c r="C84" s="3" t="s">
        <v>3373</v>
      </c>
      <c r="D84" s="3" t="s">
        <v>2859</v>
      </c>
      <c r="E84" s="8" t="s">
        <v>3385</v>
      </c>
    </row>
    <row r="85" spans="1:5" ht="38.5" x14ac:dyDescent="0.35">
      <c r="A85" s="3" t="s">
        <v>3394</v>
      </c>
      <c r="B85" s="3" t="s">
        <v>263</v>
      </c>
      <c r="C85" s="3" t="s">
        <v>2375</v>
      </c>
      <c r="D85" s="3" t="s">
        <v>2376</v>
      </c>
      <c r="E85" s="8" t="s">
        <v>3395</v>
      </c>
    </row>
    <row r="86" spans="1:5" ht="38.5" x14ac:dyDescent="0.35">
      <c r="A86" s="3" t="s">
        <v>3396</v>
      </c>
      <c r="B86" s="3" t="s">
        <v>267</v>
      </c>
      <c r="C86" s="3" t="s">
        <v>2375</v>
      </c>
      <c r="D86" s="3" t="s">
        <v>2376</v>
      </c>
      <c r="E86" s="8" t="s">
        <v>3397</v>
      </c>
    </row>
    <row r="87" spans="1:5" ht="26" x14ac:dyDescent="0.35">
      <c r="A87" s="3" t="s">
        <v>3396</v>
      </c>
      <c r="B87" s="3" t="s">
        <v>267</v>
      </c>
      <c r="C87" s="3" t="s">
        <v>3342</v>
      </c>
      <c r="D87" s="3" t="s">
        <v>2933</v>
      </c>
      <c r="E87" s="8" t="s">
        <v>3398</v>
      </c>
    </row>
    <row r="88" spans="1:5" ht="51" x14ac:dyDescent="0.35">
      <c r="A88" s="3" t="s">
        <v>3399</v>
      </c>
      <c r="B88" s="3" t="s">
        <v>269</v>
      </c>
      <c r="C88" s="3" t="s">
        <v>2375</v>
      </c>
      <c r="D88" s="3" t="s">
        <v>2376</v>
      </c>
      <c r="E88" s="8" t="s">
        <v>3400</v>
      </c>
    </row>
    <row r="89" spans="1:5" ht="76" x14ac:dyDescent="0.35">
      <c r="A89" s="3" t="s">
        <v>3399</v>
      </c>
      <c r="B89" s="3" t="s">
        <v>269</v>
      </c>
      <c r="C89" s="3" t="s">
        <v>3401</v>
      </c>
      <c r="D89" s="3" t="s">
        <v>2939</v>
      </c>
      <c r="E89" s="8" t="s">
        <v>3402</v>
      </c>
    </row>
    <row r="90" spans="1:5" ht="51" x14ac:dyDescent="0.35">
      <c r="A90" s="3" t="s">
        <v>3403</v>
      </c>
      <c r="B90" s="3" t="s">
        <v>271</v>
      </c>
      <c r="C90" s="3" t="s">
        <v>2375</v>
      </c>
      <c r="D90" s="3" t="s">
        <v>2376</v>
      </c>
      <c r="E90" s="8" t="s">
        <v>3404</v>
      </c>
    </row>
    <row r="91" spans="1:5" ht="38.5" x14ac:dyDescent="0.35">
      <c r="A91" s="3" t="s">
        <v>3405</v>
      </c>
      <c r="B91" s="3" t="s">
        <v>273</v>
      </c>
      <c r="C91" s="3" t="s">
        <v>2375</v>
      </c>
      <c r="D91" s="3" t="s">
        <v>2376</v>
      </c>
      <c r="E91" s="8" t="s">
        <v>3406</v>
      </c>
    </row>
    <row r="92" spans="1:5" ht="38.5" x14ac:dyDescent="0.35">
      <c r="A92" s="3" t="s">
        <v>3407</v>
      </c>
      <c r="B92" s="3" t="s">
        <v>275</v>
      </c>
      <c r="C92" s="3" t="s">
        <v>2375</v>
      </c>
      <c r="D92" s="3" t="s">
        <v>2376</v>
      </c>
      <c r="E92" s="8" t="s">
        <v>3408</v>
      </c>
    </row>
    <row r="93" spans="1:5" ht="38.5" x14ac:dyDescent="0.35">
      <c r="A93" s="3" t="s">
        <v>3409</v>
      </c>
      <c r="B93" s="3" t="s">
        <v>277</v>
      </c>
      <c r="C93" s="3" t="s">
        <v>3339</v>
      </c>
      <c r="D93" s="3" t="s">
        <v>3253</v>
      </c>
      <c r="E93" s="8" t="s">
        <v>3410</v>
      </c>
    </row>
    <row r="94" spans="1:5" ht="38.5" x14ac:dyDescent="0.35">
      <c r="A94" s="3" t="s">
        <v>3411</v>
      </c>
      <c r="B94" s="3" t="s">
        <v>281</v>
      </c>
      <c r="C94" s="3" t="s">
        <v>2375</v>
      </c>
      <c r="D94" s="3" t="s">
        <v>2376</v>
      </c>
      <c r="E94" s="8" t="s">
        <v>3412</v>
      </c>
    </row>
    <row r="95" spans="1:5" ht="51" x14ac:dyDescent="0.35">
      <c r="A95" s="3" t="s">
        <v>3413</v>
      </c>
      <c r="B95" s="3" t="s">
        <v>285</v>
      </c>
      <c r="C95" s="3" t="s">
        <v>2375</v>
      </c>
      <c r="D95" s="3" t="s">
        <v>2376</v>
      </c>
      <c r="E95" s="8" t="s">
        <v>3414</v>
      </c>
    </row>
    <row r="96" spans="1:5" ht="51" x14ac:dyDescent="0.35">
      <c r="A96" s="3" t="s">
        <v>3415</v>
      </c>
      <c r="B96" s="3" t="s">
        <v>287</v>
      </c>
      <c r="C96" s="3" t="s">
        <v>2375</v>
      </c>
      <c r="D96" s="3" t="s">
        <v>2376</v>
      </c>
      <c r="E96" s="8" t="s">
        <v>3416</v>
      </c>
    </row>
    <row r="97" spans="1:5" ht="51" x14ac:dyDescent="0.35">
      <c r="A97" s="3" t="s">
        <v>3417</v>
      </c>
      <c r="B97" s="3" t="s">
        <v>289</v>
      </c>
      <c r="C97" s="3" t="s">
        <v>2375</v>
      </c>
      <c r="D97" s="3" t="s">
        <v>2376</v>
      </c>
      <c r="E97" s="8" t="s">
        <v>3418</v>
      </c>
    </row>
    <row r="98" spans="1:5" ht="26" x14ac:dyDescent="0.35">
      <c r="A98" s="3" t="s">
        <v>3419</v>
      </c>
      <c r="B98" s="3" t="s">
        <v>297</v>
      </c>
      <c r="C98" s="3" t="s">
        <v>3420</v>
      </c>
      <c r="D98" s="3" t="s">
        <v>2927</v>
      </c>
      <c r="E98" s="8" t="s">
        <v>3421</v>
      </c>
    </row>
    <row r="99" spans="1:5" ht="38.5" x14ac:dyDescent="0.35">
      <c r="A99" s="3" t="s">
        <v>3422</v>
      </c>
      <c r="B99" s="3" t="s">
        <v>309</v>
      </c>
      <c r="C99" s="3" t="s">
        <v>3339</v>
      </c>
      <c r="D99" s="3" t="s">
        <v>3253</v>
      </c>
      <c r="E99" s="8" t="s">
        <v>3423</v>
      </c>
    </row>
    <row r="100" spans="1:5" ht="38.5" x14ac:dyDescent="0.35">
      <c r="A100" s="3" t="s">
        <v>3424</v>
      </c>
      <c r="B100" s="3" t="s">
        <v>311</v>
      </c>
      <c r="C100" s="3" t="s">
        <v>3425</v>
      </c>
      <c r="D100" s="3" t="s">
        <v>3020</v>
      </c>
      <c r="E100" s="8" t="s">
        <v>3426</v>
      </c>
    </row>
    <row r="101" spans="1:5" ht="38.5" x14ac:dyDescent="0.35">
      <c r="A101" s="3" t="s">
        <v>3424</v>
      </c>
      <c r="B101" s="3" t="s">
        <v>311</v>
      </c>
      <c r="C101" s="3" t="s">
        <v>3339</v>
      </c>
      <c r="D101" s="3" t="s">
        <v>3253</v>
      </c>
      <c r="E101" s="8" t="s">
        <v>3426</v>
      </c>
    </row>
    <row r="102" spans="1:5" ht="51" x14ac:dyDescent="0.35">
      <c r="A102" s="3" t="s">
        <v>3427</v>
      </c>
      <c r="B102" s="3" t="s">
        <v>315</v>
      </c>
      <c r="C102" s="3" t="s">
        <v>3428</v>
      </c>
      <c r="D102" s="3" t="s">
        <v>2555</v>
      </c>
      <c r="E102" s="8" t="s">
        <v>3429</v>
      </c>
    </row>
    <row r="103" spans="1:5" ht="26" x14ac:dyDescent="0.35">
      <c r="A103" s="3" t="s">
        <v>3430</v>
      </c>
      <c r="B103" s="3" t="s">
        <v>317</v>
      </c>
      <c r="C103" s="3" t="s">
        <v>3431</v>
      </c>
      <c r="D103" s="3" t="s">
        <v>2447</v>
      </c>
      <c r="E103" s="8" t="s">
        <v>3432</v>
      </c>
    </row>
    <row r="104" spans="1:5" ht="26" x14ac:dyDescent="0.35">
      <c r="A104" s="3" t="s">
        <v>3430</v>
      </c>
      <c r="B104" s="3" t="s">
        <v>317</v>
      </c>
      <c r="C104" s="3" t="s">
        <v>3339</v>
      </c>
      <c r="D104" s="3" t="s">
        <v>3253</v>
      </c>
      <c r="E104" s="8" t="s">
        <v>3432</v>
      </c>
    </row>
    <row r="105" spans="1:5" ht="26" x14ac:dyDescent="0.35">
      <c r="A105" s="3" t="s">
        <v>3430</v>
      </c>
      <c r="B105" s="3" t="s">
        <v>317</v>
      </c>
      <c r="C105" s="3" t="s">
        <v>3319</v>
      </c>
      <c r="D105" s="3" t="s">
        <v>3255</v>
      </c>
      <c r="E105" s="8" t="s">
        <v>3432</v>
      </c>
    </row>
    <row r="106" spans="1:5" ht="26" x14ac:dyDescent="0.35">
      <c r="A106" s="3" t="s">
        <v>3430</v>
      </c>
      <c r="B106" s="3" t="s">
        <v>317</v>
      </c>
      <c r="C106" s="3" t="s">
        <v>3321</v>
      </c>
      <c r="D106" s="3" t="s">
        <v>3257</v>
      </c>
      <c r="E106" s="8" t="s">
        <v>3432</v>
      </c>
    </row>
    <row r="107" spans="1:5" ht="51" x14ac:dyDescent="0.35">
      <c r="A107" s="3" t="s">
        <v>3433</v>
      </c>
      <c r="B107" s="3" t="s">
        <v>319</v>
      </c>
      <c r="C107" s="3" t="s">
        <v>3342</v>
      </c>
      <c r="D107" s="3" t="s">
        <v>2933</v>
      </c>
      <c r="E107" s="8" t="s">
        <v>3434</v>
      </c>
    </row>
    <row r="108" spans="1:5" ht="38.5" x14ac:dyDescent="0.35">
      <c r="A108" s="3" t="s">
        <v>3435</v>
      </c>
      <c r="B108" s="3" t="s">
        <v>323</v>
      </c>
      <c r="C108" s="3" t="s">
        <v>3436</v>
      </c>
      <c r="D108" s="3" t="s">
        <v>2609</v>
      </c>
      <c r="E108" s="8" t="s">
        <v>3437</v>
      </c>
    </row>
    <row r="109" spans="1:5" ht="38.5" x14ac:dyDescent="0.35">
      <c r="A109" s="3" t="s">
        <v>3435</v>
      </c>
      <c r="B109" s="3" t="s">
        <v>323</v>
      </c>
      <c r="C109" s="3" t="s">
        <v>3438</v>
      </c>
      <c r="D109" s="3" t="s">
        <v>2611</v>
      </c>
      <c r="E109" s="8" t="s">
        <v>3439</v>
      </c>
    </row>
    <row r="110" spans="1:5" ht="51" x14ac:dyDescent="0.35">
      <c r="A110" s="3" t="s">
        <v>3435</v>
      </c>
      <c r="B110" s="3" t="s">
        <v>323</v>
      </c>
      <c r="C110" s="3" t="s">
        <v>3440</v>
      </c>
      <c r="D110" s="3" t="s">
        <v>2615</v>
      </c>
      <c r="E110" s="8" t="s">
        <v>3441</v>
      </c>
    </row>
    <row r="111" spans="1:5" ht="26" x14ac:dyDescent="0.35">
      <c r="A111" s="3" t="s">
        <v>3435</v>
      </c>
      <c r="B111" s="3" t="s">
        <v>323</v>
      </c>
      <c r="C111" s="3" t="s">
        <v>3442</v>
      </c>
      <c r="D111" s="3" t="s">
        <v>2621</v>
      </c>
      <c r="E111" s="8" t="s">
        <v>3443</v>
      </c>
    </row>
    <row r="112" spans="1:5" ht="38.5" x14ac:dyDescent="0.35">
      <c r="A112" s="3" t="s">
        <v>3444</v>
      </c>
      <c r="B112" s="3" t="s">
        <v>325</v>
      </c>
      <c r="C112" s="3" t="s">
        <v>3438</v>
      </c>
      <c r="D112" s="3" t="s">
        <v>2611</v>
      </c>
      <c r="E112" s="8" t="s">
        <v>3445</v>
      </c>
    </row>
    <row r="113" spans="1:5" ht="38.5" x14ac:dyDescent="0.35">
      <c r="A113" s="3" t="s">
        <v>3444</v>
      </c>
      <c r="B113" s="3" t="s">
        <v>325</v>
      </c>
      <c r="C113" s="3" t="s">
        <v>3446</v>
      </c>
      <c r="D113" s="3" t="s">
        <v>2857</v>
      </c>
      <c r="E113" s="8" t="s">
        <v>3447</v>
      </c>
    </row>
    <row r="114" spans="1:5" ht="38.5" x14ac:dyDescent="0.35">
      <c r="A114" s="3" t="s">
        <v>3448</v>
      </c>
      <c r="B114" s="3" t="s">
        <v>327</v>
      </c>
      <c r="C114" s="3" t="s">
        <v>2375</v>
      </c>
      <c r="D114" s="3" t="s">
        <v>2376</v>
      </c>
      <c r="E114" s="8" t="s">
        <v>3449</v>
      </c>
    </row>
    <row r="115" spans="1:5" ht="38.5" x14ac:dyDescent="0.35">
      <c r="A115" s="3" t="s">
        <v>3450</v>
      </c>
      <c r="B115" s="3" t="s">
        <v>333</v>
      </c>
      <c r="C115" s="3" t="s">
        <v>2375</v>
      </c>
      <c r="D115" s="3" t="s">
        <v>2376</v>
      </c>
      <c r="E115" s="8" t="s">
        <v>3451</v>
      </c>
    </row>
    <row r="116" spans="1:5" ht="63.5" x14ac:dyDescent="0.35">
      <c r="A116" s="3" t="s">
        <v>3452</v>
      </c>
      <c r="B116" s="3" t="s">
        <v>335</v>
      </c>
      <c r="C116" s="3" t="s">
        <v>3453</v>
      </c>
      <c r="D116" s="3" t="s">
        <v>2641</v>
      </c>
      <c r="E116" s="8" t="s">
        <v>3454</v>
      </c>
    </row>
    <row r="117" spans="1:5" ht="38.5" x14ac:dyDescent="0.35">
      <c r="A117" s="3" t="s">
        <v>3455</v>
      </c>
      <c r="B117" s="3" t="s">
        <v>337</v>
      </c>
      <c r="C117" s="3" t="s">
        <v>3456</v>
      </c>
      <c r="D117" s="3" t="s">
        <v>2568</v>
      </c>
      <c r="E117" s="8" t="s">
        <v>3457</v>
      </c>
    </row>
    <row r="118" spans="1:5" ht="38.5" x14ac:dyDescent="0.35">
      <c r="A118" s="3" t="s">
        <v>3455</v>
      </c>
      <c r="B118" s="3" t="s">
        <v>337</v>
      </c>
      <c r="C118" s="3" t="s">
        <v>3458</v>
      </c>
      <c r="D118" s="3" t="s">
        <v>2572</v>
      </c>
      <c r="E118" s="8" t="s">
        <v>3457</v>
      </c>
    </row>
    <row r="119" spans="1:5" ht="51" x14ac:dyDescent="0.35">
      <c r="A119" s="3" t="s">
        <v>3455</v>
      </c>
      <c r="B119" s="3" t="s">
        <v>337</v>
      </c>
      <c r="C119" s="3" t="s">
        <v>3459</v>
      </c>
      <c r="D119" s="3" t="s">
        <v>2637</v>
      </c>
      <c r="E119" s="8" t="s">
        <v>3460</v>
      </c>
    </row>
    <row r="120" spans="1:5" ht="51" x14ac:dyDescent="0.35">
      <c r="A120" s="3" t="s">
        <v>3461</v>
      </c>
      <c r="B120" s="3" t="s">
        <v>339</v>
      </c>
      <c r="C120" s="3" t="s">
        <v>2375</v>
      </c>
      <c r="D120" s="3" t="s">
        <v>2376</v>
      </c>
      <c r="E120" s="8" t="s">
        <v>3462</v>
      </c>
    </row>
    <row r="121" spans="1:5" ht="26" x14ac:dyDescent="0.35">
      <c r="A121" s="3" t="s">
        <v>3463</v>
      </c>
      <c r="B121" s="3" t="s">
        <v>353</v>
      </c>
      <c r="C121" s="3" t="s">
        <v>3420</v>
      </c>
      <c r="D121" s="3" t="s">
        <v>2927</v>
      </c>
      <c r="E121" s="8" t="s">
        <v>3464</v>
      </c>
    </row>
    <row r="122" spans="1:5" ht="26" x14ac:dyDescent="0.35">
      <c r="A122" s="3" t="s">
        <v>3465</v>
      </c>
      <c r="B122" s="3" t="s">
        <v>355</v>
      </c>
      <c r="C122" s="3" t="s">
        <v>3420</v>
      </c>
      <c r="D122" s="3" t="s">
        <v>2927</v>
      </c>
      <c r="E122" s="8" t="s">
        <v>3466</v>
      </c>
    </row>
    <row r="123" spans="1:5" ht="38.5" x14ac:dyDescent="0.35">
      <c r="A123" s="3" t="s">
        <v>3467</v>
      </c>
      <c r="B123" s="3" t="s">
        <v>357</v>
      </c>
      <c r="C123" s="3" t="s">
        <v>2375</v>
      </c>
      <c r="D123" s="3" t="s">
        <v>2376</v>
      </c>
      <c r="E123" s="8" t="s">
        <v>3468</v>
      </c>
    </row>
    <row r="124" spans="1:5" ht="26" x14ac:dyDescent="0.35">
      <c r="A124" s="3" t="s">
        <v>3469</v>
      </c>
      <c r="B124" s="3" t="s">
        <v>359</v>
      </c>
      <c r="C124" s="3" t="s">
        <v>2375</v>
      </c>
      <c r="D124" s="3" t="s">
        <v>2376</v>
      </c>
      <c r="E124" s="8" t="s">
        <v>3470</v>
      </c>
    </row>
    <row r="125" spans="1:5" ht="38.5" x14ac:dyDescent="0.35">
      <c r="A125" s="3" t="s">
        <v>3471</v>
      </c>
      <c r="B125" s="3" t="s">
        <v>363</v>
      </c>
      <c r="C125" s="3" t="s">
        <v>3440</v>
      </c>
      <c r="D125" s="3" t="s">
        <v>2615</v>
      </c>
      <c r="E125" s="8" t="s">
        <v>3472</v>
      </c>
    </row>
    <row r="126" spans="1:5" ht="38.5" x14ac:dyDescent="0.35">
      <c r="A126" s="3" t="s">
        <v>3471</v>
      </c>
      <c r="B126" s="3" t="s">
        <v>363</v>
      </c>
      <c r="C126" s="3" t="s">
        <v>3420</v>
      </c>
      <c r="D126" s="3" t="s">
        <v>2927</v>
      </c>
      <c r="E126" s="8" t="s">
        <v>3472</v>
      </c>
    </row>
    <row r="127" spans="1:5" ht="38.5" x14ac:dyDescent="0.35">
      <c r="A127" s="3" t="s">
        <v>3473</v>
      </c>
      <c r="B127" s="3" t="s">
        <v>365</v>
      </c>
      <c r="C127" s="3" t="s">
        <v>2375</v>
      </c>
      <c r="D127" s="3" t="s">
        <v>2376</v>
      </c>
      <c r="E127" s="8" t="s">
        <v>3474</v>
      </c>
    </row>
    <row r="128" spans="1:5" ht="26" x14ac:dyDescent="0.35">
      <c r="A128" s="3" t="s">
        <v>3475</v>
      </c>
      <c r="B128" s="3" t="s">
        <v>367</v>
      </c>
      <c r="C128" s="3" t="s">
        <v>3476</v>
      </c>
      <c r="D128" s="3" t="s">
        <v>2607</v>
      </c>
      <c r="E128" s="8" t="s">
        <v>3477</v>
      </c>
    </row>
    <row r="129" spans="1:5" ht="26" x14ac:dyDescent="0.35">
      <c r="A129" s="3" t="s">
        <v>3475</v>
      </c>
      <c r="B129" s="3" t="s">
        <v>367</v>
      </c>
      <c r="C129" s="3" t="s">
        <v>3436</v>
      </c>
      <c r="D129" s="3" t="s">
        <v>2609</v>
      </c>
      <c r="E129" s="8" t="s">
        <v>3477</v>
      </c>
    </row>
    <row r="130" spans="1:5" ht="26" x14ac:dyDescent="0.35">
      <c r="A130" s="3" t="s">
        <v>3475</v>
      </c>
      <c r="B130" s="3" t="s">
        <v>367</v>
      </c>
      <c r="C130" s="3" t="s">
        <v>3478</v>
      </c>
      <c r="D130" s="3" t="s">
        <v>2613</v>
      </c>
      <c r="E130" s="8" t="s">
        <v>3477</v>
      </c>
    </row>
    <row r="131" spans="1:5" ht="26" x14ac:dyDescent="0.35">
      <c r="A131" s="3" t="s">
        <v>3475</v>
      </c>
      <c r="B131" s="3" t="s">
        <v>367</v>
      </c>
      <c r="C131" s="3" t="s">
        <v>3440</v>
      </c>
      <c r="D131" s="3" t="s">
        <v>2615</v>
      </c>
      <c r="E131" s="8" t="s">
        <v>3477</v>
      </c>
    </row>
    <row r="132" spans="1:5" ht="26" x14ac:dyDescent="0.35">
      <c r="A132" s="3" t="s">
        <v>3479</v>
      </c>
      <c r="B132" s="3" t="s">
        <v>369</v>
      </c>
      <c r="C132" s="3" t="s">
        <v>2375</v>
      </c>
      <c r="D132" s="3" t="s">
        <v>2376</v>
      </c>
      <c r="E132" s="8" t="s">
        <v>3480</v>
      </c>
    </row>
    <row r="133" spans="1:5" ht="26" x14ac:dyDescent="0.35">
      <c r="A133" s="3" t="s">
        <v>3481</v>
      </c>
      <c r="B133" s="3" t="s">
        <v>371</v>
      </c>
      <c r="C133" s="3" t="s">
        <v>2375</v>
      </c>
      <c r="D133" s="3" t="s">
        <v>2376</v>
      </c>
      <c r="E133" s="8" t="s">
        <v>3482</v>
      </c>
    </row>
    <row r="134" spans="1:5" ht="51" x14ac:dyDescent="0.35">
      <c r="A134" s="3" t="s">
        <v>3483</v>
      </c>
      <c r="B134" s="3" t="s">
        <v>375</v>
      </c>
      <c r="C134" s="3" t="s">
        <v>2375</v>
      </c>
      <c r="D134" s="3" t="s">
        <v>2376</v>
      </c>
      <c r="E134" s="8" t="s">
        <v>3484</v>
      </c>
    </row>
    <row r="135" spans="1:5" ht="26" x14ac:dyDescent="0.35">
      <c r="A135" s="3" t="s">
        <v>3483</v>
      </c>
      <c r="B135" s="3" t="s">
        <v>375</v>
      </c>
      <c r="C135" s="3" t="s">
        <v>3476</v>
      </c>
      <c r="D135" s="3" t="s">
        <v>2607</v>
      </c>
      <c r="E135" s="8" t="s">
        <v>3485</v>
      </c>
    </row>
    <row r="136" spans="1:5" ht="38.5" x14ac:dyDescent="0.35">
      <c r="A136" s="3" t="s">
        <v>3486</v>
      </c>
      <c r="B136" s="3" t="s">
        <v>405</v>
      </c>
      <c r="C136" s="3" t="s">
        <v>3487</v>
      </c>
      <c r="D136" s="3" t="s">
        <v>3234</v>
      </c>
      <c r="E136" s="8" t="s">
        <v>3488</v>
      </c>
    </row>
    <row r="137" spans="1:5" ht="51" x14ac:dyDescent="0.35">
      <c r="A137" s="3" t="s">
        <v>3489</v>
      </c>
      <c r="B137" s="3" t="s">
        <v>411</v>
      </c>
      <c r="C137" s="3" t="s">
        <v>3401</v>
      </c>
      <c r="D137" s="3" t="s">
        <v>2939</v>
      </c>
      <c r="E137" s="8" t="s">
        <v>3490</v>
      </c>
    </row>
    <row r="138" spans="1:5" ht="51" x14ac:dyDescent="0.35">
      <c r="A138" s="3" t="s">
        <v>3489</v>
      </c>
      <c r="B138" s="3" t="s">
        <v>411</v>
      </c>
      <c r="C138" s="3" t="s">
        <v>3491</v>
      </c>
      <c r="D138" s="3" t="s">
        <v>2941</v>
      </c>
      <c r="E138" s="8" t="s">
        <v>3490</v>
      </c>
    </row>
    <row r="139" spans="1:5" ht="51" x14ac:dyDescent="0.35">
      <c r="A139" s="3" t="s">
        <v>3489</v>
      </c>
      <c r="B139" s="3" t="s">
        <v>411</v>
      </c>
      <c r="C139" s="3" t="s">
        <v>3492</v>
      </c>
      <c r="D139" s="3" t="s">
        <v>3018</v>
      </c>
      <c r="E139" s="8" t="s">
        <v>3490</v>
      </c>
    </row>
    <row r="140" spans="1:5" ht="51" x14ac:dyDescent="0.35">
      <c r="A140" s="3" t="s">
        <v>3489</v>
      </c>
      <c r="B140" s="3" t="s">
        <v>411</v>
      </c>
      <c r="C140" s="3" t="s">
        <v>3425</v>
      </c>
      <c r="D140" s="3" t="s">
        <v>3020</v>
      </c>
      <c r="E140" s="8" t="s">
        <v>3490</v>
      </c>
    </row>
    <row r="141" spans="1:5" ht="38.5" x14ac:dyDescent="0.35">
      <c r="A141" s="3" t="s">
        <v>3489</v>
      </c>
      <c r="B141" s="3" t="s">
        <v>411</v>
      </c>
      <c r="C141" s="3" t="s">
        <v>3319</v>
      </c>
      <c r="D141" s="3" t="s">
        <v>3255</v>
      </c>
      <c r="E141" s="8" t="s">
        <v>3493</v>
      </c>
    </row>
    <row r="142" spans="1:5" ht="38.5" x14ac:dyDescent="0.35">
      <c r="A142" s="3" t="s">
        <v>3489</v>
      </c>
      <c r="B142" s="3" t="s">
        <v>411</v>
      </c>
      <c r="C142" s="3" t="s">
        <v>3321</v>
      </c>
      <c r="D142" s="3" t="s">
        <v>3257</v>
      </c>
      <c r="E142" s="8" t="s">
        <v>3493</v>
      </c>
    </row>
    <row r="143" spans="1:5" ht="51" x14ac:dyDescent="0.35">
      <c r="A143" s="3" t="s">
        <v>3494</v>
      </c>
      <c r="B143" s="3" t="s">
        <v>413</v>
      </c>
      <c r="C143" s="3" t="s">
        <v>3401</v>
      </c>
      <c r="D143" s="3" t="s">
        <v>2939</v>
      </c>
      <c r="E143" s="8" t="s">
        <v>3495</v>
      </c>
    </row>
    <row r="144" spans="1:5" ht="51" x14ac:dyDescent="0.35">
      <c r="A144" s="3" t="s">
        <v>3494</v>
      </c>
      <c r="B144" s="3" t="s">
        <v>413</v>
      </c>
      <c r="C144" s="3" t="s">
        <v>3491</v>
      </c>
      <c r="D144" s="3" t="s">
        <v>2941</v>
      </c>
      <c r="E144" s="8" t="s">
        <v>3495</v>
      </c>
    </row>
    <row r="145" spans="1:5" ht="51" x14ac:dyDescent="0.35">
      <c r="A145" s="3" t="s">
        <v>3494</v>
      </c>
      <c r="B145" s="3" t="s">
        <v>413</v>
      </c>
      <c r="C145" s="3" t="s">
        <v>3492</v>
      </c>
      <c r="D145" s="3" t="s">
        <v>3018</v>
      </c>
      <c r="E145" s="8" t="s">
        <v>3495</v>
      </c>
    </row>
    <row r="146" spans="1:5" ht="51" x14ac:dyDescent="0.35">
      <c r="A146" s="3" t="s">
        <v>3494</v>
      </c>
      <c r="B146" s="3" t="s">
        <v>413</v>
      </c>
      <c r="C146" s="3" t="s">
        <v>3425</v>
      </c>
      <c r="D146" s="3" t="s">
        <v>3020</v>
      </c>
      <c r="E146" s="8" t="s">
        <v>3495</v>
      </c>
    </row>
    <row r="147" spans="1:5" ht="51" x14ac:dyDescent="0.35">
      <c r="A147" s="3" t="s">
        <v>3494</v>
      </c>
      <c r="B147" s="3" t="s">
        <v>413</v>
      </c>
      <c r="C147" s="3" t="s">
        <v>3496</v>
      </c>
      <c r="D147" s="3" t="s">
        <v>3022</v>
      </c>
      <c r="E147" s="8" t="s">
        <v>3495</v>
      </c>
    </row>
    <row r="148" spans="1:5" ht="26" x14ac:dyDescent="0.35">
      <c r="A148" s="3" t="s">
        <v>3497</v>
      </c>
      <c r="B148" s="3" t="s">
        <v>429</v>
      </c>
      <c r="C148" s="3" t="s">
        <v>3498</v>
      </c>
      <c r="D148" s="3" t="s">
        <v>2550</v>
      </c>
      <c r="E148" s="8" t="s">
        <v>3499</v>
      </c>
    </row>
    <row r="149" spans="1:5" ht="38.5" x14ac:dyDescent="0.35">
      <c r="A149" s="3" t="s">
        <v>3500</v>
      </c>
      <c r="B149" s="3" t="s">
        <v>435</v>
      </c>
      <c r="C149" s="3" t="s">
        <v>2375</v>
      </c>
      <c r="D149" s="3" t="s">
        <v>2376</v>
      </c>
      <c r="E149" s="8" t="s">
        <v>3501</v>
      </c>
    </row>
    <row r="150" spans="1:5" ht="38.5" x14ac:dyDescent="0.35">
      <c r="A150" s="3" t="s">
        <v>3500</v>
      </c>
      <c r="B150" s="3" t="s">
        <v>435</v>
      </c>
      <c r="C150" s="3" t="s">
        <v>3487</v>
      </c>
      <c r="D150" s="3" t="s">
        <v>3234</v>
      </c>
      <c r="E150" s="8" t="s">
        <v>3502</v>
      </c>
    </row>
    <row r="151" spans="1:5" ht="26" x14ac:dyDescent="0.35">
      <c r="A151" s="3" t="s">
        <v>3503</v>
      </c>
      <c r="B151" s="3" t="s">
        <v>439</v>
      </c>
      <c r="C151" s="3" t="s">
        <v>3331</v>
      </c>
      <c r="D151" s="3" t="s">
        <v>2935</v>
      </c>
      <c r="E151" s="8" t="s">
        <v>3504</v>
      </c>
    </row>
    <row r="152" spans="1:5" ht="38.5" x14ac:dyDescent="0.35">
      <c r="A152" s="3" t="s">
        <v>3505</v>
      </c>
      <c r="B152" s="3" t="s">
        <v>445</v>
      </c>
      <c r="C152" s="3" t="s">
        <v>3331</v>
      </c>
      <c r="D152" s="3" t="s">
        <v>2935</v>
      </c>
      <c r="E152" s="8" t="s">
        <v>3506</v>
      </c>
    </row>
    <row r="153" spans="1:5" ht="26" x14ac:dyDescent="0.35">
      <c r="A153" s="3" t="s">
        <v>3507</v>
      </c>
      <c r="B153" s="3" t="s">
        <v>447</v>
      </c>
      <c r="C153" s="3" t="s">
        <v>2375</v>
      </c>
      <c r="D153" s="3" t="s">
        <v>2376</v>
      </c>
      <c r="E153" s="8" t="s">
        <v>3508</v>
      </c>
    </row>
    <row r="154" spans="1:5" ht="26" x14ac:dyDescent="0.35">
      <c r="A154" s="3" t="s">
        <v>3509</v>
      </c>
      <c r="B154" s="3" t="s">
        <v>453</v>
      </c>
      <c r="C154" s="3" t="s">
        <v>3492</v>
      </c>
      <c r="D154" s="3" t="s">
        <v>3018</v>
      </c>
      <c r="E154" s="8" t="s">
        <v>3510</v>
      </c>
    </row>
    <row r="155" spans="1:5" ht="26" x14ac:dyDescent="0.35">
      <c r="A155" s="3" t="s">
        <v>3511</v>
      </c>
      <c r="B155" s="3" t="s">
        <v>455</v>
      </c>
      <c r="C155" s="3" t="s">
        <v>3492</v>
      </c>
      <c r="D155" s="3" t="s">
        <v>3018</v>
      </c>
      <c r="E155" s="8" t="s">
        <v>3510</v>
      </c>
    </row>
    <row r="156" spans="1:5" ht="38.5" x14ac:dyDescent="0.35">
      <c r="A156" s="3" t="s">
        <v>3512</v>
      </c>
      <c r="B156" s="3" t="s">
        <v>471</v>
      </c>
      <c r="C156" s="3" t="s">
        <v>2375</v>
      </c>
      <c r="D156" s="3" t="s">
        <v>2376</v>
      </c>
      <c r="E156" s="8" t="s">
        <v>3513</v>
      </c>
    </row>
    <row r="157" spans="1:5" ht="26" x14ac:dyDescent="0.35">
      <c r="A157" s="3" t="s">
        <v>3514</v>
      </c>
      <c r="B157" s="3" t="s">
        <v>491</v>
      </c>
      <c r="C157" s="3" t="s">
        <v>3515</v>
      </c>
      <c r="D157" s="3" t="s">
        <v>2401</v>
      </c>
      <c r="E157" s="8" t="s">
        <v>3516</v>
      </c>
    </row>
    <row r="158" spans="1:5" ht="26" x14ac:dyDescent="0.35">
      <c r="A158" s="3" t="s">
        <v>3514</v>
      </c>
      <c r="B158" s="3" t="s">
        <v>491</v>
      </c>
      <c r="C158" s="3" t="s">
        <v>3517</v>
      </c>
      <c r="D158" s="3" t="s">
        <v>2411</v>
      </c>
      <c r="E158" s="8" t="s">
        <v>3516</v>
      </c>
    </row>
    <row r="159" spans="1:5" ht="26" x14ac:dyDescent="0.35">
      <c r="A159" s="3" t="s">
        <v>3518</v>
      </c>
      <c r="B159" s="3" t="s">
        <v>493</v>
      </c>
      <c r="C159" s="3" t="s">
        <v>3515</v>
      </c>
      <c r="D159" s="3" t="s">
        <v>2401</v>
      </c>
      <c r="E159" s="8" t="s">
        <v>3516</v>
      </c>
    </row>
    <row r="160" spans="1:5" ht="26" x14ac:dyDescent="0.35">
      <c r="A160" s="3" t="s">
        <v>3518</v>
      </c>
      <c r="B160" s="3" t="s">
        <v>493</v>
      </c>
      <c r="C160" s="3" t="s">
        <v>3517</v>
      </c>
      <c r="D160" s="3" t="s">
        <v>2411</v>
      </c>
      <c r="E160" s="8" t="s">
        <v>3516</v>
      </c>
    </row>
    <row r="161" spans="1:5" ht="38.5" x14ac:dyDescent="0.35">
      <c r="A161" s="3" t="s">
        <v>3519</v>
      </c>
      <c r="B161" s="3" t="s">
        <v>497</v>
      </c>
      <c r="C161" s="3" t="s">
        <v>3331</v>
      </c>
      <c r="D161" s="3" t="s">
        <v>2935</v>
      </c>
      <c r="E161" s="8" t="s">
        <v>3520</v>
      </c>
    </row>
    <row r="162" spans="1:5" ht="51" x14ac:dyDescent="0.35">
      <c r="A162" s="3" t="s">
        <v>3521</v>
      </c>
      <c r="B162" s="3" t="s">
        <v>503</v>
      </c>
      <c r="C162" s="3" t="s">
        <v>3522</v>
      </c>
      <c r="D162" s="3" t="s">
        <v>2929</v>
      </c>
      <c r="E162" s="8" t="s">
        <v>3523</v>
      </c>
    </row>
    <row r="163" spans="1:5" ht="51" x14ac:dyDescent="0.35">
      <c r="A163" s="3" t="s">
        <v>3521</v>
      </c>
      <c r="B163" s="3" t="s">
        <v>503</v>
      </c>
      <c r="C163" s="3" t="s">
        <v>3524</v>
      </c>
      <c r="D163" s="3" t="s">
        <v>3081</v>
      </c>
      <c r="E163" s="8" t="s">
        <v>3523</v>
      </c>
    </row>
    <row r="164" spans="1:5" ht="51" x14ac:dyDescent="0.35">
      <c r="A164" s="3" t="s">
        <v>3521</v>
      </c>
      <c r="B164" s="3" t="s">
        <v>503</v>
      </c>
      <c r="C164" s="3" t="s">
        <v>3339</v>
      </c>
      <c r="D164" s="3" t="s">
        <v>3253</v>
      </c>
      <c r="E164" s="8" t="s">
        <v>3523</v>
      </c>
    </row>
    <row r="165" spans="1:5" ht="51" x14ac:dyDescent="0.35">
      <c r="A165" s="3" t="s">
        <v>3521</v>
      </c>
      <c r="B165" s="3" t="s">
        <v>503</v>
      </c>
      <c r="C165" s="3" t="s">
        <v>3319</v>
      </c>
      <c r="D165" s="3" t="s">
        <v>3255</v>
      </c>
      <c r="E165" s="8" t="s">
        <v>3523</v>
      </c>
    </row>
    <row r="166" spans="1:5" ht="51" x14ac:dyDescent="0.35">
      <c r="A166" s="3" t="s">
        <v>3521</v>
      </c>
      <c r="B166" s="3" t="s">
        <v>503</v>
      </c>
      <c r="C166" s="3" t="s">
        <v>3321</v>
      </c>
      <c r="D166" s="3" t="s">
        <v>3257</v>
      </c>
      <c r="E166" s="8" t="s">
        <v>3523</v>
      </c>
    </row>
    <row r="167" spans="1:5" ht="51" x14ac:dyDescent="0.35">
      <c r="A167" s="3" t="s">
        <v>3525</v>
      </c>
      <c r="B167" s="3" t="s">
        <v>509</v>
      </c>
      <c r="C167" s="3" t="s">
        <v>2375</v>
      </c>
      <c r="D167" s="3" t="s">
        <v>2376</v>
      </c>
      <c r="E167" s="8" t="s">
        <v>3526</v>
      </c>
    </row>
    <row r="168" spans="1:5" ht="51" x14ac:dyDescent="0.35">
      <c r="A168" s="3" t="s">
        <v>3527</v>
      </c>
      <c r="B168" s="3" t="s">
        <v>511</v>
      </c>
      <c r="C168" s="3" t="s">
        <v>2375</v>
      </c>
      <c r="D168" s="3" t="s">
        <v>2376</v>
      </c>
      <c r="E168" s="8" t="s">
        <v>3526</v>
      </c>
    </row>
    <row r="169" spans="1:5" ht="26" x14ac:dyDescent="0.35">
      <c r="A169" s="3" t="s">
        <v>3528</v>
      </c>
      <c r="B169" s="3" t="s">
        <v>517</v>
      </c>
      <c r="C169" s="3" t="s">
        <v>3492</v>
      </c>
      <c r="D169" s="3" t="s">
        <v>3018</v>
      </c>
      <c r="E169" s="8" t="s">
        <v>3529</v>
      </c>
    </row>
    <row r="170" spans="1:5" ht="26" x14ac:dyDescent="0.35">
      <c r="A170" s="3" t="s">
        <v>3528</v>
      </c>
      <c r="B170" s="3" t="s">
        <v>517</v>
      </c>
      <c r="C170" s="3" t="s">
        <v>3425</v>
      </c>
      <c r="D170" s="3" t="s">
        <v>3020</v>
      </c>
      <c r="E170" s="8" t="s">
        <v>3530</v>
      </c>
    </row>
    <row r="171" spans="1:5" ht="38.5" x14ac:dyDescent="0.35">
      <c r="A171" s="3" t="s">
        <v>3531</v>
      </c>
      <c r="B171" s="3" t="s">
        <v>523</v>
      </c>
      <c r="C171" s="3" t="s">
        <v>3491</v>
      </c>
      <c r="D171" s="3" t="s">
        <v>2941</v>
      </c>
      <c r="E171" s="8" t="s">
        <v>3532</v>
      </c>
    </row>
    <row r="172" spans="1:5" ht="26" x14ac:dyDescent="0.35">
      <c r="A172" s="3" t="s">
        <v>3531</v>
      </c>
      <c r="B172" s="3" t="s">
        <v>523</v>
      </c>
      <c r="C172" s="3" t="s">
        <v>3533</v>
      </c>
      <c r="D172" s="3" t="s">
        <v>3071</v>
      </c>
      <c r="E172" s="8" t="s">
        <v>3534</v>
      </c>
    </row>
    <row r="173" spans="1:5" ht="63.5" x14ac:dyDescent="0.35">
      <c r="A173" s="3" t="s">
        <v>3535</v>
      </c>
      <c r="B173" s="3" t="s">
        <v>545</v>
      </c>
      <c r="C173" s="3" t="s">
        <v>2375</v>
      </c>
      <c r="D173" s="3" t="s">
        <v>2376</v>
      </c>
      <c r="E173" s="8" t="s">
        <v>3536</v>
      </c>
    </row>
    <row r="174" spans="1:5" ht="26" x14ac:dyDescent="0.35">
      <c r="A174" s="3" t="s">
        <v>3537</v>
      </c>
      <c r="B174" s="3" t="s">
        <v>553</v>
      </c>
      <c r="C174" s="3" t="s">
        <v>3538</v>
      </c>
      <c r="D174" s="3" t="s">
        <v>3003</v>
      </c>
      <c r="E174" s="8" t="s">
        <v>3539</v>
      </c>
    </row>
    <row r="175" spans="1:5" ht="38.5" x14ac:dyDescent="0.35">
      <c r="A175" s="3" t="s">
        <v>3540</v>
      </c>
      <c r="B175" s="3" t="s">
        <v>561</v>
      </c>
      <c r="C175" s="3" t="s">
        <v>2375</v>
      </c>
      <c r="D175" s="3" t="s">
        <v>2376</v>
      </c>
      <c r="E175" s="8" t="s">
        <v>3541</v>
      </c>
    </row>
    <row r="176" spans="1:5" ht="38.5" x14ac:dyDescent="0.35">
      <c r="A176" s="3" t="s">
        <v>3540</v>
      </c>
      <c r="B176" s="3" t="s">
        <v>561</v>
      </c>
      <c r="C176" s="3" t="s">
        <v>3542</v>
      </c>
      <c r="D176" s="3" t="s">
        <v>2921</v>
      </c>
      <c r="E176" s="8" t="s">
        <v>3543</v>
      </c>
    </row>
    <row r="177" spans="1:5" ht="38.5" x14ac:dyDescent="0.35">
      <c r="A177" s="3" t="s">
        <v>3544</v>
      </c>
      <c r="B177" s="3" t="s">
        <v>579</v>
      </c>
      <c r="C177" s="3" t="s">
        <v>3542</v>
      </c>
      <c r="D177" s="3" t="s">
        <v>2921</v>
      </c>
      <c r="E177" s="8" t="s">
        <v>3545</v>
      </c>
    </row>
    <row r="178" spans="1:5" ht="38.5" x14ac:dyDescent="0.35">
      <c r="A178" s="3" t="s">
        <v>3546</v>
      </c>
      <c r="B178" s="3" t="s">
        <v>581</v>
      </c>
      <c r="C178" s="3" t="s">
        <v>3542</v>
      </c>
      <c r="D178" s="3" t="s">
        <v>2921</v>
      </c>
      <c r="E178" s="8" t="s">
        <v>3545</v>
      </c>
    </row>
    <row r="179" spans="1:5" ht="26" x14ac:dyDescent="0.35">
      <c r="A179" s="3" t="s">
        <v>3547</v>
      </c>
      <c r="B179" s="3" t="s">
        <v>585</v>
      </c>
      <c r="C179" s="3" t="s">
        <v>3548</v>
      </c>
      <c r="D179" s="3" t="s">
        <v>3010</v>
      </c>
      <c r="E179" s="8" t="s">
        <v>3549</v>
      </c>
    </row>
    <row r="180" spans="1:5" ht="26" x14ac:dyDescent="0.35">
      <c r="A180" s="3" t="s">
        <v>3547</v>
      </c>
      <c r="B180" s="3" t="s">
        <v>585</v>
      </c>
      <c r="C180" s="3" t="s">
        <v>3425</v>
      </c>
      <c r="D180" s="3" t="s">
        <v>3020</v>
      </c>
      <c r="E180" s="8" t="s">
        <v>3550</v>
      </c>
    </row>
    <row r="181" spans="1:5" ht="38.5" x14ac:dyDescent="0.35">
      <c r="A181" s="3" t="s">
        <v>3551</v>
      </c>
      <c r="B181" s="3" t="s">
        <v>589</v>
      </c>
      <c r="C181" s="3" t="s">
        <v>3425</v>
      </c>
      <c r="D181" s="3" t="s">
        <v>3020</v>
      </c>
      <c r="E181" s="8" t="s">
        <v>3552</v>
      </c>
    </row>
    <row r="182" spans="1:5" ht="26" x14ac:dyDescent="0.35">
      <c r="A182" s="3" t="s">
        <v>3553</v>
      </c>
      <c r="B182" s="3" t="s">
        <v>597</v>
      </c>
      <c r="C182" s="3" t="s">
        <v>2375</v>
      </c>
      <c r="D182" s="3" t="s">
        <v>2376</v>
      </c>
      <c r="E182" s="8" t="s">
        <v>3554</v>
      </c>
    </row>
    <row r="183" spans="1:5" ht="26" x14ac:dyDescent="0.35">
      <c r="A183" s="3" t="s">
        <v>3555</v>
      </c>
      <c r="B183" s="3" t="s">
        <v>603</v>
      </c>
      <c r="C183" s="3" t="s">
        <v>2375</v>
      </c>
      <c r="D183" s="3" t="s">
        <v>2376</v>
      </c>
      <c r="E183" s="8" t="s">
        <v>3556</v>
      </c>
    </row>
    <row r="184" spans="1:5" ht="26" x14ac:dyDescent="0.35">
      <c r="A184" s="3" t="s">
        <v>3557</v>
      </c>
      <c r="B184" s="3" t="s">
        <v>629</v>
      </c>
      <c r="C184" s="3" t="s">
        <v>3425</v>
      </c>
      <c r="D184" s="3" t="s">
        <v>3020</v>
      </c>
      <c r="E184" s="8" t="s">
        <v>3558</v>
      </c>
    </row>
    <row r="185" spans="1:5" ht="26" x14ac:dyDescent="0.35">
      <c r="A185" s="3" t="s">
        <v>3559</v>
      </c>
      <c r="B185" s="3" t="s">
        <v>637</v>
      </c>
      <c r="C185" s="3" t="s">
        <v>2375</v>
      </c>
      <c r="D185" s="3" t="s">
        <v>2376</v>
      </c>
      <c r="E185" s="8" t="s">
        <v>3560</v>
      </c>
    </row>
    <row r="186" spans="1:5" ht="26" x14ac:dyDescent="0.35">
      <c r="A186" s="3" t="s">
        <v>3559</v>
      </c>
      <c r="B186" s="3" t="s">
        <v>637</v>
      </c>
      <c r="C186" s="3" t="s">
        <v>3548</v>
      </c>
      <c r="D186" s="3" t="s">
        <v>3010</v>
      </c>
      <c r="E186" s="8" t="s">
        <v>3560</v>
      </c>
    </row>
    <row r="187" spans="1:5" ht="26" x14ac:dyDescent="0.35">
      <c r="A187" s="3" t="s">
        <v>3559</v>
      </c>
      <c r="B187" s="3" t="s">
        <v>637</v>
      </c>
      <c r="C187" s="3" t="s">
        <v>3492</v>
      </c>
      <c r="D187" s="3" t="s">
        <v>3018</v>
      </c>
      <c r="E187" s="8" t="s">
        <v>3560</v>
      </c>
    </row>
    <row r="188" spans="1:5" ht="26" x14ac:dyDescent="0.35">
      <c r="A188" s="3" t="s">
        <v>3559</v>
      </c>
      <c r="B188" s="3" t="s">
        <v>637</v>
      </c>
      <c r="C188" s="3" t="s">
        <v>3561</v>
      </c>
      <c r="D188" s="3" t="s">
        <v>3037</v>
      </c>
      <c r="E188" s="8" t="s">
        <v>3560</v>
      </c>
    </row>
    <row r="189" spans="1:5" ht="26" x14ac:dyDescent="0.35">
      <c r="A189" s="3" t="s">
        <v>3562</v>
      </c>
      <c r="B189" s="3" t="s">
        <v>639</v>
      </c>
      <c r="C189" s="3" t="s">
        <v>2375</v>
      </c>
      <c r="D189" s="3" t="s">
        <v>2376</v>
      </c>
      <c r="E189" s="8" t="s">
        <v>3563</v>
      </c>
    </row>
    <row r="190" spans="1:5" ht="26" x14ac:dyDescent="0.35">
      <c r="A190" s="3" t="s">
        <v>3562</v>
      </c>
      <c r="B190" s="3" t="s">
        <v>639</v>
      </c>
      <c r="C190" s="3" t="s">
        <v>3548</v>
      </c>
      <c r="D190" s="3" t="s">
        <v>3010</v>
      </c>
      <c r="E190" s="8" t="s">
        <v>3563</v>
      </c>
    </row>
    <row r="191" spans="1:5" ht="26" x14ac:dyDescent="0.35">
      <c r="A191" s="3" t="s">
        <v>3562</v>
      </c>
      <c r="B191" s="3" t="s">
        <v>639</v>
      </c>
      <c r="C191" s="3" t="s">
        <v>3561</v>
      </c>
      <c r="D191" s="3" t="s">
        <v>3037</v>
      </c>
      <c r="E191" s="8" t="s">
        <v>3564</v>
      </c>
    </row>
    <row r="192" spans="1:5" ht="38.5" x14ac:dyDescent="0.35">
      <c r="A192" s="3" t="s">
        <v>3565</v>
      </c>
      <c r="B192" s="3" t="s">
        <v>661</v>
      </c>
      <c r="C192" s="3" t="s">
        <v>3425</v>
      </c>
      <c r="D192" s="3" t="s">
        <v>3020</v>
      </c>
      <c r="E192" s="8" t="s">
        <v>3566</v>
      </c>
    </row>
    <row r="193" spans="1:5" ht="38.5" x14ac:dyDescent="0.35">
      <c r="A193" s="3" t="s">
        <v>3567</v>
      </c>
      <c r="B193" s="3" t="s">
        <v>663</v>
      </c>
      <c r="C193" s="3" t="s">
        <v>3425</v>
      </c>
      <c r="D193" s="3" t="s">
        <v>3020</v>
      </c>
      <c r="E193" s="8" t="s">
        <v>3568</v>
      </c>
    </row>
    <row r="194" spans="1:5" ht="38.5" x14ac:dyDescent="0.35">
      <c r="A194" s="3" t="s">
        <v>3569</v>
      </c>
      <c r="B194" s="3" t="s">
        <v>665</v>
      </c>
      <c r="C194" s="3" t="s">
        <v>3425</v>
      </c>
      <c r="D194" s="3" t="s">
        <v>3020</v>
      </c>
      <c r="E194" s="8" t="s">
        <v>3568</v>
      </c>
    </row>
    <row r="195" spans="1:5" ht="51" x14ac:dyDescent="0.35">
      <c r="A195" s="3" t="s">
        <v>3570</v>
      </c>
      <c r="B195" s="3" t="s">
        <v>675</v>
      </c>
      <c r="C195" s="3" t="s">
        <v>3548</v>
      </c>
      <c r="D195" s="3" t="s">
        <v>3010</v>
      </c>
      <c r="E195" s="8" t="s">
        <v>3571</v>
      </c>
    </row>
    <row r="196" spans="1:5" ht="51" x14ac:dyDescent="0.35">
      <c r="A196" s="3" t="s">
        <v>3570</v>
      </c>
      <c r="B196" s="3" t="s">
        <v>675</v>
      </c>
      <c r="C196" s="3" t="s">
        <v>3572</v>
      </c>
      <c r="D196" s="3" t="s">
        <v>3012</v>
      </c>
      <c r="E196" s="8" t="s">
        <v>3571</v>
      </c>
    </row>
    <row r="197" spans="1:5" ht="51" x14ac:dyDescent="0.35">
      <c r="A197" s="3" t="s">
        <v>3570</v>
      </c>
      <c r="B197" s="3" t="s">
        <v>675</v>
      </c>
      <c r="C197" s="3" t="s">
        <v>3573</v>
      </c>
      <c r="D197" s="3" t="s">
        <v>3014</v>
      </c>
      <c r="E197" s="8" t="s">
        <v>3571</v>
      </c>
    </row>
    <row r="198" spans="1:5" ht="38.5" x14ac:dyDescent="0.35">
      <c r="A198" s="3" t="s">
        <v>3574</v>
      </c>
      <c r="B198" s="3" t="s">
        <v>677</v>
      </c>
      <c r="C198" s="3" t="s">
        <v>3548</v>
      </c>
      <c r="D198" s="3" t="s">
        <v>3010</v>
      </c>
      <c r="E198" s="8" t="s">
        <v>3575</v>
      </c>
    </row>
    <row r="199" spans="1:5" ht="26" x14ac:dyDescent="0.35">
      <c r="A199" s="3" t="s">
        <v>3576</v>
      </c>
      <c r="B199" s="3" t="s">
        <v>683</v>
      </c>
      <c r="C199" s="3" t="s">
        <v>3577</v>
      </c>
      <c r="D199" s="3" t="s">
        <v>3144</v>
      </c>
      <c r="E199" s="8" t="s">
        <v>3578</v>
      </c>
    </row>
    <row r="200" spans="1:5" ht="38.5" x14ac:dyDescent="0.35">
      <c r="A200" s="3" t="s">
        <v>3579</v>
      </c>
      <c r="B200" s="3" t="s">
        <v>715</v>
      </c>
      <c r="C200" s="3" t="s">
        <v>2375</v>
      </c>
      <c r="D200" s="3" t="s">
        <v>2376</v>
      </c>
      <c r="E200" s="8" t="s">
        <v>3580</v>
      </c>
    </row>
    <row r="201" spans="1:5" ht="38.5" x14ac:dyDescent="0.35">
      <c r="A201" s="3" t="s">
        <v>3581</v>
      </c>
      <c r="B201" s="3" t="s">
        <v>719</v>
      </c>
      <c r="C201" s="3" t="s">
        <v>3538</v>
      </c>
      <c r="D201" s="3" t="s">
        <v>3003</v>
      </c>
      <c r="E201" s="8" t="s">
        <v>3582</v>
      </c>
    </row>
    <row r="202" spans="1:5" ht="51" x14ac:dyDescent="0.35">
      <c r="A202" s="3" t="s">
        <v>3583</v>
      </c>
      <c r="B202" s="3" t="s">
        <v>721</v>
      </c>
      <c r="C202" s="3" t="s">
        <v>3584</v>
      </c>
      <c r="D202" s="3" t="s">
        <v>3053</v>
      </c>
      <c r="E202" s="8" t="s">
        <v>3585</v>
      </c>
    </row>
    <row r="203" spans="1:5" ht="26" x14ac:dyDescent="0.35">
      <c r="A203" s="3" t="s">
        <v>3586</v>
      </c>
      <c r="B203" s="3" t="s">
        <v>737</v>
      </c>
      <c r="C203" s="3" t="s">
        <v>3587</v>
      </c>
      <c r="D203" s="3" t="s">
        <v>2861</v>
      </c>
      <c r="E203" s="8" t="s">
        <v>3588</v>
      </c>
    </row>
    <row r="204" spans="1:5" ht="26" x14ac:dyDescent="0.35">
      <c r="A204" s="3" t="s">
        <v>3586</v>
      </c>
      <c r="B204" s="3" t="s">
        <v>737</v>
      </c>
      <c r="C204" s="3" t="s">
        <v>3538</v>
      </c>
      <c r="D204" s="3" t="s">
        <v>3003</v>
      </c>
      <c r="E204" s="8" t="s">
        <v>3588</v>
      </c>
    </row>
    <row r="205" spans="1:5" ht="26" x14ac:dyDescent="0.35">
      <c r="A205" s="3" t="s">
        <v>3586</v>
      </c>
      <c r="B205" s="3" t="s">
        <v>737</v>
      </c>
      <c r="C205" s="3" t="s">
        <v>3572</v>
      </c>
      <c r="D205" s="3" t="s">
        <v>3012</v>
      </c>
      <c r="E205" s="8" t="s">
        <v>3588</v>
      </c>
    </row>
    <row r="206" spans="1:5" ht="26" x14ac:dyDescent="0.35">
      <c r="A206" s="3" t="s">
        <v>3586</v>
      </c>
      <c r="B206" s="3" t="s">
        <v>737</v>
      </c>
      <c r="C206" s="3" t="s">
        <v>3573</v>
      </c>
      <c r="D206" s="3" t="s">
        <v>3014</v>
      </c>
      <c r="E206" s="8" t="s">
        <v>3588</v>
      </c>
    </row>
    <row r="207" spans="1:5" ht="26" x14ac:dyDescent="0.35">
      <c r="A207" s="3" t="s">
        <v>3586</v>
      </c>
      <c r="B207" s="3" t="s">
        <v>737</v>
      </c>
      <c r="C207" s="3" t="s">
        <v>3492</v>
      </c>
      <c r="D207" s="3" t="s">
        <v>3018</v>
      </c>
      <c r="E207" s="8" t="s">
        <v>3588</v>
      </c>
    </row>
    <row r="208" spans="1:5" ht="26" x14ac:dyDescent="0.35">
      <c r="A208" s="3" t="s">
        <v>3586</v>
      </c>
      <c r="B208" s="3" t="s">
        <v>737</v>
      </c>
      <c r="C208" s="3" t="s">
        <v>3425</v>
      </c>
      <c r="D208" s="3" t="s">
        <v>3020</v>
      </c>
      <c r="E208" s="8" t="s">
        <v>3588</v>
      </c>
    </row>
    <row r="209" spans="1:5" ht="26" x14ac:dyDescent="0.35">
      <c r="A209" s="3" t="s">
        <v>3586</v>
      </c>
      <c r="B209" s="3" t="s">
        <v>737</v>
      </c>
      <c r="C209" s="3" t="s">
        <v>3321</v>
      </c>
      <c r="D209" s="3" t="s">
        <v>3257</v>
      </c>
      <c r="E209" s="8" t="s">
        <v>3588</v>
      </c>
    </row>
    <row r="210" spans="1:5" ht="38.5" x14ac:dyDescent="0.35">
      <c r="A210" s="3" t="s">
        <v>3589</v>
      </c>
      <c r="B210" s="3" t="s">
        <v>741</v>
      </c>
      <c r="C210" s="3" t="s">
        <v>2375</v>
      </c>
      <c r="D210" s="3" t="s">
        <v>2376</v>
      </c>
      <c r="E210" s="8" t="s">
        <v>3590</v>
      </c>
    </row>
    <row r="211" spans="1:5" ht="26" x14ac:dyDescent="0.35">
      <c r="A211" s="3" t="s">
        <v>3591</v>
      </c>
      <c r="B211" s="3" t="s">
        <v>763</v>
      </c>
      <c r="C211" s="3" t="s">
        <v>3592</v>
      </c>
      <c r="D211" s="3" t="s">
        <v>2853</v>
      </c>
      <c r="E211" s="8" t="s">
        <v>3593</v>
      </c>
    </row>
    <row r="212" spans="1:5" ht="26" x14ac:dyDescent="0.35">
      <c r="A212" s="3" t="s">
        <v>3591</v>
      </c>
      <c r="B212" s="3" t="s">
        <v>763</v>
      </c>
      <c r="C212" s="3" t="s">
        <v>3594</v>
      </c>
      <c r="D212" s="3" t="s">
        <v>2855</v>
      </c>
      <c r="E212" s="8" t="s">
        <v>3593</v>
      </c>
    </row>
    <row r="213" spans="1:5" ht="51" x14ac:dyDescent="0.35">
      <c r="A213" s="3" t="s">
        <v>3595</v>
      </c>
      <c r="B213" s="3" t="s">
        <v>771</v>
      </c>
      <c r="C213" s="3" t="s">
        <v>2375</v>
      </c>
      <c r="D213" s="3" t="s">
        <v>2376</v>
      </c>
      <c r="E213" s="8" t="s">
        <v>3596</v>
      </c>
    </row>
    <row r="214" spans="1:5" ht="26" x14ac:dyDescent="0.35">
      <c r="A214" s="3" t="s">
        <v>3597</v>
      </c>
      <c r="B214" s="3" t="s">
        <v>773</v>
      </c>
      <c r="C214" s="3" t="s">
        <v>2375</v>
      </c>
      <c r="D214" s="3" t="s">
        <v>2376</v>
      </c>
      <c r="E214" s="8" t="s">
        <v>3598</v>
      </c>
    </row>
    <row r="215" spans="1:5" ht="38.5" x14ac:dyDescent="0.35">
      <c r="A215" s="3" t="s">
        <v>3599</v>
      </c>
      <c r="B215" s="3" t="s">
        <v>779</v>
      </c>
      <c r="C215" s="3" t="s">
        <v>3351</v>
      </c>
      <c r="D215" s="3" t="s">
        <v>2943</v>
      </c>
      <c r="E215" s="8" t="s">
        <v>3600</v>
      </c>
    </row>
    <row r="216" spans="1:5" ht="38.5" x14ac:dyDescent="0.35">
      <c r="A216" s="3" t="s">
        <v>3601</v>
      </c>
      <c r="B216" s="3" t="s">
        <v>791</v>
      </c>
      <c r="C216" s="3" t="s">
        <v>3351</v>
      </c>
      <c r="D216" s="3" t="s">
        <v>2943</v>
      </c>
      <c r="E216" s="8" t="s">
        <v>3602</v>
      </c>
    </row>
    <row r="217" spans="1:5" ht="26" x14ac:dyDescent="0.35">
      <c r="A217" s="3" t="s">
        <v>3603</v>
      </c>
      <c r="B217" s="3" t="s">
        <v>797</v>
      </c>
      <c r="C217" s="3" t="s">
        <v>3492</v>
      </c>
      <c r="D217" s="3" t="s">
        <v>3018</v>
      </c>
      <c r="E217" s="8" t="s">
        <v>3604</v>
      </c>
    </row>
    <row r="218" spans="1:5" ht="26" x14ac:dyDescent="0.35">
      <c r="A218" s="3" t="s">
        <v>3603</v>
      </c>
      <c r="B218" s="3" t="s">
        <v>797</v>
      </c>
      <c r="C218" s="3" t="s">
        <v>3425</v>
      </c>
      <c r="D218" s="3" t="s">
        <v>3020</v>
      </c>
      <c r="E218" s="8" t="s">
        <v>3604</v>
      </c>
    </row>
    <row r="219" spans="1:5" ht="38.5" x14ac:dyDescent="0.35">
      <c r="A219" s="3" t="s">
        <v>3603</v>
      </c>
      <c r="B219" s="3" t="s">
        <v>797</v>
      </c>
      <c r="C219" s="3" t="s">
        <v>3605</v>
      </c>
      <c r="D219" s="3" t="s">
        <v>3045</v>
      </c>
      <c r="E219" s="8" t="s">
        <v>3606</v>
      </c>
    </row>
    <row r="220" spans="1:5" ht="51" x14ac:dyDescent="0.35">
      <c r="A220" s="3" t="s">
        <v>3603</v>
      </c>
      <c r="B220" s="3" t="s">
        <v>797</v>
      </c>
      <c r="C220" s="3" t="s">
        <v>3607</v>
      </c>
      <c r="D220" s="3" t="s">
        <v>3154</v>
      </c>
      <c r="E220" s="8" t="s">
        <v>3608</v>
      </c>
    </row>
    <row r="221" spans="1:5" ht="38.5" x14ac:dyDescent="0.35">
      <c r="A221" s="3" t="s">
        <v>3603</v>
      </c>
      <c r="B221" s="3" t="s">
        <v>797</v>
      </c>
      <c r="C221" s="3" t="s">
        <v>3609</v>
      </c>
      <c r="D221" s="3" t="s">
        <v>3175</v>
      </c>
      <c r="E221" s="8" t="s">
        <v>3606</v>
      </c>
    </row>
    <row r="222" spans="1:5" ht="38.5" x14ac:dyDescent="0.35">
      <c r="A222" s="3" t="s">
        <v>3610</v>
      </c>
      <c r="B222" s="3" t="s">
        <v>809</v>
      </c>
      <c r="C222" s="3" t="s">
        <v>3611</v>
      </c>
      <c r="D222" s="3" t="s">
        <v>2999</v>
      </c>
      <c r="E222" s="8" t="s">
        <v>3612</v>
      </c>
    </row>
    <row r="223" spans="1:5" ht="26" x14ac:dyDescent="0.35">
      <c r="A223" s="3" t="s">
        <v>3610</v>
      </c>
      <c r="B223" s="3" t="s">
        <v>809</v>
      </c>
      <c r="C223" s="3" t="s">
        <v>3538</v>
      </c>
      <c r="D223" s="3" t="s">
        <v>3003</v>
      </c>
      <c r="E223" s="8" t="s">
        <v>3613</v>
      </c>
    </row>
    <row r="224" spans="1:5" ht="38.5" x14ac:dyDescent="0.35">
      <c r="A224" s="3" t="s">
        <v>3614</v>
      </c>
      <c r="B224" s="3" t="s">
        <v>821</v>
      </c>
      <c r="C224" s="3" t="s">
        <v>3615</v>
      </c>
      <c r="D224" s="3" t="s">
        <v>2851</v>
      </c>
      <c r="E224" s="8" t="s">
        <v>3616</v>
      </c>
    </row>
    <row r="225" spans="1:5" ht="38.5" x14ac:dyDescent="0.35">
      <c r="A225" s="3" t="s">
        <v>3614</v>
      </c>
      <c r="B225" s="3" t="s">
        <v>821</v>
      </c>
      <c r="C225" s="3" t="s">
        <v>3594</v>
      </c>
      <c r="D225" s="3" t="s">
        <v>2855</v>
      </c>
      <c r="E225" s="8" t="s">
        <v>3616</v>
      </c>
    </row>
    <row r="226" spans="1:5" ht="38.5" x14ac:dyDescent="0.35">
      <c r="A226" s="3" t="s">
        <v>3617</v>
      </c>
      <c r="B226" s="3" t="s">
        <v>831</v>
      </c>
      <c r="C226" s="3" t="s">
        <v>3331</v>
      </c>
      <c r="D226" s="3" t="s">
        <v>2935</v>
      </c>
      <c r="E226" s="8" t="s">
        <v>3618</v>
      </c>
    </row>
    <row r="227" spans="1:5" ht="38.5" x14ac:dyDescent="0.35">
      <c r="A227" s="3" t="s">
        <v>3619</v>
      </c>
      <c r="B227" s="3" t="s">
        <v>833</v>
      </c>
      <c r="C227" s="3" t="s">
        <v>3620</v>
      </c>
      <c r="D227" s="3" t="s">
        <v>3163</v>
      </c>
      <c r="E227" s="8" t="s">
        <v>3621</v>
      </c>
    </row>
    <row r="228" spans="1:5" ht="38.5" x14ac:dyDescent="0.35">
      <c r="A228" s="3" t="s">
        <v>3622</v>
      </c>
      <c r="B228" s="3" t="s">
        <v>847</v>
      </c>
      <c r="C228" s="3" t="s">
        <v>3277</v>
      </c>
      <c r="D228" s="3" t="s">
        <v>2841</v>
      </c>
      <c r="E228" s="8" t="s">
        <v>3623</v>
      </c>
    </row>
    <row r="229" spans="1:5" ht="38.5" x14ac:dyDescent="0.35">
      <c r="A229" s="3" t="s">
        <v>3624</v>
      </c>
      <c r="B229" s="3" t="s">
        <v>849</v>
      </c>
      <c r="C229" s="3" t="s">
        <v>2375</v>
      </c>
      <c r="D229" s="3" t="s">
        <v>2376</v>
      </c>
      <c r="E229" s="8" t="s">
        <v>3625</v>
      </c>
    </row>
    <row r="230" spans="1:5" ht="26" x14ac:dyDescent="0.35">
      <c r="A230" s="3" t="s">
        <v>3626</v>
      </c>
      <c r="B230" s="3" t="s">
        <v>851</v>
      </c>
      <c r="C230" s="3" t="s">
        <v>2375</v>
      </c>
      <c r="D230" s="3" t="s">
        <v>2376</v>
      </c>
      <c r="E230" s="8" t="s">
        <v>3627</v>
      </c>
    </row>
    <row r="231" spans="1:5" ht="51" x14ac:dyDescent="0.35">
      <c r="A231" s="3" t="s">
        <v>3626</v>
      </c>
      <c r="B231" s="3" t="s">
        <v>851</v>
      </c>
      <c r="C231" s="3" t="s">
        <v>3277</v>
      </c>
      <c r="D231" s="3" t="s">
        <v>2841</v>
      </c>
      <c r="E231" s="8" t="s">
        <v>3628</v>
      </c>
    </row>
    <row r="232" spans="1:5" ht="26" x14ac:dyDescent="0.35">
      <c r="A232" s="3" t="s">
        <v>3629</v>
      </c>
      <c r="B232" s="3" t="s">
        <v>853</v>
      </c>
      <c r="C232" s="3" t="s">
        <v>2375</v>
      </c>
      <c r="D232" s="3" t="s">
        <v>2376</v>
      </c>
      <c r="E232" s="8" t="s">
        <v>3630</v>
      </c>
    </row>
    <row r="233" spans="1:5" ht="26" x14ac:dyDescent="0.35">
      <c r="A233" s="3" t="s">
        <v>3631</v>
      </c>
      <c r="B233" s="3" t="s">
        <v>859</v>
      </c>
      <c r="C233" s="3" t="s">
        <v>2375</v>
      </c>
      <c r="D233" s="3" t="s">
        <v>2376</v>
      </c>
      <c r="E233" s="8" t="s">
        <v>3632</v>
      </c>
    </row>
    <row r="234" spans="1:5" ht="26" x14ac:dyDescent="0.35">
      <c r="A234" s="3" t="s">
        <v>3631</v>
      </c>
      <c r="B234" s="3" t="s">
        <v>859</v>
      </c>
      <c r="C234" s="3" t="s">
        <v>3592</v>
      </c>
      <c r="D234" s="3" t="s">
        <v>2853</v>
      </c>
      <c r="E234" s="8" t="s">
        <v>3633</v>
      </c>
    </row>
    <row r="235" spans="1:5" ht="26" x14ac:dyDescent="0.35">
      <c r="A235" s="3" t="s">
        <v>3631</v>
      </c>
      <c r="B235" s="3" t="s">
        <v>859</v>
      </c>
      <c r="C235" s="3" t="s">
        <v>3594</v>
      </c>
      <c r="D235" s="3" t="s">
        <v>2855</v>
      </c>
      <c r="E235" s="8" t="s">
        <v>3633</v>
      </c>
    </row>
    <row r="236" spans="1:5" ht="26" x14ac:dyDescent="0.35">
      <c r="A236" s="3" t="s">
        <v>3634</v>
      </c>
      <c r="B236" s="3" t="s">
        <v>861</v>
      </c>
      <c r="C236" s="3" t="s">
        <v>2375</v>
      </c>
      <c r="D236" s="3" t="s">
        <v>2376</v>
      </c>
      <c r="E236" s="8" t="s">
        <v>3635</v>
      </c>
    </row>
    <row r="237" spans="1:5" ht="26" x14ac:dyDescent="0.35">
      <c r="A237" s="3" t="s">
        <v>3634</v>
      </c>
      <c r="B237" s="3" t="s">
        <v>861</v>
      </c>
      <c r="C237" s="3" t="s">
        <v>3592</v>
      </c>
      <c r="D237" s="3" t="s">
        <v>2853</v>
      </c>
      <c r="E237" s="8" t="s">
        <v>3635</v>
      </c>
    </row>
    <row r="238" spans="1:5" ht="26" x14ac:dyDescent="0.35">
      <c r="A238" s="3" t="s">
        <v>3634</v>
      </c>
      <c r="B238" s="3" t="s">
        <v>861</v>
      </c>
      <c r="C238" s="3" t="s">
        <v>3594</v>
      </c>
      <c r="D238" s="3" t="s">
        <v>2855</v>
      </c>
      <c r="E238" s="8" t="s">
        <v>3635</v>
      </c>
    </row>
    <row r="239" spans="1:5" ht="51" x14ac:dyDescent="0.35">
      <c r="A239" s="3" t="s">
        <v>3636</v>
      </c>
      <c r="B239" s="3" t="s">
        <v>867</v>
      </c>
      <c r="C239" s="3" t="s">
        <v>3637</v>
      </c>
      <c r="D239" s="3" t="s">
        <v>3067</v>
      </c>
      <c r="E239" s="8" t="s">
        <v>3638</v>
      </c>
    </row>
    <row r="240" spans="1:5" ht="38.5" x14ac:dyDescent="0.35">
      <c r="A240" s="3" t="s">
        <v>3639</v>
      </c>
      <c r="B240" s="3" t="s">
        <v>871</v>
      </c>
      <c r="C240" s="3" t="s">
        <v>3319</v>
      </c>
      <c r="D240" s="3" t="s">
        <v>3255</v>
      </c>
      <c r="E240" s="8" t="s">
        <v>3640</v>
      </c>
    </row>
    <row r="241" spans="1:5" ht="38.5" x14ac:dyDescent="0.35">
      <c r="A241" s="3" t="s">
        <v>3639</v>
      </c>
      <c r="B241" s="3" t="s">
        <v>871</v>
      </c>
      <c r="C241" s="3" t="s">
        <v>3321</v>
      </c>
      <c r="D241" s="3" t="s">
        <v>3257</v>
      </c>
      <c r="E241" s="8" t="s">
        <v>3640</v>
      </c>
    </row>
    <row r="242" spans="1:5" ht="26" x14ac:dyDescent="0.35">
      <c r="A242" s="3" t="s">
        <v>3641</v>
      </c>
      <c r="B242" s="3" t="s">
        <v>881</v>
      </c>
      <c r="C242" s="3" t="s">
        <v>3642</v>
      </c>
      <c r="D242" s="3" t="s">
        <v>3075</v>
      </c>
      <c r="E242" s="8" t="s">
        <v>3643</v>
      </c>
    </row>
    <row r="243" spans="1:5" ht="26" x14ac:dyDescent="0.35">
      <c r="A243" s="3" t="s">
        <v>3641</v>
      </c>
      <c r="B243" s="3" t="s">
        <v>881</v>
      </c>
      <c r="C243" s="3" t="s">
        <v>3339</v>
      </c>
      <c r="D243" s="3" t="s">
        <v>3253</v>
      </c>
      <c r="E243" s="8" t="s">
        <v>3644</v>
      </c>
    </row>
    <row r="244" spans="1:5" ht="63.5" x14ac:dyDescent="0.35">
      <c r="A244" s="3" t="s">
        <v>3645</v>
      </c>
      <c r="B244" s="3" t="s">
        <v>883</v>
      </c>
      <c r="C244" s="3" t="s">
        <v>3646</v>
      </c>
      <c r="D244" s="3" t="s">
        <v>3061</v>
      </c>
      <c r="E244" s="8" t="s">
        <v>3647</v>
      </c>
    </row>
    <row r="245" spans="1:5" ht="38.5" x14ac:dyDescent="0.35">
      <c r="A245" s="3" t="s">
        <v>3648</v>
      </c>
      <c r="B245" s="3" t="s">
        <v>885</v>
      </c>
      <c r="C245" s="3" t="s">
        <v>3649</v>
      </c>
      <c r="D245" s="3" t="s">
        <v>2705</v>
      </c>
      <c r="E245" s="8" t="s">
        <v>3650</v>
      </c>
    </row>
    <row r="246" spans="1:5" ht="38.5" x14ac:dyDescent="0.35">
      <c r="A246" s="3" t="s">
        <v>3648</v>
      </c>
      <c r="B246" s="3" t="s">
        <v>885</v>
      </c>
      <c r="C246" s="3" t="s">
        <v>3651</v>
      </c>
      <c r="D246" s="3" t="s">
        <v>2710</v>
      </c>
      <c r="E246" s="8" t="s">
        <v>3650</v>
      </c>
    </row>
    <row r="247" spans="1:5" ht="38.5" x14ac:dyDescent="0.35">
      <c r="A247" s="3" t="s">
        <v>3648</v>
      </c>
      <c r="B247" s="3" t="s">
        <v>885</v>
      </c>
      <c r="C247" s="3" t="s">
        <v>3646</v>
      </c>
      <c r="D247" s="3" t="s">
        <v>3061</v>
      </c>
      <c r="E247" s="8" t="s">
        <v>3652</v>
      </c>
    </row>
    <row r="248" spans="1:5" ht="51" x14ac:dyDescent="0.35">
      <c r="A248" s="3" t="s">
        <v>3648</v>
      </c>
      <c r="B248" s="3" t="s">
        <v>885</v>
      </c>
      <c r="C248" s="3" t="s">
        <v>3653</v>
      </c>
      <c r="D248" s="3" t="s">
        <v>3095</v>
      </c>
      <c r="E248" s="8" t="s">
        <v>3654</v>
      </c>
    </row>
    <row r="249" spans="1:5" ht="51" x14ac:dyDescent="0.35">
      <c r="A249" s="3" t="s">
        <v>3648</v>
      </c>
      <c r="B249" s="3" t="s">
        <v>885</v>
      </c>
      <c r="C249" s="3" t="s">
        <v>3309</v>
      </c>
      <c r="D249" s="3" t="s">
        <v>3097</v>
      </c>
      <c r="E249" s="8" t="s">
        <v>3654</v>
      </c>
    </row>
    <row r="250" spans="1:5" ht="51" x14ac:dyDescent="0.35">
      <c r="A250" s="3" t="s">
        <v>3648</v>
      </c>
      <c r="B250" s="3" t="s">
        <v>885</v>
      </c>
      <c r="C250" s="3" t="s">
        <v>3310</v>
      </c>
      <c r="D250" s="3" t="s">
        <v>3099</v>
      </c>
      <c r="E250" s="8" t="s">
        <v>3654</v>
      </c>
    </row>
    <row r="251" spans="1:5" ht="63.5" x14ac:dyDescent="0.35">
      <c r="A251" s="3" t="s">
        <v>3655</v>
      </c>
      <c r="B251" s="3" t="s">
        <v>887</v>
      </c>
      <c r="C251" s="3" t="s">
        <v>3646</v>
      </c>
      <c r="D251" s="3" t="s">
        <v>3061</v>
      </c>
      <c r="E251" s="8" t="s">
        <v>3656</v>
      </c>
    </row>
    <row r="252" spans="1:5" ht="88.5" x14ac:dyDescent="0.35">
      <c r="A252" s="3" t="s">
        <v>3655</v>
      </c>
      <c r="B252" s="3" t="s">
        <v>887</v>
      </c>
      <c r="C252" s="3" t="s">
        <v>3653</v>
      </c>
      <c r="D252" s="3" t="s">
        <v>3095</v>
      </c>
      <c r="E252" s="8" t="s">
        <v>3657</v>
      </c>
    </row>
    <row r="253" spans="1:5" ht="88.5" x14ac:dyDescent="0.35">
      <c r="A253" s="3" t="s">
        <v>3655</v>
      </c>
      <c r="B253" s="3" t="s">
        <v>887</v>
      </c>
      <c r="C253" s="3" t="s">
        <v>3309</v>
      </c>
      <c r="D253" s="3" t="s">
        <v>3097</v>
      </c>
      <c r="E253" s="8" t="s">
        <v>3657</v>
      </c>
    </row>
    <row r="254" spans="1:5" ht="88.5" x14ac:dyDescent="0.35">
      <c r="A254" s="3" t="s">
        <v>3655</v>
      </c>
      <c r="B254" s="3" t="s">
        <v>887</v>
      </c>
      <c r="C254" s="3" t="s">
        <v>3310</v>
      </c>
      <c r="D254" s="3" t="s">
        <v>3099</v>
      </c>
      <c r="E254" s="8" t="s">
        <v>3657</v>
      </c>
    </row>
    <row r="255" spans="1:5" ht="26" x14ac:dyDescent="0.35">
      <c r="A255" s="3" t="s">
        <v>3658</v>
      </c>
      <c r="B255" s="3" t="s">
        <v>889</v>
      </c>
      <c r="C255" s="3" t="s">
        <v>3642</v>
      </c>
      <c r="D255" s="3" t="s">
        <v>3075</v>
      </c>
      <c r="E255" s="8" t="s">
        <v>3659</v>
      </c>
    </row>
    <row r="256" spans="1:5" ht="51" x14ac:dyDescent="0.35">
      <c r="A256" s="3" t="s">
        <v>3660</v>
      </c>
      <c r="B256" s="3" t="s">
        <v>893</v>
      </c>
      <c r="C256" s="3" t="s">
        <v>3661</v>
      </c>
      <c r="D256" s="3" t="s">
        <v>3115</v>
      </c>
      <c r="E256" s="8" t="s">
        <v>3662</v>
      </c>
    </row>
    <row r="257" spans="1:5" ht="38.5" x14ac:dyDescent="0.35">
      <c r="A257" s="3" t="s">
        <v>3663</v>
      </c>
      <c r="B257" s="3" t="s">
        <v>895</v>
      </c>
      <c r="C257" s="3" t="s">
        <v>3646</v>
      </c>
      <c r="D257" s="3" t="s">
        <v>3061</v>
      </c>
      <c r="E257" s="8" t="s">
        <v>3664</v>
      </c>
    </row>
    <row r="258" spans="1:5" ht="51" x14ac:dyDescent="0.35">
      <c r="A258" s="3" t="s">
        <v>3663</v>
      </c>
      <c r="B258" s="3" t="s">
        <v>895</v>
      </c>
      <c r="C258" s="3" t="s">
        <v>3661</v>
      </c>
      <c r="D258" s="3" t="s">
        <v>3115</v>
      </c>
      <c r="E258" s="8" t="s">
        <v>3665</v>
      </c>
    </row>
    <row r="259" spans="1:5" ht="51" x14ac:dyDescent="0.35">
      <c r="A259" s="3" t="s">
        <v>3666</v>
      </c>
      <c r="B259" s="3" t="s">
        <v>897</v>
      </c>
      <c r="C259" s="3" t="s">
        <v>2375</v>
      </c>
      <c r="D259" s="3" t="s">
        <v>2376</v>
      </c>
      <c r="E259" s="8" t="s">
        <v>3667</v>
      </c>
    </row>
    <row r="260" spans="1:5" ht="38.5" x14ac:dyDescent="0.35">
      <c r="A260" s="3" t="s">
        <v>3668</v>
      </c>
      <c r="B260" s="3" t="s">
        <v>899</v>
      </c>
      <c r="C260" s="3" t="s">
        <v>3653</v>
      </c>
      <c r="D260" s="3" t="s">
        <v>3095</v>
      </c>
      <c r="E260" s="8" t="s">
        <v>3669</v>
      </c>
    </row>
    <row r="261" spans="1:5" ht="38.5" x14ac:dyDescent="0.35">
      <c r="A261" s="3" t="s">
        <v>3668</v>
      </c>
      <c r="B261" s="3" t="s">
        <v>899</v>
      </c>
      <c r="C261" s="3" t="s">
        <v>3309</v>
      </c>
      <c r="D261" s="3" t="s">
        <v>3097</v>
      </c>
      <c r="E261" s="8" t="s">
        <v>3669</v>
      </c>
    </row>
    <row r="262" spans="1:5" ht="38.5" x14ac:dyDescent="0.35">
      <c r="A262" s="3" t="s">
        <v>3668</v>
      </c>
      <c r="B262" s="3" t="s">
        <v>899</v>
      </c>
      <c r="C262" s="3" t="s">
        <v>3310</v>
      </c>
      <c r="D262" s="3" t="s">
        <v>3099</v>
      </c>
      <c r="E262" s="8" t="s">
        <v>3669</v>
      </c>
    </row>
    <row r="263" spans="1:5" ht="51" x14ac:dyDescent="0.35">
      <c r="A263" s="3" t="s">
        <v>3668</v>
      </c>
      <c r="B263" s="3" t="s">
        <v>899</v>
      </c>
      <c r="C263" s="3" t="s">
        <v>3670</v>
      </c>
      <c r="D263" s="3" t="s">
        <v>3103</v>
      </c>
      <c r="E263" s="8" t="s">
        <v>3671</v>
      </c>
    </row>
    <row r="264" spans="1:5" ht="51" x14ac:dyDescent="0.35">
      <c r="A264" s="3" t="s">
        <v>3668</v>
      </c>
      <c r="B264" s="3" t="s">
        <v>899</v>
      </c>
      <c r="C264" s="3" t="s">
        <v>3672</v>
      </c>
      <c r="D264" s="3" t="s">
        <v>3105</v>
      </c>
      <c r="E264" s="8" t="s">
        <v>3671</v>
      </c>
    </row>
    <row r="265" spans="1:5" ht="26" x14ac:dyDescent="0.35">
      <c r="A265" s="3" t="s">
        <v>3668</v>
      </c>
      <c r="B265" s="3" t="s">
        <v>899</v>
      </c>
      <c r="C265" s="3" t="s">
        <v>3313</v>
      </c>
      <c r="D265" s="3" t="s">
        <v>3119</v>
      </c>
      <c r="E265" s="8" t="s">
        <v>3673</v>
      </c>
    </row>
    <row r="266" spans="1:5" ht="51" x14ac:dyDescent="0.35">
      <c r="A266" s="3" t="s">
        <v>3674</v>
      </c>
      <c r="B266" s="3" t="s">
        <v>901</v>
      </c>
      <c r="C266" s="3" t="s">
        <v>2375</v>
      </c>
      <c r="D266" s="3" t="s">
        <v>2376</v>
      </c>
      <c r="E266" s="8" t="s">
        <v>3675</v>
      </c>
    </row>
    <row r="267" spans="1:5" ht="38.5" x14ac:dyDescent="0.35">
      <c r="A267" s="3" t="s">
        <v>3676</v>
      </c>
      <c r="B267" s="3" t="s">
        <v>903</v>
      </c>
      <c r="C267" s="3" t="s">
        <v>2375</v>
      </c>
      <c r="D267" s="3" t="s">
        <v>2376</v>
      </c>
      <c r="E267" s="8" t="s">
        <v>3677</v>
      </c>
    </row>
    <row r="268" spans="1:5" ht="38.5" x14ac:dyDescent="0.35">
      <c r="A268" s="3" t="s">
        <v>3678</v>
      </c>
      <c r="B268" s="3" t="s">
        <v>911</v>
      </c>
      <c r="C268" s="3" t="s">
        <v>3679</v>
      </c>
      <c r="D268" s="3" t="s">
        <v>2883</v>
      </c>
      <c r="E268" s="8" t="s">
        <v>3680</v>
      </c>
    </row>
    <row r="269" spans="1:5" ht="38.5" x14ac:dyDescent="0.35">
      <c r="A269" s="3" t="s">
        <v>3678</v>
      </c>
      <c r="B269" s="3" t="s">
        <v>911</v>
      </c>
      <c r="C269" s="3" t="s">
        <v>3366</v>
      </c>
      <c r="D269" s="3" t="s">
        <v>2891</v>
      </c>
      <c r="E269" s="8" t="s">
        <v>3681</v>
      </c>
    </row>
    <row r="270" spans="1:5" ht="38.5" x14ac:dyDescent="0.35">
      <c r="A270" s="3" t="s">
        <v>3678</v>
      </c>
      <c r="B270" s="3" t="s">
        <v>911</v>
      </c>
      <c r="C270" s="3" t="s">
        <v>3682</v>
      </c>
      <c r="D270" s="3" t="s">
        <v>2965</v>
      </c>
      <c r="E270" s="8" t="s">
        <v>3683</v>
      </c>
    </row>
    <row r="271" spans="1:5" ht="51" x14ac:dyDescent="0.35">
      <c r="A271" s="3" t="s">
        <v>3684</v>
      </c>
      <c r="B271" s="3" t="s">
        <v>913</v>
      </c>
      <c r="C271" s="3" t="s">
        <v>3653</v>
      </c>
      <c r="D271" s="3" t="s">
        <v>3095</v>
      </c>
      <c r="E271" s="8" t="s">
        <v>3685</v>
      </c>
    </row>
    <row r="272" spans="1:5" ht="51" x14ac:dyDescent="0.35">
      <c r="A272" s="3" t="s">
        <v>3684</v>
      </c>
      <c r="B272" s="3" t="s">
        <v>913</v>
      </c>
      <c r="C272" s="3" t="s">
        <v>3309</v>
      </c>
      <c r="D272" s="3" t="s">
        <v>3097</v>
      </c>
      <c r="E272" s="8" t="s">
        <v>3685</v>
      </c>
    </row>
    <row r="273" spans="1:5" ht="51" x14ac:dyDescent="0.35">
      <c r="A273" s="3" t="s">
        <v>3684</v>
      </c>
      <c r="B273" s="3" t="s">
        <v>913</v>
      </c>
      <c r="C273" s="3" t="s">
        <v>3310</v>
      </c>
      <c r="D273" s="3" t="s">
        <v>3099</v>
      </c>
      <c r="E273" s="8" t="s">
        <v>3685</v>
      </c>
    </row>
    <row r="274" spans="1:5" ht="63.5" x14ac:dyDescent="0.35">
      <c r="A274" s="3" t="s">
        <v>3686</v>
      </c>
      <c r="B274" s="3" t="s">
        <v>917</v>
      </c>
      <c r="C274" s="3" t="s">
        <v>3646</v>
      </c>
      <c r="D274" s="3" t="s">
        <v>3061</v>
      </c>
      <c r="E274" s="8" t="s">
        <v>3656</v>
      </c>
    </row>
    <row r="275" spans="1:5" ht="63.5" x14ac:dyDescent="0.35">
      <c r="A275" s="3" t="s">
        <v>3686</v>
      </c>
      <c r="B275" s="3" t="s">
        <v>917</v>
      </c>
      <c r="C275" s="3" t="s">
        <v>3642</v>
      </c>
      <c r="D275" s="3" t="s">
        <v>3075</v>
      </c>
      <c r="E275" s="8" t="s">
        <v>3656</v>
      </c>
    </row>
    <row r="276" spans="1:5" ht="63.5" x14ac:dyDescent="0.35">
      <c r="A276" s="3" t="s">
        <v>3686</v>
      </c>
      <c r="B276" s="3" t="s">
        <v>917</v>
      </c>
      <c r="C276" s="3" t="s">
        <v>3653</v>
      </c>
      <c r="D276" s="3" t="s">
        <v>3095</v>
      </c>
      <c r="E276" s="8" t="s">
        <v>3656</v>
      </c>
    </row>
    <row r="277" spans="1:5" ht="63.5" x14ac:dyDescent="0.35">
      <c r="A277" s="3" t="s">
        <v>3686</v>
      </c>
      <c r="B277" s="3" t="s">
        <v>917</v>
      </c>
      <c r="C277" s="3" t="s">
        <v>3309</v>
      </c>
      <c r="D277" s="3" t="s">
        <v>3097</v>
      </c>
      <c r="E277" s="8" t="s">
        <v>3656</v>
      </c>
    </row>
    <row r="278" spans="1:5" ht="63.5" x14ac:dyDescent="0.35">
      <c r="A278" s="3" t="s">
        <v>3686</v>
      </c>
      <c r="B278" s="3" t="s">
        <v>917</v>
      </c>
      <c r="C278" s="3" t="s">
        <v>3310</v>
      </c>
      <c r="D278" s="3" t="s">
        <v>3099</v>
      </c>
      <c r="E278" s="8" t="s">
        <v>3656</v>
      </c>
    </row>
    <row r="279" spans="1:5" ht="51" x14ac:dyDescent="0.35">
      <c r="A279" s="3" t="s">
        <v>3687</v>
      </c>
      <c r="B279" s="3" t="s">
        <v>923</v>
      </c>
      <c r="C279" s="3" t="s">
        <v>3653</v>
      </c>
      <c r="D279" s="3" t="s">
        <v>3095</v>
      </c>
      <c r="E279" s="8" t="s">
        <v>3688</v>
      </c>
    </row>
    <row r="280" spans="1:5" ht="51" x14ac:dyDescent="0.35">
      <c r="A280" s="3" t="s">
        <v>3687</v>
      </c>
      <c r="B280" s="3" t="s">
        <v>923</v>
      </c>
      <c r="C280" s="3" t="s">
        <v>3309</v>
      </c>
      <c r="D280" s="3" t="s">
        <v>3097</v>
      </c>
      <c r="E280" s="8" t="s">
        <v>3688</v>
      </c>
    </row>
    <row r="281" spans="1:5" ht="51" x14ac:dyDescent="0.35">
      <c r="A281" s="3" t="s">
        <v>3687</v>
      </c>
      <c r="B281" s="3" t="s">
        <v>923</v>
      </c>
      <c r="C281" s="3" t="s">
        <v>3310</v>
      </c>
      <c r="D281" s="3" t="s">
        <v>3099</v>
      </c>
      <c r="E281" s="8" t="s">
        <v>3688</v>
      </c>
    </row>
    <row r="282" spans="1:5" ht="38.5" x14ac:dyDescent="0.35">
      <c r="A282" s="3" t="s">
        <v>3689</v>
      </c>
      <c r="B282" s="3" t="s">
        <v>929</v>
      </c>
      <c r="C282" s="3" t="s">
        <v>3653</v>
      </c>
      <c r="D282" s="3" t="s">
        <v>3095</v>
      </c>
      <c r="E282" s="8" t="s">
        <v>3690</v>
      </c>
    </row>
    <row r="283" spans="1:5" ht="38.5" x14ac:dyDescent="0.35">
      <c r="A283" s="3" t="s">
        <v>3689</v>
      </c>
      <c r="B283" s="3" t="s">
        <v>929</v>
      </c>
      <c r="C283" s="3" t="s">
        <v>3309</v>
      </c>
      <c r="D283" s="3" t="s">
        <v>3097</v>
      </c>
      <c r="E283" s="8" t="s">
        <v>3690</v>
      </c>
    </row>
    <row r="284" spans="1:5" ht="38.5" x14ac:dyDescent="0.35">
      <c r="A284" s="3" t="s">
        <v>3689</v>
      </c>
      <c r="B284" s="3" t="s">
        <v>929</v>
      </c>
      <c r="C284" s="3" t="s">
        <v>3310</v>
      </c>
      <c r="D284" s="3" t="s">
        <v>3099</v>
      </c>
      <c r="E284" s="8" t="s">
        <v>3690</v>
      </c>
    </row>
    <row r="285" spans="1:5" ht="51" x14ac:dyDescent="0.35">
      <c r="A285" s="3" t="s">
        <v>3691</v>
      </c>
      <c r="B285" s="3" t="s">
        <v>933</v>
      </c>
      <c r="C285" s="3" t="s">
        <v>3646</v>
      </c>
      <c r="D285" s="3" t="s">
        <v>3061</v>
      </c>
      <c r="E285" s="8" t="s">
        <v>3692</v>
      </c>
    </row>
    <row r="286" spans="1:5" ht="38.5" x14ac:dyDescent="0.35">
      <c r="A286" s="3" t="s">
        <v>3693</v>
      </c>
      <c r="B286" s="3" t="s">
        <v>937</v>
      </c>
      <c r="C286" s="3" t="s">
        <v>3646</v>
      </c>
      <c r="D286" s="3" t="s">
        <v>3061</v>
      </c>
      <c r="E286" s="8" t="s">
        <v>3694</v>
      </c>
    </row>
    <row r="287" spans="1:5" ht="38.5" x14ac:dyDescent="0.35">
      <c r="A287" s="3" t="s">
        <v>3695</v>
      </c>
      <c r="B287" s="3" t="s">
        <v>939</v>
      </c>
      <c r="C287" s="3" t="s">
        <v>3646</v>
      </c>
      <c r="D287" s="3" t="s">
        <v>3061</v>
      </c>
      <c r="E287" s="8" t="s">
        <v>3696</v>
      </c>
    </row>
    <row r="288" spans="1:5" ht="26" x14ac:dyDescent="0.35">
      <c r="A288" s="3" t="s">
        <v>3697</v>
      </c>
      <c r="B288" s="3" t="s">
        <v>943</v>
      </c>
      <c r="C288" s="3" t="s">
        <v>3653</v>
      </c>
      <c r="D288" s="3" t="s">
        <v>3095</v>
      </c>
      <c r="E288" s="8" t="s">
        <v>3698</v>
      </c>
    </row>
    <row r="289" spans="1:5" ht="38.5" x14ac:dyDescent="0.35">
      <c r="A289" s="3" t="s">
        <v>3699</v>
      </c>
      <c r="B289" s="3" t="s">
        <v>953</v>
      </c>
      <c r="C289" s="3" t="s">
        <v>3646</v>
      </c>
      <c r="D289" s="3" t="s">
        <v>3061</v>
      </c>
      <c r="E289" s="8" t="s">
        <v>3700</v>
      </c>
    </row>
    <row r="290" spans="1:5" ht="38.5" x14ac:dyDescent="0.35">
      <c r="A290" s="3" t="s">
        <v>3701</v>
      </c>
      <c r="B290" s="3" t="s">
        <v>955</v>
      </c>
      <c r="C290" s="3" t="s">
        <v>3646</v>
      </c>
      <c r="D290" s="3" t="s">
        <v>3061</v>
      </c>
      <c r="E290" s="8" t="s">
        <v>3700</v>
      </c>
    </row>
    <row r="291" spans="1:5" ht="38.5" x14ac:dyDescent="0.35">
      <c r="A291" s="3" t="s">
        <v>3702</v>
      </c>
      <c r="B291" s="3" t="s">
        <v>957</v>
      </c>
      <c r="C291" s="3" t="s">
        <v>3646</v>
      </c>
      <c r="D291" s="3" t="s">
        <v>3061</v>
      </c>
      <c r="E291" s="8" t="s">
        <v>3700</v>
      </c>
    </row>
    <row r="292" spans="1:5" ht="38.5" x14ac:dyDescent="0.35">
      <c r="A292" s="3" t="s">
        <v>3703</v>
      </c>
      <c r="B292" s="3" t="s">
        <v>963</v>
      </c>
      <c r="C292" s="3" t="s">
        <v>3339</v>
      </c>
      <c r="D292" s="3" t="s">
        <v>3253</v>
      </c>
      <c r="E292" s="8" t="s">
        <v>3704</v>
      </c>
    </row>
    <row r="293" spans="1:5" ht="38.5" x14ac:dyDescent="0.35">
      <c r="A293" s="3" t="s">
        <v>3703</v>
      </c>
      <c r="B293" s="3" t="s">
        <v>963</v>
      </c>
      <c r="C293" s="3" t="s">
        <v>3319</v>
      </c>
      <c r="D293" s="3" t="s">
        <v>3255</v>
      </c>
      <c r="E293" s="8" t="s">
        <v>3704</v>
      </c>
    </row>
    <row r="294" spans="1:5" ht="38.5" x14ac:dyDescent="0.35">
      <c r="A294" s="3" t="s">
        <v>3703</v>
      </c>
      <c r="B294" s="3" t="s">
        <v>963</v>
      </c>
      <c r="C294" s="3" t="s">
        <v>3321</v>
      </c>
      <c r="D294" s="3" t="s">
        <v>3257</v>
      </c>
      <c r="E294" s="8" t="s">
        <v>3704</v>
      </c>
    </row>
    <row r="295" spans="1:5" ht="26" x14ac:dyDescent="0.35">
      <c r="A295" s="3" t="s">
        <v>3705</v>
      </c>
      <c r="B295" s="3" t="s">
        <v>969</v>
      </c>
      <c r="C295" s="3" t="s">
        <v>3646</v>
      </c>
      <c r="D295" s="3" t="s">
        <v>3061</v>
      </c>
      <c r="E295" s="8" t="s">
        <v>3706</v>
      </c>
    </row>
    <row r="296" spans="1:5" ht="51" x14ac:dyDescent="0.35">
      <c r="A296" s="3" t="s">
        <v>3707</v>
      </c>
      <c r="B296" s="3" t="s">
        <v>975</v>
      </c>
      <c r="C296" s="3" t="s">
        <v>3646</v>
      </c>
      <c r="D296" s="3" t="s">
        <v>3061</v>
      </c>
      <c r="E296" s="8" t="s">
        <v>3708</v>
      </c>
    </row>
    <row r="297" spans="1:5" ht="51" x14ac:dyDescent="0.35">
      <c r="A297" s="3" t="s">
        <v>3707</v>
      </c>
      <c r="B297" s="3" t="s">
        <v>975</v>
      </c>
      <c r="C297" s="3" t="s">
        <v>3524</v>
      </c>
      <c r="D297" s="3" t="s">
        <v>3081</v>
      </c>
      <c r="E297" s="8" t="s">
        <v>3708</v>
      </c>
    </row>
    <row r="298" spans="1:5" ht="51" x14ac:dyDescent="0.35">
      <c r="A298" s="3" t="s">
        <v>3707</v>
      </c>
      <c r="B298" s="3" t="s">
        <v>975</v>
      </c>
      <c r="C298" s="3" t="s">
        <v>3653</v>
      </c>
      <c r="D298" s="3" t="s">
        <v>3095</v>
      </c>
      <c r="E298" s="8" t="s">
        <v>3708</v>
      </c>
    </row>
    <row r="299" spans="1:5" ht="51" x14ac:dyDescent="0.35">
      <c r="A299" s="3" t="s">
        <v>3707</v>
      </c>
      <c r="B299" s="3" t="s">
        <v>975</v>
      </c>
      <c r="C299" s="3" t="s">
        <v>3309</v>
      </c>
      <c r="D299" s="3" t="s">
        <v>3097</v>
      </c>
      <c r="E299" s="8" t="s">
        <v>3708</v>
      </c>
    </row>
    <row r="300" spans="1:5" ht="51" x14ac:dyDescent="0.35">
      <c r="A300" s="3" t="s">
        <v>3707</v>
      </c>
      <c r="B300" s="3" t="s">
        <v>975</v>
      </c>
      <c r="C300" s="3" t="s">
        <v>3310</v>
      </c>
      <c r="D300" s="3" t="s">
        <v>3099</v>
      </c>
      <c r="E300" s="8" t="s">
        <v>3708</v>
      </c>
    </row>
    <row r="301" spans="1:5" ht="38.5" x14ac:dyDescent="0.35">
      <c r="A301" s="3" t="s">
        <v>3709</v>
      </c>
      <c r="B301" s="3" t="s">
        <v>977</v>
      </c>
      <c r="C301" s="3" t="s">
        <v>3653</v>
      </c>
      <c r="D301" s="3" t="s">
        <v>3095</v>
      </c>
      <c r="E301" s="8" t="s">
        <v>3710</v>
      </c>
    </row>
    <row r="302" spans="1:5" ht="38.5" x14ac:dyDescent="0.35">
      <c r="A302" s="3" t="s">
        <v>3709</v>
      </c>
      <c r="B302" s="3" t="s">
        <v>977</v>
      </c>
      <c r="C302" s="3" t="s">
        <v>3309</v>
      </c>
      <c r="D302" s="3" t="s">
        <v>3097</v>
      </c>
      <c r="E302" s="8" t="s">
        <v>3710</v>
      </c>
    </row>
    <row r="303" spans="1:5" ht="38.5" x14ac:dyDescent="0.35">
      <c r="A303" s="3" t="s">
        <v>3709</v>
      </c>
      <c r="B303" s="3" t="s">
        <v>977</v>
      </c>
      <c r="C303" s="3" t="s">
        <v>3310</v>
      </c>
      <c r="D303" s="3" t="s">
        <v>3099</v>
      </c>
      <c r="E303" s="8" t="s">
        <v>3710</v>
      </c>
    </row>
    <row r="304" spans="1:5" ht="38.5" x14ac:dyDescent="0.35">
      <c r="A304" s="3" t="s">
        <v>3711</v>
      </c>
      <c r="B304" s="3" t="s">
        <v>979</v>
      </c>
      <c r="C304" s="3" t="s">
        <v>3646</v>
      </c>
      <c r="D304" s="3" t="s">
        <v>3061</v>
      </c>
      <c r="E304" s="8" t="s">
        <v>3712</v>
      </c>
    </row>
    <row r="305" spans="1:5" ht="38.5" x14ac:dyDescent="0.35">
      <c r="A305" s="3" t="s">
        <v>3711</v>
      </c>
      <c r="B305" s="3" t="s">
        <v>979</v>
      </c>
      <c r="C305" s="3" t="s">
        <v>3524</v>
      </c>
      <c r="D305" s="3" t="s">
        <v>3081</v>
      </c>
      <c r="E305" s="8" t="s">
        <v>3712</v>
      </c>
    </row>
    <row r="306" spans="1:5" ht="38.5" x14ac:dyDescent="0.35">
      <c r="A306" s="3" t="s">
        <v>3711</v>
      </c>
      <c r="B306" s="3" t="s">
        <v>979</v>
      </c>
      <c r="C306" s="3" t="s">
        <v>3653</v>
      </c>
      <c r="D306" s="3" t="s">
        <v>3095</v>
      </c>
      <c r="E306" s="8" t="s">
        <v>3713</v>
      </c>
    </row>
    <row r="307" spans="1:5" ht="38.5" x14ac:dyDescent="0.35">
      <c r="A307" s="3" t="s">
        <v>3711</v>
      </c>
      <c r="B307" s="3" t="s">
        <v>979</v>
      </c>
      <c r="C307" s="3" t="s">
        <v>3309</v>
      </c>
      <c r="D307" s="3" t="s">
        <v>3097</v>
      </c>
      <c r="E307" s="8" t="s">
        <v>3713</v>
      </c>
    </row>
    <row r="308" spans="1:5" ht="38.5" x14ac:dyDescent="0.35">
      <c r="A308" s="3" t="s">
        <v>3711</v>
      </c>
      <c r="B308" s="3" t="s">
        <v>979</v>
      </c>
      <c r="C308" s="3" t="s">
        <v>3310</v>
      </c>
      <c r="D308" s="3" t="s">
        <v>3099</v>
      </c>
      <c r="E308" s="8" t="s">
        <v>3713</v>
      </c>
    </row>
    <row r="309" spans="1:5" ht="38.5" x14ac:dyDescent="0.35">
      <c r="A309" s="3" t="s">
        <v>3711</v>
      </c>
      <c r="B309" s="3" t="s">
        <v>979</v>
      </c>
      <c r="C309" s="3" t="s">
        <v>3714</v>
      </c>
      <c r="D309" s="3" t="s">
        <v>3111</v>
      </c>
      <c r="E309" s="8" t="s">
        <v>3713</v>
      </c>
    </row>
    <row r="310" spans="1:5" ht="38.5" x14ac:dyDescent="0.35">
      <c r="A310" s="3" t="s">
        <v>3711</v>
      </c>
      <c r="B310" s="3" t="s">
        <v>979</v>
      </c>
      <c r="C310" s="3" t="s">
        <v>3312</v>
      </c>
      <c r="D310" s="3" t="s">
        <v>3113</v>
      </c>
      <c r="E310" s="8" t="s">
        <v>3713</v>
      </c>
    </row>
    <row r="311" spans="1:5" ht="38.5" x14ac:dyDescent="0.35">
      <c r="A311" s="3" t="s">
        <v>3715</v>
      </c>
      <c r="B311" s="3" t="s">
        <v>981</v>
      </c>
      <c r="C311" s="3" t="s">
        <v>3646</v>
      </c>
      <c r="D311" s="3" t="s">
        <v>3061</v>
      </c>
      <c r="E311" s="8" t="s">
        <v>3712</v>
      </c>
    </row>
    <row r="312" spans="1:5" ht="38.5" x14ac:dyDescent="0.35">
      <c r="A312" s="3" t="s">
        <v>3715</v>
      </c>
      <c r="B312" s="3" t="s">
        <v>981</v>
      </c>
      <c r="C312" s="3" t="s">
        <v>3524</v>
      </c>
      <c r="D312" s="3" t="s">
        <v>3081</v>
      </c>
      <c r="E312" s="8" t="s">
        <v>3712</v>
      </c>
    </row>
    <row r="313" spans="1:5" ht="38.5" x14ac:dyDescent="0.35">
      <c r="A313" s="3" t="s">
        <v>3715</v>
      </c>
      <c r="B313" s="3" t="s">
        <v>981</v>
      </c>
      <c r="C313" s="3" t="s">
        <v>3653</v>
      </c>
      <c r="D313" s="3" t="s">
        <v>3095</v>
      </c>
      <c r="E313" s="8" t="s">
        <v>3713</v>
      </c>
    </row>
    <row r="314" spans="1:5" ht="38.5" x14ac:dyDescent="0.35">
      <c r="A314" s="3" t="s">
        <v>3715</v>
      </c>
      <c r="B314" s="3" t="s">
        <v>981</v>
      </c>
      <c r="C314" s="3" t="s">
        <v>3309</v>
      </c>
      <c r="D314" s="3" t="s">
        <v>3097</v>
      </c>
      <c r="E314" s="8" t="s">
        <v>3713</v>
      </c>
    </row>
    <row r="315" spans="1:5" ht="38.5" x14ac:dyDescent="0.35">
      <c r="A315" s="3" t="s">
        <v>3715</v>
      </c>
      <c r="B315" s="3" t="s">
        <v>981</v>
      </c>
      <c r="C315" s="3" t="s">
        <v>3310</v>
      </c>
      <c r="D315" s="3" t="s">
        <v>3099</v>
      </c>
      <c r="E315" s="8" t="s">
        <v>3713</v>
      </c>
    </row>
    <row r="316" spans="1:5" ht="38.5" x14ac:dyDescent="0.35">
      <c r="A316" s="3" t="s">
        <v>3715</v>
      </c>
      <c r="B316" s="3" t="s">
        <v>981</v>
      </c>
      <c r="C316" s="3" t="s">
        <v>3714</v>
      </c>
      <c r="D316" s="3" t="s">
        <v>3111</v>
      </c>
      <c r="E316" s="8" t="s">
        <v>3713</v>
      </c>
    </row>
    <row r="317" spans="1:5" ht="38.5" x14ac:dyDescent="0.35">
      <c r="A317" s="3" t="s">
        <v>3715</v>
      </c>
      <c r="B317" s="3" t="s">
        <v>981</v>
      </c>
      <c r="C317" s="3" t="s">
        <v>3312</v>
      </c>
      <c r="D317" s="3" t="s">
        <v>3113</v>
      </c>
      <c r="E317" s="8" t="s">
        <v>3713</v>
      </c>
    </row>
    <row r="318" spans="1:5" ht="63.5" x14ac:dyDescent="0.35">
      <c r="A318" s="3" t="s">
        <v>3716</v>
      </c>
      <c r="B318" s="3" t="s">
        <v>987</v>
      </c>
      <c r="C318" s="3" t="s">
        <v>3717</v>
      </c>
      <c r="D318" s="3" t="s">
        <v>3087</v>
      </c>
      <c r="E318" s="8" t="s">
        <v>3718</v>
      </c>
    </row>
    <row r="319" spans="1:5" ht="63.5" x14ac:dyDescent="0.35">
      <c r="A319" s="3" t="s">
        <v>3716</v>
      </c>
      <c r="B319" s="3" t="s">
        <v>987</v>
      </c>
      <c r="C319" s="3" t="s">
        <v>3321</v>
      </c>
      <c r="D319" s="3" t="s">
        <v>3257</v>
      </c>
      <c r="E319" s="8" t="s">
        <v>3718</v>
      </c>
    </row>
    <row r="320" spans="1:5" ht="63.5" x14ac:dyDescent="0.35">
      <c r="A320" s="3" t="s">
        <v>3719</v>
      </c>
      <c r="B320" s="3" t="s">
        <v>989</v>
      </c>
      <c r="C320" s="3" t="s">
        <v>3717</v>
      </c>
      <c r="D320" s="3" t="s">
        <v>3087</v>
      </c>
      <c r="E320" s="8" t="s">
        <v>3720</v>
      </c>
    </row>
    <row r="321" spans="1:5" ht="63.5" x14ac:dyDescent="0.35">
      <c r="A321" s="3" t="s">
        <v>3719</v>
      </c>
      <c r="B321" s="3" t="s">
        <v>989</v>
      </c>
      <c r="C321" s="3" t="s">
        <v>3321</v>
      </c>
      <c r="D321" s="3" t="s">
        <v>3257</v>
      </c>
      <c r="E321" s="8" t="s">
        <v>3720</v>
      </c>
    </row>
    <row r="322" spans="1:5" ht="63.5" x14ac:dyDescent="0.35">
      <c r="A322" s="3" t="s">
        <v>3721</v>
      </c>
      <c r="B322" s="3" t="s">
        <v>995</v>
      </c>
      <c r="C322" s="3" t="s">
        <v>3649</v>
      </c>
      <c r="D322" s="3" t="s">
        <v>2705</v>
      </c>
      <c r="E322" s="8" t="s">
        <v>3722</v>
      </c>
    </row>
    <row r="323" spans="1:5" ht="63.5" x14ac:dyDescent="0.35">
      <c r="A323" s="3" t="s">
        <v>3721</v>
      </c>
      <c r="B323" s="3" t="s">
        <v>995</v>
      </c>
      <c r="C323" s="3" t="s">
        <v>3651</v>
      </c>
      <c r="D323" s="3" t="s">
        <v>2710</v>
      </c>
      <c r="E323" s="8" t="s">
        <v>3722</v>
      </c>
    </row>
    <row r="324" spans="1:5" ht="51" x14ac:dyDescent="0.35">
      <c r="A324" s="3" t="s">
        <v>3721</v>
      </c>
      <c r="B324" s="3" t="s">
        <v>995</v>
      </c>
      <c r="C324" s="3" t="s">
        <v>3723</v>
      </c>
      <c r="D324" s="3" t="s">
        <v>2731</v>
      </c>
      <c r="E324" s="8" t="s">
        <v>3724</v>
      </c>
    </row>
    <row r="325" spans="1:5" ht="51" x14ac:dyDescent="0.35">
      <c r="A325" s="3" t="s">
        <v>3725</v>
      </c>
      <c r="B325" s="3" t="s">
        <v>1003</v>
      </c>
      <c r="C325" s="3" t="s">
        <v>3646</v>
      </c>
      <c r="D325" s="3" t="s">
        <v>3061</v>
      </c>
      <c r="E325" s="8" t="s">
        <v>3726</v>
      </c>
    </row>
    <row r="326" spans="1:5" ht="51" x14ac:dyDescent="0.35">
      <c r="A326" s="3" t="s">
        <v>3725</v>
      </c>
      <c r="B326" s="3" t="s">
        <v>1003</v>
      </c>
      <c r="C326" s="3" t="s">
        <v>3727</v>
      </c>
      <c r="D326" s="3" t="s">
        <v>3069</v>
      </c>
      <c r="E326" s="8" t="s">
        <v>3728</v>
      </c>
    </row>
    <row r="327" spans="1:5" ht="51" x14ac:dyDescent="0.35">
      <c r="A327" s="3" t="s">
        <v>3729</v>
      </c>
      <c r="B327" s="3" t="s">
        <v>1007</v>
      </c>
      <c r="C327" s="3" t="s">
        <v>2375</v>
      </c>
      <c r="D327" s="3" t="s">
        <v>2376</v>
      </c>
      <c r="E327" s="8" t="s">
        <v>3730</v>
      </c>
    </row>
    <row r="328" spans="1:5" ht="51" x14ac:dyDescent="0.35">
      <c r="A328" s="3" t="s">
        <v>3731</v>
      </c>
      <c r="B328" s="3" t="s">
        <v>1013</v>
      </c>
      <c r="C328" s="3" t="s">
        <v>3732</v>
      </c>
      <c r="D328" s="3" t="s">
        <v>2654</v>
      </c>
      <c r="E328" s="8" t="s">
        <v>3733</v>
      </c>
    </row>
    <row r="329" spans="1:5" ht="38.5" x14ac:dyDescent="0.35">
      <c r="A329" s="3" t="s">
        <v>3734</v>
      </c>
      <c r="B329" s="3" t="s">
        <v>1015</v>
      </c>
      <c r="C329" s="3" t="s">
        <v>3651</v>
      </c>
      <c r="D329" s="3" t="s">
        <v>2710</v>
      </c>
      <c r="E329" s="8" t="s">
        <v>3735</v>
      </c>
    </row>
    <row r="330" spans="1:5" ht="38.5" x14ac:dyDescent="0.35">
      <c r="A330" s="3" t="s">
        <v>3736</v>
      </c>
      <c r="B330" s="3" t="s">
        <v>1017</v>
      </c>
      <c r="C330" s="3" t="s">
        <v>2375</v>
      </c>
      <c r="D330" s="3" t="s">
        <v>2376</v>
      </c>
      <c r="E330" s="8" t="s">
        <v>3737</v>
      </c>
    </row>
    <row r="331" spans="1:5" ht="51" x14ac:dyDescent="0.35">
      <c r="A331" s="3" t="s">
        <v>3738</v>
      </c>
      <c r="B331" s="3" t="s">
        <v>1021</v>
      </c>
      <c r="C331" s="3" t="s">
        <v>2375</v>
      </c>
      <c r="D331" s="3" t="s">
        <v>2376</v>
      </c>
      <c r="E331" s="8" t="s">
        <v>3739</v>
      </c>
    </row>
    <row r="332" spans="1:5" ht="51" x14ac:dyDescent="0.35">
      <c r="A332" s="3" t="s">
        <v>3740</v>
      </c>
      <c r="B332" s="3" t="s">
        <v>1025</v>
      </c>
      <c r="C332" s="3" t="s">
        <v>3492</v>
      </c>
      <c r="D332" s="3" t="s">
        <v>3018</v>
      </c>
      <c r="E332" s="8" t="s">
        <v>3741</v>
      </c>
    </row>
    <row r="333" spans="1:5" ht="51" x14ac:dyDescent="0.35">
      <c r="A333" s="3" t="s">
        <v>3740</v>
      </c>
      <c r="B333" s="3" t="s">
        <v>1025</v>
      </c>
      <c r="C333" s="3" t="s">
        <v>3425</v>
      </c>
      <c r="D333" s="3" t="s">
        <v>3020</v>
      </c>
      <c r="E333" s="8" t="s">
        <v>3741</v>
      </c>
    </row>
    <row r="334" spans="1:5" ht="38.5" x14ac:dyDescent="0.35">
      <c r="A334" s="3" t="s">
        <v>3740</v>
      </c>
      <c r="B334" s="3" t="s">
        <v>1025</v>
      </c>
      <c r="C334" s="3" t="s">
        <v>3646</v>
      </c>
      <c r="D334" s="3" t="s">
        <v>3061</v>
      </c>
      <c r="E334" s="8" t="s">
        <v>3742</v>
      </c>
    </row>
    <row r="335" spans="1:5" ht="38.5" x14ac:dyDescent="0.35">
      <c r="A335" s="3" t="s">
        <v>3740</v>
      </c>
      <c r="B335" s="3" t="s">
        <v>1025</v>
      </c>
      <c r="C335" s="3" t="s">
        <v>3743</v>
      </c>
      <c r="D335" s="3" t="s">
        <v>3073</v>
      </c>
      <c r="E335" s="8" t="s">
        <v>3744</v>
      </c>
    </row>
    <row r="336" spans="1:5" ht="38.5" x14ac:dyDescent="0.35">
      <c r="A336" s="3" t="s">
        <v>3740</v>
      </c>
      <c r="B336" s="3" t="s">
        <v>1025</v>
      </c>
      <c r="C336" s="3" t="s">
        <v>3653</v>
      </c>
      <c r="D336" s="3" t="s">
        <v>3095</v>
      </c>
      <c r="E336" s="8" t="s">
        <v>3745</v>
      </c>
    </row>
    <row r="337" spans="1:5" ht="38.5" x14ac:dyDescent="0.35">
      <c r="A337" s="3" t="s">
        <v>3740</v>
      </c>
      <c r="B337" s="3" t="s">
        <v>1025</v>
      </c>
      <c r="C337" s="3" t="s">
        <v>3310</v>
      </c>
      <c r="D337" s="3" t="s">
        <v>3099</v>
      </c>
      <c r="E337" s="8" t="s">
        <v>3745</v>
      </c>
    </row>
    <row r="338" spans="1:5" ht="26" x14ac:dyDescent="0.35">
      <c r="A338" s="3" t="s">
        <v>3746</v>
      </c>
      <c r="B338" s="3" t="s">
        <v>1027</v>
      </c>
      <c r="C338" s="3" t="s">
        <v>2375</v>
      </c>
      <c r="D338" s="3" t="s">
        <v>2376</v>
      </c>
      <c r="E338" s="8" t="s">
        <v>3747</v>
      </c>
    </row>
    <row r="339" spans="1:5" ht="51" x14ac:dyDescent="0.35">
      <c r="A339" s="3" t="s">
        <v>3748</v>
      </c>
      <c r="B339" s="3" t="s">
        <v>1035</v>
      </c>
      <c r="C339" s="3" t="s">
        <v>3316</v>
      </c>
      <c r="D339" s="3" t="s">
        <v>3127</v>
      </c>
      <c r="E339" s="8" t="s">
        <v>3749</v>
      </c>
    </row>
    <row r="340" spans="1:5" ht="51" x14ac:dyDescent="0.35">
      <c r="A340" s="3" t="s">
        <v>3748</v>
      </c>
      <c r="B340" s="3" t="s">
        <v>1035</v>
      </c>
      <c r="C340" s="3" t="s">
        <v>3750</v>
      </c>
      <c r="D340" s="3" t="s">
        <v>3245</v>
      </c>
      <c r="E340" s="8" t="s">
        <v>3749</v>
      </c>
    </row>
    <row r="341" spans="1:5" ht="38.5" x14ac:dyDescent="0.35">
      <c r="A341" s="3" t="s">
        <v>3751</v>
      </c>
      <c r="B341" s="3" t="s">
        <v>1049</v>
      </c>
      <c r="C341" s="3" t="s">
        <v>3743</v>
      </c>
      <c r="D341" s="3" t="s">
        <v>3073</v>
      </c>
      <c r="E341" s="8" t="s">
        <v>3752</v>
      </c>
    </row>
    <row r="342" spans="1:5" ht="26" x14ac:dyDescent="0.35">
      <c r="A342" s="3" t="s">
        <v>3751</v>
      </c>
      <c r="B342" s="3" t="s">
        <v>1049</v>
      </c>
      <c r="C342" s="3" t="s">
        <v>3753</v>
      </c>
      <c r="D342" s="3" t="s">
        <v>3083</v>
      </c>
      <c r="E342" s="8" t="s">
        <v>3754</v>
      </c>
    </row>
    <row r="343" spans="1:5" ht="51" x14ac:dyDescent="0.35">
      <c r="A343" s="3" t="s">
        <v>3751</v>
      </c>
      <c r="B343" s="3" t="s">
        <v>1049</v>
      </c>
      <c r="C343" s="3" t="s">
        <v>3661</v>
      </c>
      <c r="D343" s="3" t="s">
        <v>3115</v>
      </c>
      <c r="E343" s="8" t="s">
        <v>3662</v>
      </c>
    </row>
    <row r="344" spans="1:5" ht="26" x14ac:dyDescent="0.35">
      <c r="A344" s="3" t="s">
        <v>3751</v>
      </c>
      <c r="B344" s="3" t="s">
        <v>1049</v>
      </c>
      <c r="C344" s="3" t="s">
        <v>3313</v>
      </c>
      <c r="D344" s="3" t="s">
        <v>3119</v>
      </c>
      <c r="E344" s="8" t="s">
        <v>3755</v>
      </c>
    </row>
    <row r="345" spans="1:5" ht="38.5" x14ac:dyDescent="0.35">
      <c r="A345" s="3" t="s">
        <v>3756</v>
      </c>
      <c r="B345" s="3" t="s">
        <v>1051</v>
      </c>
      <c r="C345" s="3" t="s">
        <v>2375</v>
      </c>
      <c r="D345" s="3" t="s">
        <v>2376</v>
      </c>
      <c r="E345" s="8" t="s">
        <v>3757</v>
      </c>
    </row>
    <row r="346" spans="1:5" ht="38.5" x14ac:dyDescent="0.35">
      <c r="A346" s="3" t="s">
        <v>3758</v>
      </c>
      <c r="B346" s="3" t="s">
        <v>1055</v>
      </c>
      <c r="C346" s="3" t="s">
        <v>3743</v>
      </c>
      <c r="D346" s="3" t="s">
        <v>3073</v>
      </c>
      <c r="E346" s="8" t="s">
        <v>3759</v>
      </c>
    </row>
    <row r="347" spans="1:5" ht="26" x14ac:dyDescent="0.35">
      <c r="A347" s="3" t="s">
        <v>3758</v>
      </c>
      <c r="B347" s="3" t="s">
        <v>1055</v>
      </c>
      <c r="C347" s="3" t="s">
        <v>3753</v>
      </c>
      <c r="D347" s="3" t="s">
        <v>3083</v>
      </c>
      <c r="E347" s="8" t="s">
        <v>3760</v>
      </c>
    </row>
    <row r="348" spans="1:5" ht="51" x14ac:dyDescent="0.35">
      <c r="A348" s="3" t="s">
        <v>3758</v>
      </c>
      <c r="B348" s="3" t="s">
        <v>1055</v>
      </c>
      <c r="C348" s="3" t="s">
        <v>3661</v>
      </c>
      <c r="D348" s="3" t="s">
        <v>3115</v>
      </c>
      <c r="E348" s="8" t="s">
        <v>3761</v>
      </c>
    </row>
    <row r="349" spans="1:5" ht="26" x14ac:dyDescent="0.35">
      <c r="A349" s="3" t="s">
        <v>3758</v>
      </c>
      <c r="B349" s="3" t="s">
        <v>1055</v>
      </c>
      <c r="C349" s="3" t="s">
        <v>3313</v>
      </c>
      <c r="D349" s="3" t="s">
        <v>3119</v>
      </c>
      <c r="E349" s="8" t="s">
        <v>3762</v>
      </c>
    </row>
    <row r="350" spans="1:5" ht="38.5" x14ac:dyDescent="0.35">
      <c r="A350" s="3" t="s">
        <v>3763</v>
      </c>
      <c r="B350" s="3" t="s">
        <v>1057</v>
      </c>
      <c r="C350" s="3" t="s">
        <v>2375</v>
      </c>
      <c r="D350" s="3" t="s">
        <v>2376</v>
      </c>
      <c r="E350" s="8" t="s">
        <v>3764</v>
      </c>
    </row>
    <row r="351" spans="1:5" ht="26" x14ac:dyDescent="0.35">
      <c r="A351" s="3" t="s">
        <v>3765</v>
      </c>
      <c r="B351" s="3" t="s">
        <v>1061</v>
      </c>
      <c r="C351" s="3" t="s">
        <v>3637</v>
      </c>
      <c r="D351" s="3" t="s">
        <v>3067</v>
      </c>
      <c r="E351" s="8" t="s">
        <v>3766</v>
      </c>
    </row>
    <row r="352" spans="1:5" ht="38.5" x14ac:dyDescent="0.35">
      <c r="A352" s="3" t="s">
        <v>3765</v>
      </c>
      <c r="B352" s="3" t="s">
        <v>1061</v>
      </c>
      <c r="C352" s="3" t="s">
        <v>3642</v>
      </c>
      <c r="D352" s="3" t="s">
        <v>3075</v>
      </c>
      <c r="E352" s="8" t="s">
        <v>3767</v>
      </c>
    </row>
    <row r="353" spans="1:5" ht="38.5" x14ac:dyDescent="0.35">
      <c r="A353" s="3" t="s">
        <v>3765</v>
      </c>
      <c r="B353" s="3" t="s">
        <v>1061</v>
      </c>
      <c r="C353" s="3" t="s">
        <v>3768</v>
      </c>
      <c r="D353" s="3" t="s">
        <v>3219</v>
      </c>
      <c r="E353" s="8" t="s">
        <v>3767</v>
      </c>
    </row>
    <row r="354" spans="1:5" ht="38.5" x14ac:dyDescent="0.35">
      <c r="A354" s="3" t="s">
        <v>3769</v>
      </c>
      <c r="B354" s="3" t="s">
        <v>1067</v>
      </c>
      <c r="C354" s="3" t="s">
        <v>3646</v>
      </c>
      <c r="D354" s="3" t="s">
        <v>3061</v>
      </c>
      <c r="E354" s="8" t="s">
        <v>3770</v>
      </c>
    </row>
    <row r="355" spans="1:5" ht="38.5" x14ac:dyDescent="0.35">
      <c r="A355" s="3" t="s">
        <v>3769</v>
      </c>
      <c r="B355" s="3" t="s">
        <v>1067</v>
      </c>
      <c r="C355" s="3" t="s">
        <v>3653</v>
      </c>
      <c r="D355" s="3" t="s">
        <v>3095</v>
      </c>
      <c r="E355" s="8" t="s">
        <v>3770</v>
      </c>
    </row>
    <row r="356" spans="1:5" ht="38.5" x14ac:dyDescent="0.35">
      <c r="A356" s="3" t="s">
        <v>3769</v>
      </c>
      <c r="B356" s="3" t="s">
        <v>1067</v>
      </c>
      <c r="C356" s="3" t="s">
        <v>3309</v>
      </c>
      <c r="D356" s="3" t="s">
        <v>3097</v>
      </c>
      <c r="E356" s="8" t="s">
        <v>3770</v>
      </c>
    </row>
    <row r="357" spans="1:5" ht="38.5" x14ac:dyDescent="0.35">
      <c r="A357" s="3" t="s">
        <v>3769</v>
      </c>
      <c r="B357" s="3" t="s">
        <v>1067</v>
      </c>
      <c r="C357" s="3" t="s">
        <v>3310</v>
      </c>
      <c r="D357" s="3" t="s">
        <v>3099</v>
      </c>
      <c r="E357" s="8" t="s">
        <v>3770</v>
      </c>
    </row>
    <row r="358" spans="1:5" ht="38.5" x14ac:dyDescent="0.35">
      <c r="A358" s="3" t="s">
        <v>3769</v>
      </c>
      <c r="B358" s="3" t="s">
        <v>1067</v>
      </c>
      <c r="C358" s="3" t="s">
        <v>3313</v>
      </c>
      <c r="D358" s="3" t="s">
        <v>3119</v>
      </c>
      <c r="E358" s="8" t="s">
        <v>3770</v>
      </c>
    </row>
    <row r="359" spans="1:5" ht="38.5" x14ac:dyDescent="0.35">
      <c r="A359" s="3" t="s">
        <v>3769</v>
      </c>
      <c r="B359" s="3" t="s">
        <v>1067</v>
      </c>
      <c r="C359" s="3" t="s">
        <v>3316</v>
      </c>
      <c r="D359" s="3" t="s">
        <v>3127</v>
      </c>
      <c r="E359" s="8" t="s">
        <v>3770</v>
      </c>
    </row>
    <row r="360" spans="1:5" ht="26" x14ac:dyDescent="0.35">
      <c r="A360" s="3" t="s">
        <v>3771</v>
      </c>
      <c r="B360" s="3" t="s">
        <v>1071</v>
      </c>
      <c r="C360" s="3" t="s">
        <v>3646</v>
      </c>
      <c r="D360" s="3" t="s">
        <v>3061</v>
      </c>
      <c r="E360" s="8" t="s">
        <v>3772</v>
      </c>
    </row>
    <row r="361" spans="1:5" ht="26" x14ac:dyDescent="0.35">
      <c r="A361" s="3" t="s">
        <v>3771</v>
      </c>
      <c r="B361" s="3" t="s">
        <v>1071</v>
      </c>
      <c r="C361" s="3" t="s">
        <v>3524</v>
      </c>
      <c r="D361" s="3" t="s">
        <v>3081</v>
      </c>
      <c r="E361" s="8" t="s">
        <v>3772</v>
      </c>
    </row>
    <row r="362" spans="1:5" ht="26" x14ac:dyDescent="0.35">
      <c r="A362" s="3" t="s">
        <v>3771</v>
      </c>
      <c r="B362" s="3" t="s">
        <v>1071</v>
      </c>
      <c r="C362" s="3" t="s">
        <v>3653</v>
      </c>
      <c r="D362" s="3" t="s">
        <v>3095</v>
      </c>
      <c r="E362" s="8" t="s">
        <v>3772</v>
      </c>
    </row>
    <row r="363" spans="1:5" ht="26" x14ac:dyDescent="0.35">
      <c r="A363" s="3" t="s">
        <v>3771</v>
      </c>
      <c r="B363" s="3" t="s">
        <v>1071</v>
      </c>
      <c r="C363" s="3" t="s">
        <v>3309</v>
      </c>
      <c r="D363" s="3" t="s">
        <v>3097</v>
      </c>
      <c r="E363" s="8" t="s">
        <v>3772</v>
      </c>
    </row>
    <row r="364" spans="1:5" ht="26" x14ac:dyDescent="0.35">
      <c r="A364" s="3" t="s">
        <v>3771</v>
      </c>
      <c r="B364" s="3" t="s">
        <v>1071</v>
      </c>
      <c r="C364" s="3" t="s">
        <v>3310</v>
      </c>
      <c r="D364" s="3" t="s">
        <v>3099</v>
      </c>
      <c r="E364" s="8" t="s">
        <v>3772</v>
      </c>
    </row>
    <row r="365" spans="1:5" ht="38.5" x14ac:dyDescent="0.35">
      <c r="A365" s="3" t="s">
        <v>3773</v>
      </c>
      <c r="B365" s="3" t="s">
        <v>1073</v>
      </c>
      <c r="C365" s="3" t="s">
        <v>3649</v>
      </c>
      <c r="D365" s="3" t="s">
        <v>2705</v>
      </c>
      <c r="E365" s="8" t="s">
        <v>3774</v>
      </c>
    </row>
    <row r="366" spans="1:5" ht="38.5" x14ac:dyDescent="0.35">
      <c r="A366" s="3" t="s">
        <v>3773</v>
      </c>
      <c r="B366" s="3" t="s">
        <v>1073</v>
      </c>
      <c r="C366" s="3" t="s">
        <v>3651</v>
      </c>
      <c r="D366" s="3" t="s">
        <v>2710</v>
      </c>
      <c r="E366" s="8" t="s">
        <v>3774</v>
      </c>
    </row>
    <row r="367" spans="1:5" ht="26" x14ac:dyDescent="0.35">
      <c r="A367" s="3" t="s">
        <v>3775</v>
      </c>
      <c r="B367" s="3" t="s">
        <v>1085</v>
      </c>
      <c r="C367" s="3" t="s">
        <v>3776</v>
      </c>
      <c r="D367" s="3" t="s">
        <v>2961</v>
      </c>
      <c r="E367" s="8" t="s">
        <v>3777</v>
      </c>
    </row>
    <row r="368" spans="1:5" ht="26" x14ac:dyDescent="0.35">
      <c r="A368" s="3" t="s">
        <v>3775</v>
      </c>
      <c r="B368" s="3" t="s">
        <v>1085</v>
      </c>
      <c r="C368" s="3" t="s">
        <v>3319</v>
      </c>
      <c r="D368" s="3" t="s">
        <v>3255</v>
      </c>
      <c r="E368" s="8" t="s">
        <v>3778</v>
      </c>
    </row>
    <row r="369" spans="1:5" ht="26" x14ac:dyDescent="0.35">
      <c r="A369" s="3" t="s">
        <v>3775</v>
      </c>
      <c r="B369" s="3" t="s">
        <v>1085</v>
      </c>
      <c r="C369" s="3" t="s">
        <v>3321</v>
      </c>
      <c r="D369" s="3" t="s">
        <v>3257</v>
      </c>
      <c r="E369" s="8" t="s">
        <v>3778</v>
      </c>
    </row>
    <row r="370" spans="1:5" ht="26" x14ac:dyDescent="0.35">
      <c r="A370" s="3" t="s">
        <v>3779</v>
      </c>
      <c r="B370" s="3" t="s">
        <v>1093</v>
      </c>
      <c r="C370" s="3" t="s">
        <v>2375</v>
      </c>
      <c r="D370" s="3" t="s">
        <v>2376</v>
      </c>
      <c r="E370" s="8" t="s">
        <v>3780</v>
      </c>
    </row>
    <row r="371" spans="1:5" ht="26" x14ac:dyDescent="0.35">
      <c r="A371" s="3" t="s">
        <v>3781</v>
      </c>
      <c r="B371" s="3" t="s">
        <v>1099</v>
      </c>
      <c r="C371" s="3" t="s">
        <v>3782</v>
      </c>
      <c r="D371" s="3" t="s">
        <v>2390</v>
      </c>
      <c r="E371" s="8" t="s">
        <v>3783</v>
      </c>
    </row>
    <row r="372" spans="1:5" ht="26" x14ac:dyDescent="0.35">
      <c r="A372" s="3" t="s">
        <v>3784</v>
      </c>
      <c r="B372" s="3" t="s">
        <v>1105</v>
      </c>
      <c r="C372" s="3" t="s">
        <v>2375</v>
      </c>
      <c r="D372" s="3" t="s">
        <v>2376</v>
      </c>
      <c r="E372" s="8" t="s">
        <v>3785</v>
      </c>
    </row>
    <row r="373" spans="1:5" ht="26" x14ac:dyDescent="0.35">
      <c r="A373" s="3" t="s">
        <v>3786</v>
      </c>
      <c r="B373" s="3" t="s">
        <v>1111</v>
      </c>
      <c r="C373" s="3" t="s">
        <v>2375</v>
      </c>
      <c r="D373" s="3" t="s">
        <v>2376</v>
      </c>
      <c r="E373" s="8" t="s">
        <v>3787</v>
      </c>
    </row>
    <row r="374" spans="1:5" ht="26" x14ac:dyDescent="0.35">
      <c r="A374" s="3" t="s">
        <v>3788</v>
      </c>
      <c r="B374" s="3" t="s">
        <v>1113</v>
      </c>
      <c r="C374" s="3" t="s">
        <v>3776</v>
      </c>
      <c r="D374" s="3" t="s">
        <v>2961</v>
      </c>
      <c r="E374" s="8" t="s">
        <v>3789</v>
      </c>
    </row>
    <row r="375" spans="1:5" ht="26" x14ac:dyDescent="0.35">
      <c r="A375" s="3" t="s">
        <v>3788</v>
      </c>
      <c r="B375" s="3" t="s">
        <v>1113</v>
      </c>
      <c r="C375" s="3" t="s">
        <v>3319</v>
      </c>
      <c r="D375" s="3" t="s">
        <v>3255</v>
      </c>
      <c r="E375" s="8" t="s">
        <v>3790</v>
      </c>
    </row>
    <row r="376" spans="1:5" ht="26" x14ac:dyDescent="0.35">
      <c r="A376" s="3" t="s">
        <v>3788</v>
      </c>
      <c r="B376" s="3" t="s">
        <v>1113</v>
      </c>
      <c r="C376" s="3" t="s">
        <v>3321</v>
      </c>
      <c r="D376" s="3" t="s">
        <v>3257</v>
      </c>
      <c r="E376" s="8" t="s">
        <v>3791</v>
      </c>
    </row>
    <row r="377" spans="1:5" ht="38.5" x14ac:dyDescent="0.35">
      <c r="A377" s="3" t="s">
        <v>3792</v>
      </c>
      <c r="B377" s="3" t="s">
        <v>1117</v>
      </c>
      <c r="C377" s="3" t="s">
        <v>3319</v>
      </c>
      <c r="D377" s="3" t="s">
        <v>3255</v>
      </c>
      <c r="E377" s="8" t="s">
        <v>3793</v>
      </c>
    </row>
    <row r="378" spans="1:5" ht="26" x14ac:dyDescent="0.35">
      <c r="A378" s="3" t="s">
        <v>3794</v>
      </c>
      <c r="B378" s="3" t="s">
        <v>1119</v>
      </c>
      <c r="C378" s="3" t="s">
        <v>2375</v>
      </c>
      <c r="D378" s="3" t="s">
        <v>2376</v>
      </c>
      <c r="E378" s="8" t="s">
        <v>3795</v>
      </c>
    </row>
    <row r="379" spans="1:5" ht="38.5" x14ac:dyDescent="0.35">
      <c r="A379" s="3" t="s">
        <v>3796</v>
      </c>
      <c r="B379" s="3" t="s">
        <v>1137</v>
      </c>
      <c r="C379" s="3" t="s">
        <v>2375</v>
      </c>
      <c r="D379" s="3" t="s">
        <v>2376</v>
      </c>
      <c r="E379" s="8" t="s">
        <v>3797</v>
      </c>
    </row>
    <row r="380" spans="1:5" ht="38.5" x14ac:dyDescent="0.35">
      <c r="A380" s="3" t="s">
        <v>3796</v>
      </c>
      <c r="B380" s="3" t="s">
        <v>1137</v>
      </c>
      <c r="C380" s="3" t="s">
        <v>3607</v>
      </c>
      <c r="D380" s="3" t="s">
        <v>3154</v>
      </c>
      <c r="E380" s="8" t="s">
        <v>3798</v>
      </c>
    </row>
    <row r="381" spans="1:5" ht="38.5" x14ac:dyDescent="0.35">
      <c r="A381" s="3" t="s">
        <v>3796</v>
      </c>
      <c r="B381" s="3" t="s">
        <v>1137</v>
      </c>
      <c r="C381" s="3" t="s">
        <v>3799</v>
      </c>
      <c r="D381" s="3" t="s">
        <v>3169</v>
      </c>
      <c r="E381" s="8" t="s">
        <v>3798</v>
      </c>
    </row>
    <row r="382" spans="1:5" ht="38.5" x14ac:dyDescent="0.35">
      <c r="A382" s="3" t="s">
        <v>3796</v>
      </c>
      <c r="B382" s="3" t="s">
        <v>1137</v>
      </c>
      <c r="C382" s="3" t="s">
        <v>3800</v>
      </c>
      <c r="D382" s="3" t="s">
        <v>3171</v>
      </c>
      <c r="E382" s="8" t="s">
        <v>3798</v>
      </c>
    </row>
    <row r="383" spans="1:5" ht="63.5" x14ac:dyDescent="0.35">
      <c r="A383" s="3" t="s">
        <v>3801</v>
      </c>
      <c r="B383" s="3" t="s">
        <v>1147</v>
      </c>
      <c r="C383" s="3" t="s">
        <v>3538</v>
      </c>
      <c r="D383" s="3" t="s">
        <v>3003</v>
      </c>
      <c r="E383" s="8" t="s">
        <v>3802</v>
      </c>
    </row>
    <row r="384" spans="1:5" ht="38.5" x14ac:dyDescent="0.35">
      <c r="A384" s="3" t="s">
        <v>3803</v>
      </c>
      <c r="B384" s="3" t="s">
        <v>1153</v>
      </c>
      <c r="C384" s="3" t="s">
        <v>3305</v>
      </c>
      <c r="D384" s="3" t="s">
        <v>2839</v>
      </c>
      <c r="E384" s="8" t="s">
        <v>3804</v>
      </c>
    </row>
    <row r="385" spans="1:5" ht="26" x14ac:dyDescent="0.35">
      <c r="A385" s="3" t="s">
        <v>3803</v>
      </c>
      <c r="B385" s="3" t="s">
        <v>1153</v>
      </c>
      <c r="C385" s="3" t="s">
        <v>3316</v>
      </c>
      <c r="D385" s="3" t="s">
        <v>3127</v>
      </c>
      <c r="E385" s="8" t="s">
        <v>3805</v>
      </c>
    </row>
    <row r="386" spans="1:5" ht="26" x14ac:dyDescent="0.35">
      <c r="A386" s="3" t="s">
        <v>3806</v>
      </c>
      <c r="B386" s="3" t="s">
        <v>1155</v>
      </c>
      <c r="C386" s="3" t="s">
        <v>3538</v>
      </c>
      <c r="D386" s="3" t="s">
        <v>3003</v>
      </c>
      <c r="E386" s="8" t="s">
        <v>3807</v>
      </c>
    </row>
    <row r="387" spans="1:5" ht="26" x14ac:dyDescent="0.35">
      <c r="A387" s="3" t="s">
        <v>3806</v>
      </c>
      <c r="B387" s="3" t="s">
        <v>1155</v>
      </c>
      <c r="C387" s="3" t="s">
        <v>3653</v>
      </c>
      <c r="D387" s="3" t="s">
        <v>3095</v>
      </c>
      <c r="E387" s="8" t="s">
        <v>3808</v>
      </c>
    </row>
    <row r="388" spans="1:5" ht="26" x14ac:dyDescent="0.35">
      <c r="A388" s="3" t="s">
        <v>3806</v>
      </c>
      <c r="B388" s="3" t="s">
        <v>1155</v>
      </c>
      <c r="C388" s="3" t="s">
        <v>3310</v>
      </c>
      <c r="D388" s="3" t="s">
        <v>3099</v>
      </c>
      <c r="E388" s="8" t="s">
        <v>3808</v>
      </c>
    </row>
    <row r="389" spans="1:5" ht="26" x14ac:dyDescent="0.35">
      <c r="A389" s="3" t="s">
        <v>3806</v>
      </c>
      <c r="B389" s="3" t="s">
        <v>1155</v>
      </c>
      <c r="C389" s="3" t="s">
        <v>3313</v>
      </c>
      <c r="D389" s="3" t="s">
        <v>3119</v>
      </c>
      <c r="E389" s="8" t="s">
        <v>3809</v>
      </c>
    </row>
    <row r="390" spans="1:5" ht="26" x14ac:dyDescent="0.35">
      <c r="A390" s="3" t="s">
        <v>3806</v>
      </c>
      <c r="B390" s="3" t="s">
        <v>1155</v>
      </c>
      <c r="C390" s="3" t="s">
        <v>3316</v>
      </c>
      <c r="D390" s="3" t="s">
        <v>3127</v>
      </c>
      <c r="E390" s="8" t="s">
        <v>3810</v>
      </c>
    </row>
    <row r="391" spans="1:5" ht="26" x14ac:dyDescent="0.35">
      <c r="A391" s="3" t="s">
        <v>3811</v>
      </c>
      <c r="B391" s="3" t="s">
        <v>1161</v>
      </c>
      <c r="C391" s="3" t="s">
        <v>3812</v>
      </c>
      <c r="D391" s="3" t="s">
        <v>3197</v>
      </c>
      <c r="E391" s="8" t="s">
        <v>3813</v>
      </c>
    </row>
    <row r="392" spans="1:5" ht="26" x14ac:dyDescent="0.35">
      <c r="A392" s="3" t="s">
        <v>3814</v>
      </c>
      <c r="B392" s="3" t="s">
        <v>1167</v>
      </c>
      <c r="C392" s="3" t="s">
        <v>2375</v>
      </c>
      <c r="D392" s="3" t="s">
        <v>2376</v>
      </c>
      <c r="E392" s="8" t="s">
        <v>3815</v>
      </c>
    </row>
    <row r="393" spans="1:5" ht="26" x14ac:dyDescent="0.35">
      <c r="A393" s="3" t="s">
        <v>3814</v>
      </c>
      <c r="B393" s="3" t="s">
        <v>1167</v>
      </c>
      <c r="C393" s="3" t="s">
        <v>3609</v>
      </c>
      <c r="D393" s="3" t="s">
        <v>3175</v>
      </c>
      <c r="E393" s="8" t="s">
        <v>3816</v>
      </c>
    </row>
    <row r="394" spans="1:5" ht="26" x14ac:dyDescent="0.35">
      <c r="A394" s="3" t="s">
        <v>3814</v>
      </c>
      <c r="B394" s="3" t="s">
        <v>1167</v>
      </c>
      <c r="C394" s="3" t="s">
        <v>3817</v>
      </c>
      <c r="D394" s="3" t="s">
        <v>3193</v>
      </c>
      <c r="E394" s="8" t="s">
        <v>3815</v>
      </c>
    </row>
    <row r="395" spans="1:5" ht="38.5" x14ac:dyDescent="0.35">
      <c r="A395" s="3" t="s">
        <v>3818</v>
      </c>
      <c r="B395" s="3" t="s">
        <v>1169</v>
      </c>
      <c r="C395" s="3" t="s">
        <v>3305</v>
      </c>
      <c r="D395" s="3" t="s">
        <v>2839</v>
      </c>
      <c r="E395" s="8" t="s">
        <v>3819</v>
      </c>
    </row>
    <row r="396" spans="1:5" ht="26" x14ac:dyDescent="0.35">
      <c r="A396" s="3" t="s">
        <v>3818</v>
      </c>
      <c r="B396" s="3" t="s">
        <v>1169</v>
      </c>
      <c r="C396" s="3" t="s">
        <v>3812</v>
      </c>
      <c r="D396" s="3" t="s">
        <v>3197</v>
      </c>
      <c r="E396" s="8" t="s">
        <v>3820</v>
      </c>
    </row>
    <row r="397" spans="1:5" ht="38.5" x14ac:dyDescent="0.35">
      <c r="A397" s="3" t="s">
        <v>3821</v>
      </c>
      <c r="B397" s="3" t="s">
        <v>1171</v>
      </c>
      <c r="C397" s="3" t="s">
        <v>3305</v>
      </c>
      <c r="D397" s="3" t="s">
        <v>2839</v>
      </c>
      <c r="E397" s="8" t="s">
        <v>3804</v>
      </c>
    </row>
    <row r="398" spans="1:5" ht="26" x14ac:dyDescent="0.35">
      <c r="A398" s="3" t="s">
        <v>3822</v>
      </c>
      <c r="B398" s="3" t="s">
        <v>1173</v>
      </c>
      <c r="C398" s="3" t="s">
        <v>3538</v>
      </c>
      <c r="D398" s="3" t="s">
        <v>3003</v>
      </c>
      <c r="E398" s="8" t="s">
        <v>3823</v>
      </c>
    </row>
    <row r="399" spans="1:5" ht="26" x14ac:dyDescent="0.35">
      <c r="A399" s="3" t="s">
        <v>3822</v>
      </c>
      <c r="B399" s="3" t="s">
        <v>1173</v>
      </c>
      <c r="C399" s="3" t="s">
        <v>3653</v>
      </c>
      <c r="D399" s="3" t="s">
        <v>3095</v>
      </c>
      <c r="E399" s="8" t="s">
        <v>3824</v>
      </c>
    </row>
    <row r="400" spans="1:5" ht="26" x14ac:dyDescent="0.35">
      <c r="A400" s="3" t="s">
        <v>3822</v>
      </c>
      <c r="B400" s="3" t="s">
        <v>1173</v>
      </c>
      <c r="C400" s="3" t="s">
        <v>3310</v>
      </c>
      <c r="D400" s="3" t="s">
        <v>3099</v>
      </c>
      <c r="E400" s="8" t="s">
        <v>3808</v>
      </c>
    </row>
    <row r="401" spans="1:5" x14ac:dyDescent="0.35">
      <c r="A401" s="3" t="s">
        <v>3822</v>
      </c>
      <c r="B401" s="3" t="s">
        <v>1173</v>
      </c>
      <c r="C401" s="3" t="s">
        <v>3313</v>
      </c>
      <c r="D401" s="3" t="s">
        <v>3119</v>
      </c>
      <c r="E401" s="8" t="s">
        <v>3825</v>
      </c>
    </row>
    <row r="402" spans="1:5" x14ac:dyDescent="0.35">
      <c r="A402" s="3" t="s">
        <v>3822</v>
      </c>
      <c r="B402" s="3" t="s">
        <v>1173</v>
      </c>
      <c r="C402" s="3" t="s">
        <v>3316</v>
      </c>
      <c r="D402" s="3" t="s">
        <v>3127</v>
      </c>
      <c r="E402" s="8" t="s">
        <v>3825</v>
      </c>
    </row>
    <row r="403" spans="1:5" ht="26" x14ac:dyDescent="0.35">
      <c r="A403" s="3" t="s">
        <v>3822</v>
      </c>
      <c r="B403" s="3" t="s">
        <v>1173</v>
      </c>
      <c r="C403" s="3" t="s">
        <v>3812</v>
      </c>
      <c r="D403" s="3" t="s">
        <v>3197</v>
      </c>
      <c r="E403" s="8" t="s">
        <v>3826</v>
      </c>
    </row>
    <row r="404" spans="1:5" ht="26" x14ac:dyDescent="0.35">
      <c r="A404" s="3" t="s">
        <v>3822</v>
      </c>
      <c r="B404" s="3" t="s">
        <v>1173</v>
      </c>
      <c r="C404" s="3" t="s">
        <v>3321</v>
      </c>
      <c r="D404" s="3" t="s">
        <v>3257</v>
      </c>
      <c r="E404" s="8" t="s">
        <v>3827</v>
      </c>
    </row>
    <row r="405" spans="1:5" ht="38.5" x14ac:dyDescent="0.35">
      <c r="A405" s="3" t="s">
        <v>3828</v>
      </c>
      <c r="B405" s="3" t="s">
        <v>1177</v>
      </c>
      <c r="C405" s="3" t="s">
        <v>3305</v>
      </c>
      <c r="D405" s="3" t="s">
        <v>2839</v>
      </c>
      <c r="E405" s="8" t="s">
        <v>3829</v>
      </c>
    </row>
    <row r="406" spans="1:5" ht="26" x14ac:dyDescent="0.35">
      <c r="A406" s="3" t="s">
        <v>3828</v>
      </c>
      <c r="B406" s="3" t="s">
        <v>1177</v>
      </c>
      <c r="C406" s="3" t="s">
        <v>3830</v>
      </c>
      <c r="D406" s="3" t="s">
        <v>3183</v>
      </c>
      <c r="E406" s="8" t="s">
        <v>3831</v>
      </c>
    </row>
    <row r="407" spans="1:5" ht="38.5" x14ac:dyDescent="0.35">
      <c r="A407" s="3" t="s">
        <v>3832</v>
      </c>
      <c r="B407" s="3" t="s">
        <v>1181</v>
      </c>
      <c r="C407" s="3" t="s">
        <v>3305</v>
      </c>
      <c r="D407" s="3" t="s">
        <v>2839</v>
      </c>
      <c r="E407" s="8" t="s">
        <v>3833</v>
      </c>
    </row>
    <row r="408" spans="1:5" ht="38.5" x14ac:dyDescent="0.35">
      <c r="A408" s="3" t="s">
        <v>3832</v>
      </c>
      <c r="B408" s="3" t="s">
        <v>1181</v>
      </c>
      <c r="C408" s="3" t="s">
        <v>3812</v>
      </c>
      <c r="D408" s="3" t="s">
        <v>3197</v>
      </c>
      <c r="E408" s="8" t="s">
        <v>3834</v>
      </c>
    </row>
    <row r="409" spans="1:5" ht="38.5" x14ac:dyDescent="0.35">
      <c r="A409" s="3" t="s">
        <v>3835</v>
      </c>
      <c r="B409" s="3" t="s">
        <v>1183</v>
      </c>
      <c r="C409" s="3" t="s">
        <v>3305</v>
      </c>
      <c r="D409" s="3" t="s">
        <v>2839</v>
      </c>
      <c r="E409" s="8" t="s">
        <v>3836</v>
      </c>
    </row>
    <row r="410" spans="1:5" ht="38.5" x14ac:dyDescent="0.35">
      <c r="A410" s="3" t="s">
        <v>3837</v>
      </c>
      <c r="B410" s="3" t="s">
        <v>1187</v>
      </c>
      <c r="C410" s="3" t="s">
        <v>3305</v>
      </c>
      <c r="D410" s="3" t="s">
        <v>2839</v>
      </c>
      <c r="E410" s="8" t="s">
        <v>3804</v>
      </c>
    </row>
    <row r="411" spans="1:5" ht="26" x14ac:dyDescent="0.35">
      <c r="A411" s="3" t="s">
        <v>3837</v>
      </c>
      <c r="B411" s="3" t="s">
        <v>1187</v>
      </c>
      <c r="C411" s="3" t="s">
        <v>3838</v>
      </c>
      <c r="D411" s="3" t="s">
        <v>3191</v>
      </c>
      <c r="E411" s="8" t="s">
        <v>3839</v>
      </c>
    </row>
    <row r="412" spans="1:5" ht="51" x14ac:dyDescent="0.35">
      <c r="A412" s="3" t="s">
        <v>3840</v>
      </c>
      <c r="B412" s="3" t="s">
        <v>1189</v>
      </c>
      <c r="C412" s="3" t="s">
        <v>3305</v>
      </c>
      <c r="D412" s="3" t="s">
        <v>2839</v>
      </c>
      <c r="E412" s="8" t="s">
        <v>3841</v>
      </c>
    </row>
    <row r="413" spans="1:5" ht="38.5" x14ac:dyDescent="0.35">
      <c r="A413" s="3" t="s">
        <v>3840</v>
      </c>
      <c r="B413" s="3" t="s">
        <v>1189</v>
      </c>
      <c r="C413" s="3" t="s">
        <v>3812</v>
      </c>
      <c r="D413" s="3" t="s">
        <v>3197</v>
      </c>
      <c r="E413" s="8" t="s">
        <v>3842</v>
      </c>
    </row>
    <row r="414" spans="1:5" ht="38.5" x14ac:dyDescent="0.35">
      <c r="A414" s="3" t="s">
        <v>3843</v>
      </c>
      <c r="B414" s="3" t="s">
        <v>1191</v>
      </c>
      <c r="C414" s="3" t="s">
        <v>3305</v>
      </c>
      <c r="D414" s="3" t="s">
        <v>2839</v>
      </c>
      <c r="E414" s="8" t="s">
        <v>3804</v>
      </c>
    </row>
    <row r="415" spans="1:5" ht="26" x14ac:dyDescent="0.35">
      <c r="A415" s="3" t="s">
        <v>3843</v>
      </c>
      <c r="B415" s="3" t="s">
        <v>1191</v>
      </c>
      <c r="C415" s="3" t="s">
        <v>3812</v>
      </c>
      <c r="D415" s="3" t="s">
        <v>3197</v>
      </c>
      <c r="E415" s="8" t="s">
        <v>3844</v>
      </c>
    </row>
    <row r="416" spans="1:5" ht="38.5" x14ac:dyDescent="0.35">
      <c r="A416" s="3" t="s">
        <v>3845</v>
      </c>
      <c r="B416" s="3" t="s">
        <v>1193</v>
      </c>
      <c r="C416" s="3" t="s">
        <v>3305</v>
      </c>
      <c r="D416" s="3" t="s">
        <v>2839</v>
      </c>
      <c r="E416" s="8" t="s">
        <v>3804</v>
      </c>
    </row>
    <row r="417" spans="1:5" ht="38.5" x14ac:dyDescent="0.35">
      <c r="A417" s="3" t="s">
        <v>3846</v>
      </c>
      <c r="B417" s="3" t="s">
        <v>1205</v>
      </c>
      <c r="C417" s="3" t="s">
        <v>2375</v>
      </c>
      <c r="D417" s="3" t="s">
        <v>2376</v>
      </c>
      <c r="E417" s="8" t="s">
        <v>3847</v>
      </c>
    </row>
    <row r="418" spans="1:5" ht="26" x14ac:dyDescent="0.35">
      <c r="A418" s="3" t="s">
        <v>3848</v>
      </c>
      <c r="B418" s="3" t="s">
        <v>1207</v>
      </c>
      <c r="C418" s="3" t="s">
        <v>3830</v>
      </c>
      <c r="D418" s="3" t="s">
        <v>3183</v>
      </c>
      <c r="E418" s="8" t="s">
        <v>3849</v>
      </c>
    </row>
    <row r="419" spans="1:5" ht="38.5" x14ac:dyDescent="0.35">
      <c r="A419" s="3" t="s">
        <v>3848</v>
      </c>
      <c r="B419" s="3" t="s">
        <v>1207</v>
      </c>
      <c r="C419" s="3" t="s">
        <v>3850</v>
      </c>
      <c r="D419" s="3" t="s">
        <v>3187</v>
      </c>
      <c r="E419" s="8" t="s">
        <v>3851</v>
      </c>
    </row>
    <row r="420" spans="1:5" ht="38.5" x14ac:dyDescent="0.35">
      <c r="A420" s="3" t="s">
        <v>3852</v>
      </c>
      <c r="B420" s="3" t="s">
        <v>1215</v>
      </c>
      <c r="C420" s="3" t="s">
        <v>3853</v>
      </c>
      <c r="D420" s="3" t="s">
        <v>3221</v>
      </c>
      <c r="E420" s="8" t="s">
        <v>3854</v>
      </c>
    </row>
    <row r="421" spans="1:5" ht="51" x14ac:dyDescent="0.35">
      <c r="A421" s="3" t="s">
        <v>3852</v>
      </c>
      <c r="B421" s="3" t="s">
        <v>1215</v>
      </c>
      <c r="C421" s="3" t="s">
        <v>3321</v>
      </c>
      <c r="D421" s="3" t="s">
        <v>3257</v>
      </c>
      <c r="E421" s="8" t="s">
        <v>3855</v>
      </c>
    </row>
    <row r="422" spans="1:5" ht="26" x14ac:dyDescent="0.35">
      <c r="A422" s="3" t="s">
        <v>3856</v>
      </c>
      <c r="B422" s="3" t="s">
        <v>1219</v>
      </c>
      <c r="C422" s="3" t="s">
        <v>3321</v>
      </c>
      <c r="D422" s="3" t="s">
        <v>3257</v>
      </c>
      <c r="E422" s="8" t="s">
        <v>3857</v>
      </c>
    </row>
    <row r="423" spans="1:5" ht="38.5" x14ac:dyDescent="0.35">
      <c r="A423" s="3" t="s">
        <v>3858</v>
      </c>
      <c r="B423" s="3" t="s">
        <v>1237</v>
      </c>
      <c r="C423" s="3" t="s">
        <v>3859</v>
      </c>
      <c r="D423" s="3" t="s">
        <v>3225</v>
      </c>
      <c r="E423" s="8" t="s">
        <v>3860</v>
      </c>
    </row>
    <row r="424" spans="1:5" ht="26" x14ac:dyDescent="0.35">
      <c r="A424" s="3" t="s">
        <v>3861</v>
      </c>
      <c r="B424" s="3" t="s">
        <v>1245</v>
      </c>
      <c r="C424" s="3" t="s">
        <v>2375</v>
      </c>
      <c r="D424" s="3" t="s">
        <v>2376</v>
      </c>
      <c r="E424" s="8" t="s">
        <v>3862</v>
      </c>
    </row>
    <row r="425" spans="1:5" ht="51" x14ac:dyDescent="0.35">
      <c r="A425" s="3" t="s">
        <v>3863</v>
      </c>
      <c r="B425" s="3" t="s">
        <v>1249</v>
      </c>
      <c r="C425" s="3" t="s">
        <v>3305</v>
      </c>
      <c r="D425" s="3" t="s">
        <v>2839</v>
      </c>
      <c r="E425" s="8" t="s">
        <v>3864</v>
      </c>
    </row>
    <row r="426" spans="1:5" ht="38.5" x14ac:dyDescent="0.35">
      <c r="A426" s="3" t="s">
        <v>3865</v>
      </c>
      <c r="B426" s="3" t="s">
        <v>1251</v>
      </c>
      <c r="C426" s="3" t="s">
        <v>3866</v>
      </c>
      <c r="D426" s="3" t="s">
        <v>3159</v>
      </c>
      <c r="E426" s="8" t="s">
        <v>3867</v>
      </c>
    </row>
    <row r="427" spans="1:5" ht="38.5" x14ac:dyDescent="0.35">
      <c r="A427" s="3" t="s">
        <v>3868</v>
      </c>
      <c r="B427" s="3" t="s">
        <v>1255</v>
      </c>
      <c r="C427" s="3" t="s">
        <v>3799</v>
      </c>
      <c r="D427" s="3" t="s">
        <v>3169</v>
      </c>
      <c r="E427" s="8" t="s">
        <v>3869</v>
      </c>
    </row>
    <row r="428" spans="1:5" ht="26" x14ac:dyDescent="0.35">
      <c r="A428" s="3" t="s">
        <v>3870</v>
      </c>
      <c r="B428" s="3" t="s">
        <v>1267</v>
      </c>
      <c r="C428" s="3" t="s">
        <v>3853</v>
      </c>
      <c r="D428" s="3" t="s">
        <v>3221</v>
      </c>
      <c r="E428" s="8" t="s">
        <v>3871</v>
      </c>
    </row>
    <row r="429" spans="1:5" ht="26" x14ac:dyDescent="0.35">
      <c r="A429" s="3" t="s">
        <v>3872</v>
      </c>
      <c r="B429" s="3" t="s">
        <v>1309</v>
      </c>
      <c r="C429" s="3" t="s">
        <v>3605</v>
      </c>
      <c r="D429" s="3" t="s">
        <v>3045</v>
      </c>
      <c r="E429" s="8" t="s">
        <v>3873</v>
      </c>
    </row>
    <row r="430" spans="1:5" ht="51" x14ac:dyDescent="0.35">
      <c r="A430" s="3" t="s">
        <v>3872</v>
      </c>
      <c r="B430" s="3" t="s">
        <v>1309</v>
      </c>
      <c r="C430" s="3" t="s">
        <v>3859</v>
      </c>
      <c r="D430" s="3" t="s">
        <v>3225</v>
      </c>
      <c r="E430" s="8" t="s">
        <v>3874</v>
      </c>
    </row>
    <row r="431" spans="1:5" ht="26" x14ac:dyDescent="0.35">
      <c r="A431" s="3" t="s">
        <v>3875</v>
      </c>
      <c r="B431" s="3" t="s">
        <v>1327</v>
      </c>
      <c r="C431" s="3" t="s">
        <v>2375</v>
      </c>
      <c r="D431" s="3" t="s">
        <v>2376</v>
      </c>
      <c r="E431" s="8" t="s">
        <v>3876</v>
      </c>
    </row>
    <row r="432" spans="1:5" ht="38.5" x14ac:dyDescent="0.35">
      <c r="A432" s="3" t="s">
        <v>3875</v>
      </c>
      <c r="B432" s="3" t="s">
        <v>1327</v>
      </c>
      <c r="C432" s="3" t="s">
        <v>3649</v>
      </c>
      <c r="D432" s="3" t="s">
        <v>2705</v>
      </c>
      <c r="E432" s="8" t="s">
        <v>3877</v>
      </c>
    </row>
    <row r="433" spans="1:5" ht="38.5" x14ac:dyDescent="0.35">
      <c r="A433" s="3" t="s">
        <v>3875</v>
      </c>
      <c r="B433" s="3" t="s">
        <v>1327</v>
      </c>
      <c r="C433" s="3" t="s">
        <v>3651</v>
      </c>
      <c r="D433" s="3" t="s">
        <v>2710</v>
      </c>
      <c r="E433" s="8" t="s">
        <v>3878</v>
      </c>
    </row>
    <row r="434" spans="1:5" ht="26" x14ac:dyDescent="0.35">
      <c r="A434" s="3" t="s">
        <v>3875</v>
      </c>
      <c r="B434" s="3" t="s">
        <v>1327</v>
      </c>
      <c r="C434" s="3" t="s">
        <v>3879</v>
      </c>
      <c r="D434" s="3" t="s">
        <v>2717</v>
      </c>
      <c r="E434" s="8" t="s">
        <v>3880</v>
      </c>
    </row>
    <row r="435" spans="1:5" ht="38.5" x14ac:dyDescent="0.35">
      <c r="A435" s="3" t="s">
        <v>3875</v>
      </c>
      <c r="B435" s="3" t="s">
        <v>1327</v>
      </c>
      <c r="C435" s="3" t="s">
        <v>3881</v>
      </c>
      <c r="D435" s="3" t="s">
        <v>2725</v>
      </c>
      <c r="E435" s="8" t="s">
        <v>3882</v>
      </c>
    </row>
    <row r="436" spans="1:5" ht="26" x14ac:dyDescent="0.35">
      <c r="A436" s="3" t="s">
        <v>3875</v>
      </c>
      <c r="B436" s="3" t="s">
        <v>1327</v>
      </c>
      <c r="C436" s="3" t="s">
        <v>3883</v>
      </c>
      <c r="D436" s="3" t="s">
        <v>2741</v>
      </c>
      <c r="E436" s="8" t="s">
        <v>3884</v>
      </c>
    </row>
    <row r="437" spans="1:5" ht="38.5" x14ac:dyDescent="0.35">
      <c r="A437" s="3" t="s">
        <v>3875</v>
      </c>
      <c r="B437" s="3" t="s">
        <v>1327</v>
      </c>
      <c r="C437" s="3" t="s">
        <v>3885</v>
      </c>
      <c r="D437" s="3" t="s">
        <v>2743</v>
      </c>
      <c r="E437" s="8" t="s">
        <v>3886</v>
      </c>
    </row>
    <row r="438" spans="1:5" ht="26" x14ac:dyDescent="0.35">
      <c r="A438" s="3" t="s">
        <v>3875</v>
      </c>
      <c r="B438" s="3" t="s">
        <v>1327</v>
      </c>
      <c r="C438" s="3" t="s">
        <v>3887</v>
      </c>
      <c r="D438" s="3" t="s">
        <v>2751</v>
      </c>
      <c r="E438" s="8" t="s">
        <v>3884</v>
      </c>
    </row>
    <row r="439" spans="1:5" ht="26" x14ac:dyDescent="0.35">
      <c r="A439" s="3" t="s">
        <v>3875</v>
      </c>
      <c r="B439" s="3" t="s">
        <v>1327</v>
      </c>
      <c r="C439" s="3" t="s">
        <v>3888</v>
      </c>
      <c r="D439" s="3" t="s">
        <v>2806</v>
      </c>
      <c r="E439" s="8" t="s">
        <v>3876</v>
      </c>
    </row>
    <row r="440" spans="1:5" ht="26" x14ac:dyDescent="0.35">
      <c r="A440" s="3" t="s">
        <v>3875</v>
      </c>
      <c r="B440" s="3" t="s">
        <v>1327</v>
      </c>
      <c r="C440" s="3" t="s">
        <v>3889</v>
      </c>
      <c r="D440" s="3" t="s">
        <v>2808</v>
      </c>
      <c r="E440" s="8" t="s">
        <v>3876</v>
      </c>
    </row>
    <row r="441" spans="1:5" ht="26" x14ac:dyDescent="0.35">
      <c r="A441" s="3" t="s">
        <v>3875</v>
      </c>
      <c r="B441" s="3" t="s">
        <v>1327</v>
      </c>
      <c r="C441" s="3" t="s">
        <v>3890</v>
      </c>
      <c r="D441" s="3" t="s">
        <v>2810</v>
      </c>
      <c r="E441" s="8" t="s">
        <v>3876</v>
      </c>
    </row>
    <row r="442" spans="1:5" ht="26" x14ac:dyDescent="0.35">
      <c r="A442" s="3" t="s">
        <v>3875</v>
      </c>
      <c r="B442" s="3" t="s">
        <v>1327</v>
      </c>
      <c r="C442" s="3" t="s">
        <v>3305</v>
      </c>
      <c r="D442" s="3" t="s">
        <v>2839</v>
      </c>
      <c r="E442" s="8" t="s">
        <v>3891</v>
      </c>
    </row>
    <row r="443" spans="1:5" ht="26" x14ac:dyDescent="0.35">
      <c r="A443" s="3" t="s">
        <v>3875</v>
      </c>
      <c r="B443" s="3" t="s">
        <v>1327</v>
      </c>
      <c r="C443" s="3" t="s">
        <v>3607</v>
      </c>
      <c r="D443" s="3" t="s">
        <v>3154</v>
      </c>
      <c r="E443" s="8" t="s">
        <v>3892</v>
      </c>
    </row>
    <row r="444" spans="1:5" ht="26" x14ac:dyDescent="0.35">
      <c r="A444" s="3" t="s">
        <v>3875</v>
      </c>
      <c r="B444" s="3" t="s">
        <v>1327</v>
      </c>
      <c r="C444" s="3" t="s">
        <v>3799</v>
      </c>
      <c r="D444" s="3" t="s">
        <v>3169</v>
      </c>
      <c r="E444" s="8" t="s">
        <v>3892</v>
      </c>
    </row>
    <row r="445" spans="1:5" ht="26" x14ac:dyDescent="0.35">
      <c r="A445" s="3" t="s">
        <v>3875</v>
      </c>
      <c r="B445" s="3" t="s">
        <v>1327</v>
      </c>
      <c r="C445" s="3" t="s">
        <v>3800</v>
      </c>
      <c r="D445" s="3" t="s">
        <v>3171</v>
      </c>
      <c r="E445" s="8" t="s">
        <v>3892</v>
      </c>
    </row>
    <row r="446" spans="1:5" ht="26" x14ac:dyDescent="0.35">
      <c r="A446" s="3" t="s">
        <v>3875</v>
      </c>
      <c r="B446" s="3" t="s">
        <v>1327</v>
      </c>
      <c r="C446" s="3" t="s">
        <v>3830</v>
      </c>
      <c r="D446" s="3" t="s">
        <v>3183</v>
      </c>
      <c r="E446" s="8" t="s">
        <v>3893</v>
      </c>
    </row>
    <row r="447" spans="1:5" ht="38.5" x14ac:dyDescent="0.35">
      <c r="A447" s="3" t="s">
        <v>3875</v>
      </c>
      <c r="B447" s="3" t="s">
        <v>1327</v>
      </c>
      <c r="C447" s="3" t="s">
        <v>3838</v>
      </c>
      <c r="D447" s="3" t="s">
        <v>3191</v>
      </c>
      <c r="E447" s="8" t="s">
        <v>3894</v>
      </c>
    </row>
    <row r="448" spans="1:5" ht="38.5" x14ac:dyDescent="0.35">
      <c r="A448" s="3" t="s">
        <v>3875</v>
      </c>
      <c r="B448" s="3" t="s">
        <v>1327</v>
      </c>
      <c r="C448" s="3" t="s">
        <v>3817</v>
      </c>
      <c r="D448" s="3" t="s">
        <v>3193</v>
      </c>
      <c r="E448" s="8" t="s">
        <v>3895</v>
      </c>
    </row>
    <row r="449" spans="1:5" ht="38.5" x14ac:dyDescent="0.35">
      <c r="A449" s="3" t="s">
        <v>3875</v>
      </c>
      <c r="B449" s="3" t="s">
        <v>1327</v>
      </c>
      <c r="C449" s="3" t="s">
        <v>3812</v>
      </c>
      <c r="D449" s="3" t="s">
        <v>3197</v>
      </c>
      <c r="E449" s="8" t="s">
        <v>3894</v>
      </c>
    </row>
    <row r="450" spans="1:5" ht="26" x14ac:dyDescent="0.35">
      <c r="A450" s="3" t="s">
        <v>3875</v>
      </c>
      <c r="B450" s="3" t="s">
        <v>1327</v>
      </c>
      <c r="C450" s="3" t="s">
        <v>3896</v>
      </c>
      <c r="D450" s="3" t="s">
        <v>3223</v>
      </c>
      <c r="E450" s="8" t="s">
        <v>3897</v>
      </c>
    </row>
    <row r="451" spans="1:5" ht="26" x14ac:dyDescent="0.35">
      <c r="A451" s="3" t="s">
        <v>3898</v>
      </c>
      <c r="B451" s="3" t="s">
        <v>1329</v>
      </c>
      <c r="C451" s="3" t="s">
        <v>2375</v>
      </c>
      <c r="D451" s="3" t="s">
        <v>2376</v>
      </c>
      <c r="E451" s="8" t="s">
        <v>3899</v>
      </c>
    </row>
    <row r="452" spans="1:5" ht="38.5" x14ac:dyDescent="0.35">
      <c r="A452" s="3" t="s">
        <v>3900</v>
      </c>
      <c r="B452" s="3" t="s">
        <v>1333</v>
      </c>
      <c r="C452" s="3" t="s">
        <v>3896</v>
      </c>
      <c r="D452" s="3" t="s">
        <v>3223</v>
      </c>
      <c r="E452" s="8" t="s">
        <v>3901</v>
      </c>
    </row>
    <row r="453" spans="1:5" ht="38.5" x14ac:dyDescent="0.35">
      <c r="A453" s="3" t="s">
        <v>3902</v>
      </c>
      <c r="B453" s="3" t="s">
        <v>1337</v>
      </c>
      <c r="C453" s="3" t="s">
        <v>3883</v>
      </c>
      <c r="D453" s="3" t="s">
        <v>2741</v>
      </c>
      <c r="E453" s="8" t="s">
        <v>3903</v>
      </c>
    </row>
    <row r="454" spans="1:5" ht="38.5" x14ac:dyDescent="0.35">
      <c r="A454" s="3" t="s">
        <v>3902</v>
      </c>
      <c r="B454" s="3" t="s">
        <v>1337</v>
      </c>
      <c r="C454" s="3" t="s">
        <v>3885</v>
      </c>
      <c r="D454" s="3" t="s">
        <v>2743</v>
      </c>
      <c r="E454" s="8" t="s">
        <v>3903</v>
      </c>
    </row>
    <row r="455" spans="1:5" ht="38.5" x14ac:dyDescent="0.35">
      <c r="A455" s="3" t="s">
        <v>3902</v>
      </c>
      <c r="B455" s="3" t="s">
        <v>1337</v>
      </c>
      <c r="C455" s="3" t="s">
        <v>3887</v>
      </c>
      <c r="D455" s="3" t="s">
        <v>2751</v>
      </c>
      <c r="E455" s="8" t="s">
        <v>3903</v>
      </c>
    </row>
    <row r="456" spans="1:5" ht="38.5" x14ac:dyDescent="0.35">
      <c r="A456" s="3" t="s">
        <v>3904</v>
      </c>
      <c r="B456" s="3" t="s">
        <v>1341</v>
      </c>
      <c r="C456" s="3" t="s">
        <v>3351</v>
      </c>
      <c r="D456" s="3" t="s">
        <v>2943</v>
      </c>
      <c r="E456" s="8" t="s">
        <v>3905</v>
      </c>
    </row>
    <row r="457" spans="1:5" ht="51" x14ac:dyDescent="0.35">
      <c r="A457" s="3" t="s">
        <v>3906</v>
      </c>
      <c r="B457" s="3" t="s">
        <v>1349</v>
      </c>
      <c r="C457" s="3" t="s">
        <v>3907</v>
      </c>
      <c r="D457" s="3" t="s">
        <v>2975</v>
      </c>
      <c r="E457" s="8" t="s">
        <v>3908</v>
      </c>
    </row>
    <row r="458" spans="1:5" ht="63.5" x14ac:dyDescent="0.35">
      <c r="A458" s="3" t="s">
        <v>3909</v>
      </c>
      <c r="B458" s="3" t="s">
        <v>1361</v>
      </c>
      <c r="C458" s="3" t="s">
        <v>3351</v>
      </c>
      <c r="D458" s="3" t="s">
        <v>2943</v>
      </c>
      <c r="E458" s="8" t="s">
        <v>3910</v>
      </c>
    </row>
    <row r="459" spans="1:5" ht="38.5" x14ac:dyDescent="0.35">
      <c r="A459" s="3" t="s">
        <v>3911</v>
      </c>
      <c r="B459" s="3" t="s">
        <v>1373</v>
      </c>
      <c r="C459" s="3" t="s">
        <v>2375</v>
      </c>
      <c r="D459" s="3" t="s">
        <v>2376</v>
      </c>
      <c r="E459" s="8" t="s">
        <v>3912</v>
      </c>
    </row>
    <row r="460" spans="1:5" ht="38.5" x14ac:dyDescent="0.35">
      <c r="A460" s="3" t="s">
        <v>3911</v>
      </c>
      <c r="B460" s="3" t="s">
        <v>1373</v>
      </c>
      <c r="C460" s="3" t="s">
        <v>3913</v>
      </c>
      <c r="D460" s="3" t="s">
        <v>2967</v>
      </c>
      <c r="E460" s="8" t="s">
        <v>3912</v>
      </c>
    </row>
    <row r="461" spans="1:5" ht="26" x14ac:dyDescent="0.35">
      <c r="A461" s="3" t="s">
        <v>3914</v>
      </c>
      <c r="B461" s="3" t="s">
        <v>1383</v>
      </c>
      <c r="C461" s="3" t="s">
        <v>2375</v>
      </c>
      <c r="D461" s="3" t="s">
        <v>2376</v>
      </c>
      <c r="E461" s="8" t="s">
        <v>3915</v>
      </c>
    </row>
    <row r="462" spans="1:5" ht="26" x14ac:dyDescent="0.35">
      <c r="A462" s="3" t="s">
        <v>3914</v>
      </c>
      <c r="B462" s="3" t="s">
        <v>1383</v>
      </c>
      <c r="C462" s="3" t="s">
        <v>3916</v>
      </c>
      <c r="D462" s="3" t="s">
        <v>2765</v>
      </c>
      <c r="E462" s="8" t="s">
        <v>3915</v>
      </c>
    </row>
    <row r="463" spans="1:5" ht="26" x14ac:dyDescent="0.35">
      <c r="A463" s="3" t="s">
        <v>3914</v>
      </c>
      <c r="B463" s="3" t="s">
        <v>1383</v>
      </c>
      <c r="C463" s="3" t="s">
        <v>3368</v>
      </c>
      <c r="D463" s="3" t="s">
        <v>2874</v>
      </c>
      <c r="E463" s="8" t="s">
        <v>3915</v>
      </c>
    </row>
    <row r="464" spans="1:5" ht="26" x14ac:dyDescent="0.35">
      <c r="A464" s="3" t="s">
        <v>3914</v>
      </c>
      <c r="B464" s="3" t="s">
        <v>1383</v>
      </c>
      <c r="C464" s="3" t="s">
        <v>3361</v>
      </c>
      <c r="D464" s="3" t="s">
        <v>2876</v>
      </c>
      <c r="E464" s="8" t="s">
        <v>3915</v>
      </c>
    </row>
    <row r="465" spans="1:5" ht="26" x14ac:dyDescent="0.35">
      <c r="A465" s="3" t="s">
        <v>3914</v>
      </c>
      <c r="B465" s="3" t="s">
        <v>1383</v>
      </c>
      <c r="C465" s="3" t="s">
        <v>3365</v>
      </c>
      <c r="D465" s="3" t="s">
        <v>2889</v>
      </c>
      <c r="E465" s="8" t="s">
        <v>3915</v>
      </c>
    </row>
    <row r="466" spans="1:5" ht="26" x14ac:dyDescent="0.35">
      <c r="A466" s="3" t="s">
        <v>3914</v>
      </c>
      <c r="B466" s="3" t="s">
        <v>1383</v>
      </c>
      <c r="C466" s="3" t="s">
        <v>3646</v>
      </c>
      <c r="D466" s="3" t="s">
        <v>3061</v>
      </c>
      <c r="E466" s="8" t="s">
        <v>3915</v>
      </c>
    </row>
    <row r="467" spans="1:5" ht="26" x14ac:dyDescent="0.35">
      <c r="A467" s="3" t="s">
        <v>3917</v>
      </c>
      <c r="B467" s="3" t="s">
        <v>1387</v>
      </c>
      <c r="C467" s="3" t="s">
        <v>2375</v>
      </c>
      <c r="D467" s="3" t="s">
        <v>2376</v>
      </c>
      <c r="E467" s="8" t="s">
        <v>3918</v>
      </c>
    </row>
    <row r="468" spans="1:5" ht="26" x14ac:dyDescent="0.35">
      <c r="A468" s="3" t="s">
        <v>3919</v>
      </c>
      <c r="B468" s="3" t="s">
        <v>1389</v>
      </c>
      <c r="C468" s="3" t="s">
        <v>2375</v>
      </c>
      <c r="D468" s="3" t="s">
        <v>2376</v>
      </c>
      <c r="E468" s="8" t="s">
        <v>3920</v>
      </c>
    </row>
    <row r="469" spans="1:5" ht="38.5" x14ac:dyDescent="0.35">
      <c r="A469" s="3" t="s">
        <v>3921</v>
      </c>
      <c r="B469" s="3" t="s">
        <v>1395</v>
      </c>
      <c r="C469" s="3" t="s">
        <v>2375</v>
      </c>
      <c r="D469" s="3" t="s">
        <v>2376</v>
      </c>
      <c r="E469" s="8" t="s">
        <v>3922</v>
      </c>
    </row>
    <row r="470" spans="1:5" ht="38.5" x14ac:dyDescent="0.35">
      <c r="A470" s="3" t="s">
        <v>3921</v>
      </c>
      <c r="B470" s="3" t="s">
        <v>1395</v>
      </c>
      <c r="C470" s="3" t="s">
        <v>3368</v>
      </c>
      <c r="D470" s="3" t="s">
        <v>2874</v>
      </c>
      <c r="E470" s="8" t="s">
        <v>3922</v>
      </c>
    </row>
    <row r="471" spans="1:5" ht="38.5" x14ac:dyDescent="0.35">
      <c r="A471" s="3" t="s">
        <v>3921</v>
      </c>
      <c r="B471" s="3" t="s">
        <v>1395</v>
      </c>
      <c r="C471" s="3" t="s">
        <v>3361</v>
      </c>
      <c r="D471" s="3" t="s">
        <v>2876</v>
      </c>
      <c r="E471" s="8" t="s">
        <v>3922</v>
      </c>
    </row>
    <row r="472" spans="1:5" ht="38.5" x14ac:dyDescent="0.35">
      <c r="A472" s="3" t="s">
        <v>3921</v>
      </c>
      <c r="B472" s="3" t="s">
        <v>1395</v>
      </c>
      <c r="C472" s="3" t="s">
        <v>3299</v>
      </c>
      <c r="D472" s="3" t="s">
        <v>2923</v>
      </c>
      <c r="E472" s="8" t="s">
        <v>3922</v>
      </c>
    </row>
    <row r="473" spans="1:5" ht="38.5" x14ac:dyDescent="0.35">
      <c r="A473" s="3" t="s">
        <v>3921</v>
      </c>
      <c r="B473" s="3" t="s">
        <v>1395</v>
      </c>
      <c r="C473" s="3" t="s">
        <v>3296</v>
      </c>
      <c r="D473" s="3" t="s">
        <v>2953</v>
      </c>
      <c r="E473" s="8" t="s">
        <v>3922</v>
      </c>
    </row>
    <row r="474" spans="1:5" ht="38.5" x14ac:dyDescent="0.35">
      <c r="A474" s="3" t="s">
        <v>3921</v>
      </c>
      <c r="B474" s="3" t="s">
        <v>1395</v>
      </c>
      <c r="C474" s="3" t="s">
        <v>3913</v>
      </c>
      <c r="D474" s="3" t="s">
        <v>2967</v>
      </c>
      <c r="E474" s="8" t="s">
        <v>3922</v>
      </c>
    </row>
    <row r="475" spans="1:5" ht="26" x14ac:dyDescent="0.35">
      <c r="A475" s="3" t="s">
        <v>3923</v>
      </c>
      <c r="B475" s="3" t="s">
        <v>1397</v>
      </c>
      <c r="C475" s="3" t="s">
        <v>2375</v>
      </c>
      <c r="D475" s="3" t="s">
        <v>2376</v>
      </c>
      <c r="E475" s="8" t="s">
        <v>3924</v>
      </c>
    </row>
    <row r="476" spans="1:5" ht="38.5" x14ac:dyDescent="0.35">
      <c r="A476" s="3" t="s">
        <v>3923</v>
      </c>
      <c r="B476" s="3" t="s">
        <v>1397</v>
      </c>
      <c r="C476" s="3" t="s">
        <v>3679</v>
      </c>
      <c r="D476" s="3" t="s">
        <v>2883</v>
      </c>
      <c r="E476" s="8" t="s">
        <v>3925</v>
      </c>
    </row>
    <row r="477" spans="1:5" ht="38.5" x14ac:dyDescent="0.35">
      <c r="A477" s="3" t="s">
        <v>3923</v>
      </c>
      <c r="B477" s="3" t="s">
        <v>1397</v>
      </c>
      <c r="C477" s="3" t="s">
        <v>3377</v>
      </c>
      <c r="D477" s="3" t="s">
        <v>2885</v>
      </c>
      <c r="E477" s="8" t="s">
        <v>3925</v>
      </c>
    </row>
    <row r="478" spans="1:5" ht="26" x14ac:dyDescent="0.35">
      <c r="A478" s="3" t="s">
        <v>3923</v>
      </c>
      <c r="B478" s="3" t="s">
        <v>1397</v>
      </c>
      <c r="C478" s="3" t="s">
        <v>3299</v>
      </c>
      <c r="D478" s="3" t="s">
        <v>2923</v>
      </c>
      <c r="E478" s="8" t="s">
        <v>3924</v>
      </c>
    </row>
    <row r="479" spans="1:5" ht="38.5" x14ac:dyDescent="0.35">
      <c r="A479" s="3" t="s">
        <v>3926</v>
      </c>
      <c r="B479" s="3" t="s">
        <v>1399</v>
      </c>
      <c r="C479" s="3" t="s">
        <v>2375</v>
      </c>
      <c r="D479" s="3" t="s">
        <v>2376</v>
      </c>
      <c r="E479" s="8" t="s">
        <v>3927</v>
      </c>
    </row>
    <row r="480" spans="1:5" ht="38.5" x14ac:dyDescent="0.35">
      <c r="A480" s="3" t="s">
        <v>3926</v>
      </c>
      <c r="B480" s="3" t="s">
        <v>1399</v>
      </c>
      <c r="C480" s="3" t="s">
        <v>3361</v>
      </c>
      <c r="D480" s="3" t="s">
        <v>2876</v>
      </c>
      <c r="E480" s="8" t="s">
        <v>3927</v>
      </c>
    </row>
    <row r="481" spans="1:5" ht="38.5" x14ac:dyDescent="0.35">
      <c r="A481" s="3" t="s">
        <v>3926</v>
      </c>
      <c r="B481" s="3" t="s">
        <v>1399</v>
      </c>
      <c r="C481" s="3" t="s">
        <v>3299</v>
      </c>
      <c r="D481" s="3" t="s">
        <v>2923</v>
      </c>
      <c r="E481" s="8" t="s">
        <v>3927</v>
      </c>
    </row>
    <row r="482" spans="1:5" ht="38.5" x14ac:dyDescent="0.35">
      <c r="A482" s="3" t="s">
        <v>3926</v>
      </c>
      <c r="B482" s="3" t="s">
        <v>1399</v>
      </c>
      <c r="C482" s="3" t="s">
        <v>3928</v>
      </c>
      <c r="D482" s="3" t="s">
        <v>2979</v>
      </c>
      <c r="E482" s="8" t="s">
        <v>3927</v>
      </c>
    </row>
    <row r="483" spans="1:5" ht="38.5" x14ac:dyDescent="0.35">
      <c r="A483" s="3" t="s">
        <v>3926</v>
      </c>
      <c r="B483" s="3" t="s">
        <v>1399</v>
      </c>
      <c r="C483" s="3" t="s">
        <v>3929</v>
      </c>
      <c r="D483" s="3" t="s">
        <v>2981</v>
      </c>
      <c r="E483" s="8" t="s">
        <v>3927</v>
      </c>
    </row>
    <row r="484" spans="1:5" ht="38.5" x14ac:dyDescent="0.35">
      <c r="A484" s="3" t="s">
        <v>3926</v>
      </c>
      <c r="B484" s="3" t="s">
        <v>1399</v>
      </c>
      <c r="C484" s="3" t="s">
        <v>3930</v>
      </c>
      <c r="D484" s="3" t="s">
        <v>3063</v>
      </c>
      <c r="E484" s="8" t="s">
        <v>3927</v>
      </c>
    </row>
    <row r="485" spans="1:5" ht="38.5" x14ac:dyDescent="0.35">
      <c r="A485" s="3" t="s">
        <v>3926</v>
      </c>
      <c r="B485" s="3" t="s">
        <v>1399</v>
      </c>
      <c r="C485" s="3" t="s">
        <v>3717</v>
      </c>
      <c r="D485" s="3" t="s">
        <v>3087</v>
      </c>
      <c r="E485" s="8" t="s">
        <v>3927</v>
      </c>
    </row>
    <row r="486" spans="1:5" ht="38.5" x14ac:dyDescent="0.35">
      <c r="A486" s="3" t="s">
        <v>3926</v>
      </c>
      <c r="B486" s="3" t="s">
        <v>1399</v>
      </c>
      <c r="C486" s="3" t="s">
        <v>3931</v>
      </c>
      <c r="D486" s="3" t="s">
        <v>3089</v>
      </c>
      <c r="E486" s="8" t="s">
        <v>3927</v>
      </c>
    </row>
    <row r="487" spans="1:5" ht="26" x14ac:dyDescent="0.35">
      <c r="A487" s="3" t="s">
        <v>3932</v>
      </c>
      <c r="B487" s="3" t="s">
        <v>1401</v>
      </c>
      <c r="C487" s="3" t="s">
        <v>2375</v>
      </c>
      <c r="D487" s="3" t="s">
        <v>2376</v>
      </c>
      <c r="E487" s="8" t="s">
        <v>3933</v>
      </c>
    </row>
    <row r="488" spans="1:5" ht="26" x14ac:dyDescent="0.35">
      <c r="A488" s="3" t="s">
        <v>3934</v>
      </c>
      <c r="B488" s="3" t="s">
        <v>1403</v>
      </c>
      <c r="C488" s="3" t="s">
        <v>2375</v>
      </c>
      <c r="D488" s="3" t="s">
        <v>2376</v>
      </c>
      <c r="E488" s="8" t="s">
        <v>3935</v>
      </c>
    </row>
    <row r="489" spans="1:5" ht="26" x14ac:dyDescent="0.35">
      <c r="A489" s="3" t="s">
        <v>3936</v>
      </c>
      <c r="B489" s="3" t="s">
        <v>1405</v>
      </c>
      <c r="C489" s="3" t="s">
        <v>2375</v>
      </c>
      <c r="D489" s="3" t="s">
        <v>2376</v>
      </c>
      <c r="E489" s="8" t="s">
        <v>3937</v>
      </c>
    </row>
    <row r="490" spans="1:5" ht="38.5" x14ac:dyDescent="0.35">
      <c r="A490" s="3" t="s">
        <v>3938</v>
      </c>
      <c r="B490" s="3" t="s">
        <v>1407</v>
      </c>
      <c r="C490" s="3" t="s">
        <v>3368</v>
      </c>
      <c r="D490" s="3" t="s">
        <v>2874</v>
      </c>
      <c r="E490" s="8" t="s">
        <v>3939</v>
      </c>
    </row>
    <row r="491" spans="1:5" ht="38.5" x14ac:dyDescent="0.35">
      <c r="A491" s="3" t="s">
        <v>3938</v>
      </c>
      <c r="B491" s="3" t="s">
        <v>1407</v>
      </c>
      <c r="C491" s="3" t="s">
        <v>3361</v>
      </c>
      <c r="D491" s="3" t="s">
        <v>2876</v>
      </c>
      <c r="E491" s="8" t="s">
        <v>3939</v>
      </c>
    </row>
    <row r="492" spans="1:5" ht="38.5" x14ac:dyDescent="0.35">
      <c r="A492" s="3" t="s">
        <v>3940</v>
      </c>
      <c r="B492" s="3" t="s">
        <v>1409</v>
      </c>
      <c r="C492" s="3" t="s">
        <v>3368</v>
      </c>
      <c r="D492" s="3" t="s">
        <v>2874</v>
      </c>
      <c r="E492" s="8" t="s">
        <v>3941</v>
      </c>
    </row>
    <row r="493" spans="1:5" ht="38.5" x14ac:dyDescent="0.35">
      <c r="A493" s="3" t="s">
        <v>3940</v>
      </c>
      <c r="B493" s="3" t="s">
        <v>1409</v>
      </c>
      <c r="C493" s="3" t="s">
        <v>3361</v>
      </c>
      <c r="D493" s="3" t="s">
        <v>2876</v>
      </c>
      <c r="E493" s="8" t="s">
        <v>3941</v>
      </c>
    </row>
    <row r="494" spans="1:5" ht="38.5" x14ac:dyDescent="0.35">
      <c r="A494" s="3" t="s">
        <v>3942</v>
      </c>
      <c r="B494" s="3" t="s">
        <v>1413</v>
      </c>
      <c r="C494" s="3" t="s">
        <v>2375</v>
      </c>
      <c r="D494" s="3" t="s">
        <v>2376</v>
      </c>
      <c r="E494" s="8" t="s">
        <v>3943</v>
      </c>
    </row>
    <row r="495" spans="1:5" ht="38.5" x14ac:dyDescent="0.35">
      <c r="A495" s="3" t="s">
        <v>3944</v>
      </c>
      <c r="B495" s="3" t="s">
        <v>1415</v>
      </c>
      <c r="C495" s="3" t="s">
        <v>2375</v>
      </c>
      <c r="D495" s="3" t="s">
        <v>2376</v>
      </c>
      <c r="E495" s="8" t="s">
        <v>3945</v>
      </c>
    </row>
    <row r="496" spans="1:5" ht="38.5" x14ac:dyDescent="0.35">
      <c r="A496" s="3" t="s">
        <v>3946</v>
      </c>
      <c r="B496" s="3" t="s">
        <v>1419</v>
      </c>
      <c r="C496" s="3" t="s">
        <v>2375</v>
      </c>
      <c r="D496" s="3" t="s">
        <v>2376</v>
      </c>
      <c r="E496" s="8" t="s">
        <v>3947</v>
      </c>
    </row>
    <row r="497" spans="1:5" ht="38.5" x14ac:dyDescent="0.35">
      <c r="A497" s="3" t="s">
        <v>3948</v>
      </c>
      <c r="B497" s="3" t="s">
        <v>1421</v>
      </c>
      <c r="C497" s="3" t="s">
        <v>2375</v>
      </c>
      <c r="D497" s="3" t="s">
        <v>2376</v>
      </c>
      <c r="E497" s="8" t="s">
        <v>3949</v>
      </c>
    </row>
    <row r="498" spans="1:5" ht="51" x14ac:dyDescent="0.35">
      <c r="A498" s="3" t="s">
        <v>3948</v>
      </c>
      <c r="B498" s="3" t="s">
        <v>1421</v>
      </c>
      <c r="C498" s="3" t="s">
        <v>3950</v>
      </c>
      <c r="D498" s="3" t="s">
        <v>2666</v>
      </c>
      <c r="E498" s="8" t="s">
        <v>3951</v>
      </c>
    </row>
    <row r="499" spans="1:5" ht="38.5" x14ac:dyDescent="0.35">
      <c r="A499" s="3" t="s">
        <v>3948</v>
      </c>
      <c r="B499" s="3" t="s">
        <v>1421</v>
      </c>
      <c r="C499" s="3" t="s">
        <v>3952</v>
      </c>
      <c r="D499" s="3" t="s">
        <v>2677</v>
      </c>
      <c r="E499" s="8" t="s">
        <v>3949</v>
      </c>
    </row>
    <row r="500" spans="1:5" ht="51" x14ac:dyDescent="0.35">
      <c r="A500" s="3" t="s">
        <v>3948</v>
      </c>
      <c r="B500" s="3" t="s">
        <v>1421</v>
      </c>
      <c r="C500" s="3" t="s">
        <v>3953</v>
      </c>
      <c r="D500" s="3" t="s">
        <v>2690</v>
      </c>
      <c r="E500" s="8" t="s">
        <v>3951</v>
      </c>
    </row>
    <row r="501" spans="1:5" ht="38.5" x14ac:dyDescent="0.35">
      <c r="A501" s="3" t="s">
        <v>3948</v>
      </c>
      <c r="B501" s="3" t="s">
        <v>1421</v>
      </c>
      <c r="C501" s="3" t="s">
        <v>3916</v>
      </c>
      <c r="D501" s="3" t="s">
        <v>2765</v>
      </c>
      <c r="E501" s="8" t="s">
        <v>3949</v>
      </c>
    </row>
    <row r="502" spans="1:5" ht="38.5" x14ac:dyDescent="0.35">
      <c r="A502" s="3" t="s">
        <v>3948</v>
      </c>
      <c r="B502" s="3" t="s">
        <v>1421</v>
      </c>
      <c r="C502" s="3" t="s">
        <v>3954</v>
      </c>
      <c r="D502" s="3" t="s">
        <v>2767</v>
      </c>
      <c r="E502" s="8" t="s">
        <v>3949</v>
      </c>
    </row>
    <row r="503" spans="1:5" ht="38.5" x14ac:dyDescent="0.35">
      <c r="A503" s="3" t="s">
        <v>3948</v>
      </c>
      <c r="B503" s="3" t="s">
        <v>1421</v>
      </c>
      <c r="C503" s="3" t="s">
        <v>3955</v>
      </c>
      <c r="D503" s="3" t="s">
        <v>2769</v>
      </c>
      <c r="E503" s="8" t="s">
        <v>3949</v>
      </c>
    </row>
    <row r="504" spans="1:5" ht="38.5" x14ac:dyDescent="0.35">
      <c r="A504" s="3" t="s">
        <v>3948</v>
      </c>
      <c r="B504" s="3" t="s">
        <v>1421</v>
      </c>
      <c r="C504" s="3" t="s">
        <v>3956</v>
      </c>
      <c r="D504" s="3" t="s">
        <v>2814</v>
      </c>
      <c r="E504" s="8" t="s">
        <v>3949</v>
      </c>
    </row>
    <row r="505" spans="1:5" ht="38.5" x14ac:dyDescent="0.35">
      <c r="A505" s="3" t="s">
        <v>3948</v>
      </c>
      <c r="B505" s="3" t="s">
        <v>1421</v>
      </c>
      <c r="C505" s="3" t="s">
        <v>3292</v>
      </c>
      <c r="D505" s="3" t="s">
        <v>2822</v>
      </c>
      <c r="E505" s="8" t="s">
        <v>3949</v>
      </c>
    </row>
    <row r="506" spans="1:5" ht="38.5" x14ac:dyDescent="0.35">
      <c r="A506" s="3" t="s">
        <v>3948</v>
      </c>
      <c r="B506" s="3" t="s">
        <v>1421</v>
      </c>
      <c r="C506" s="3" t="s">
        <v>3957</v>
      </c>
      <c r="D506" s="3" t="s">
        <v>2824</v>
      </c>
      <c r="E506" s="8" t="s">
        <v>3949</v>
      </c>
    </row>
    <row r="507" spans="1:5" ht="38.5" x14ac:dyDescent="0.35">
      <c r="A507" s="3" t="s">
        <v>3948</v>
      </c>
      <c r="B507" s="3" t="s">
        <v>1421</v>
      </c>
      <c r="C507" s="3" t="s">
        <v>3373</v>
      </c>
      <c r="D507" s="3" t="s">
        <v>2859</v>
      </c>
      <c r="E507" s="8" t="s">
        <v>3949</v>
      </c>
    </row>
    <row r="508" spans="1:5" ht="38.5" x14ac:dyDescent="0.35">
      <c r="A508" s="3" t="s">
        <v>3948</v>
      </c>
      <c r="B508" s="3" t="s">
        <v>1421</v>
      </c>
      <c r="C508" s="3" t="s">
        <v>3368</v>
      </c>
      <c r="D508" s="3" t="s">
        <v>2874</v>
      </c>
      <c r="E508" s="8" t="s">
        <v>3949</v>
      </c>
    </row>
    <row r="509" spans="1:5" ht="38.5" x14ac:dyDescent="0.35">
      <c r="A509" s="3" t="s">
        <v>3948</v>
      </c>
      <c r="B509" s="3" t="s">
        <v>1421</v>
      </c>
      <c r="C509" s="3" t="s">
        <v>3361</v>
      </c>
      <c r="D509" s="3" t="s">
        <v>2876</v>
      </c>
      <c r="E509" s="8" t="s">
        <v>3949</v>
      </c>
    </row>
    <row r="510" spans="1:5" ht="38.5" x14ac:dyDescent="0.35">
      <c r="A510" s="3" t="s">
        <v>3948</v>
      </c>
      <c r="B510" s="3" t="s">
        <v>1421</v>
      </c>
      <c r="C510" s="3" t="s">
        <v>3679</v>
      </c>
      <c r="D510" s="3" t="s">
        <v>2883</v>
      </c>
      <c r="E510" s="8" t="s">
        <v>3958</v>
      </c>
    </row>
    <row r="511" spans="1:5" ht="38.5" x14ac:dyDescent="0.35">
      <c r="A511" s="3" t="s">
        <v>3948</v>
      </c>
      <c r="B511" s="3" t="s">
        <v>1421</v>
      </c>
      <c r="C511" s="3" t="s">
        <v>3377</v>
      </c>
      <c r="D511" s="3" t="s">
        <v>2885</v>
      </c>
      <c r="E511" s="8" t="s">
        <v>3959</v>
      </c>
    </row>
    <row r="512" spans="1:5" ht="38.5" x14ac:dyDescent="0.35">
      <c r="A512" s="3" t="s">
        <v>3948</v>
      </c>
      <c r="B512" s="3" t="s">
        <v>1421</v>
      </c>
      <c r="C512" s="3" t="s">
        <v>3365</v>
      </c>
      <c r="D512" s="3" t="s">
        <v>2889</v>
      </c>
      <c r="E512" s="8" t="s">
        <v>3949</v>
      </c>
    </row>
    <row r="513" spans="1:5" ht="38.5" x14ac:dyDescent="0.35">
      <c r="A513" s="3" t="s">
        <v>3948</v>
      </c>
      <c r="B513" s="3" t="s">
        <v>1421</v>
      </c>
      <c r="C513" s="3" t="s">
        <v>3366</v>
      </c>
      <c r="D513" s="3" t="s">
        <v>2891</v>
      </c>
      <c r="E513" s="8" t="s">
        <v>3949</v>
      </c>
    </row>
    <row r="514" spans="1:5" ht="38.5" x14ac:dyDescent="0.35">
      <c r="A514" s="3" t="s">
        <v>3948</v>
      </c>
      <c r="B514" s="3" t="s">
        <v>1421</v>
      </c>
      <c r="C514" s="3" t="s">
        <v>3928</v>
      </c>
      <c r="D514" s="3" t="s">
        <v>2979</v>
      </c>
      <c r="E514" s="8" t="s">
        <v>3949</v>
      </c>
    </row>
    <row r="515" spans="1:5" ht="38.5" x14ac:dyDescent="0.35">
      <c r="A515" s="3" t="s">
        <v>3948</v>
      </c>
      <c r="B515" s="3" t="s">
        <v>1421</v>
      </c>
      <c r="C515" s="3" t="s">
        <v>3960</v>
      </c>
      <c r="D515" s="3" t="s">
        <v>2983</v>
      </c>
      <c r="E515" s="8" t="s">
        <v>3949</v>
      </c>
    </row>
    <row r="516" spans="1:5" ht="38.5" x14ac:dyDescent="0.35">
      <c r="A516" s="3" t="s">
        <v>3948</v>
      </c>
      <c r="B516" s="3" t="s">
        <v>1421</v>
      </c>
      <c r="C516" s="3" t="s">
        <v>3524</v>
      </c>
      <c r="D516" s="3" t="s">
        <v>3081</v>
      </c>
      <c r="E516" s="8" t="s">
        <v>3949</v>
      </c>
    </row>
    <row r="517" spans="1:5" ht="38.5" x14ac:dyDescent="0.35">
      <c r="A517" s="3" t="s">
        <v>3948</v>
      </c>
      <c r="B517" s="3" t="s">
        <v>1421</v>
      </c>
      <c r="C517" s="3" t="s">
        <v>3717</v>
      </c>
      <c r="D517" s="3" t="s">
        <v>3087</v>
      </c>
      <c r="E517" s="8" t="s">
        <v>3949</v>
      </c>
    </row>
    <row r="518" spans="1:5" ht="38.5" x14ac:dyDescent="0.35">
      <c r="A518" s="3" t="s">
        <v>3948</v>
      </c>
      <c r="B518" s="3" t="s">
        <v>1421</v>
      </c>
      <c r="C518" s="3" t="s">
        <v>3931</v>
      </c>
      <c r="D518" s="3" t="s">
        <v>3089</v>
      </c>
      <c r="E518" s="8" t="s">
        <v>3949</v>
      </c>
    </row>
    <row r="519" spans="1:5" ht="63.5" x14ac:dyDescent="0.35">
      <c r="A519" s="3" t="s">
        <v>3948</v>
      </c>
      <c r="B519" s="3" t="s">
        <v>1421</v>
      </c>
      <c r="C519" s="3" t="s">
        <v>3310</v>
      </c>
      <c r="D519" s="3" t="s">
        <v>3099</v>
      </c>
      <c r="E519" s="8" t="s">
        <v>3961</v>
      </c>
    </row>
    <row r="520" spans="1:5" ht="38.5" x14ac:dyDescent="0.35">
      <c r="A520" s="3" t="s">
        <v>3948</v>
      </c>
      <c r="B520" s="3" t="s">
        <v>1421</v>
      </c>
      <c r="C520" s="3" t="s">
        <v>3607</v>
      </c>
      <c r="D520" s="3" t="s">
        <v>3154</v>
      </c>
      <c r="E520" s="8" t="s">
        <v>3949</v>
      </c>
    </row>
    <row r="521" spans="1:5" ht="38.5" x14ac:dyDescent="0.35">
      <c r="A521" s="3" t="s">
        <v>3948</v>
      </c>
      <c r="B521" s="3" t="s">
        <v>1421</v>
      </c>
      <c r="C521" s="3" t="s">
        <v>3799</v>
      </c>
      <c r="D521" s="3" t="s">
        <v>3169</v>
      </c>
      <c r="E521" s="8" t="s">
        <v>3949</v>
      </c>
    </row>
    <row r="522" spans="1:5" ht="38.5" x14ac:dyDescent="0.35">
      <c r="A522" s="3" t="s">
        <v>3948</v>
      </c>
      <c r="B522" s="3" t="s">
        <v>1421</v>
      </c>
      <c r="C522" s="3" t="s">
        <v>3800</v>
      </c>
      <c r="D522" s="3" t="s">
        <v>3171</v>
      </c>
      <c r="E522" s="8" t="s">
        <v>3949</v>
      </c>
    </row>
    <row r="523" spans="1:5" ht="38.5" x14ac:dyDescent="0.35">
      <c r="A523" s="3" t="s">
        <v>3948</v>
      </c>
      <c r="B523" s="3" t="s">
        <v>1421</v>
      </c>
      <c r="C523" s="3" t="s">
        <v>3609</v>
      </c>
      <c r="D523" s="3" t="s">
        <v>3175</v>
      </c>
      <c r="E523" s="8" t="s">
        <v>3949</v>
      </c>
    </row>
    <row r="524" spans="1:5" ht="38.5" x14ac:dyDescent="0.35">
      <c r="A524" s="3" t="s">
        <v>3962</v>
      </c>
      <c r="B524" s="3" t="s">
        <v>1425</v>
      </c>
      <c r="C524" s="3" t="s">
        <v>2375</v>
      </c>
      <c r="D524" s="3" t="s">
        <v>2376</v>
      </c>
      <c r="E524" s="8" t="s">
        <v>3963</v>
      </c>
    </row>
    <row r="525" spans="1:5" ht="26" x14ac:dyDescent="0.35">
      <c r="A525" s="3" t="s">
        <v>3964</v>
      </c>
      <c r="B525" s="3" t="s">
        <v>1429</v>
      </c>
      <c r="C525" s="3" t="s">
        <v>2375</v>
      </c>
      <c r="D525" s="3" t="s">
        <v>2376</v>
      </c>
      <c r="E525" s="8" t="s">
        <v>3965</v>
      </c>
    </row>
    <row r="526" spans="1:5" ht="38.5" x14ac:dyDescent="0.35">
      <c r="A526" s="3" t="s">
        <v>3964</v>
      </c>
      <c r="B526" s="3" t="s">
        <v>1429</v>
      </c>
      <c r="C526" s="3" t="s">
        <v>3653</v>
      </c>
      <c r="D526" s="3" t="s">
        <v>3095</v>
      </c>
      <c r="E526" s="8" t="s">
        <v>3966</v>
      </c>
    </row>
    <row r="527" spans="1:5" ht="38.5" x14ac:dyDescent="0.35">
      <c r="A527" s="3" t="s">
        <v>3964</v>
      </c>
      <c r="B527" s="3" t="s">
        <v>1429</v>
      </c>
      <c r="C527" s="3" t="s">
        <v>3309</v>
      </c>
      <c r="D527" s="3" t="s">
        <v>3097</v>
      </c>
      <c r="E527" s="8" t="s">
        <v>3966</v>
      </c>
    </row>
    <row r="528" spans="1:5" ht="38.5" x14ac:dyDescent="0.35">
      <c r="A528" s="3" t="s">
        <v>3964</v>
      </c>
      <c r="B528" s="3" t="s">
        <v>1429</v>
      </c>
      <c r="C528" s="3" t="s">
        <v>3310</v>
      </c>
      <c r="D528" s="3" t="s">
        <v>3099</v>
      </c>
      <c r="E528" s="8" t="s">
        <v>3966</v>
      </c>
    </row>
    <row r="529" spans="1:5" ht="38.5" x14ac:dyDescent="0.35">
      <c r="A529" s="3" t="s">
        <v>3964</v>
      </c>
      <c r="B529" s="3" t="s">
        <v>1429</v>
      </c>
      <c r="C529" s="3" t="s">
        <v>3714</v>
      </c>
      <c r="D529" s="3" t="s">
        <v>3111</v>
      </c>
      <c r="E529" s="8" t="s">
        <v>3966</v>
      </c>
    </row>
    <row r="530" spans="1:5" ht="38.5" x14ac:dyDescent="0.35">
      <c r="A530" s="3" t="s">
        <v>3964</v>
      </c>
      <c r="B530" s="3" t="s">
        <v>1429</v>
      </c>
      <c r="C530" s="3" t="s">
        <v>3312</v>
      </c>
      <c r="D530" s="3" t="s">
        <v>3113</v>
      </c>
      <c r="E530" s="8" t="s">
        <v>3966</v>
      </c>
    </row>
    <row r="531" spans="1:5" ht="38.5" x14ac:dyDescent="0.35">
      <c r="A531" s="3" t="s">
        <v>3964</v>
      </c>
      <c r="B531" s="3" t="s">
        <v>1429</v>
      </c>
      <c r="C531" s="3" t="s">
        <v>3661</v>
      </c>
      <c r="D531" s="3" t="s">
        <v>3115</v>
      </c>
      <c r="E531" s="8" t="s">
        <v>3966</v>
      </c>
    </row>
    <row r="532" spans="1:5" ht="26" x14ac:dyDescent="0.35">
      <c r="A532" s="3" t="s">
        <v>3967</v>
      </c>
      <c r="B532" s="3" t="s">
        <v>1431</v>
      </c>
      <c r="C532" s="3" t="s">
        <v>3587</v>
      </c>
      <c r="D532" s="3" t="s">
        <v>2861</v>
      </c>
      <c r="E532" s="8" t="s">
        <v>3968</v>
      </c>
    </row>
    <row r="533" spans="1:5" ht="26" x14ac:dyDescent="0.35">
      <c r="A533" s="3" t="s">
        <v>3967</v>
      </c>
      <c r="B533" s="3" t="s">
        <v>1431</v>
      </c>
      <c r="C533" s="3" t="s">
        <v>3538</v>
      </c>
      <c r="D533" s="3" t="s">
        <v>3003</v>
      </c>
      <c r="E533" s="8" t="s">
        <v>3968</v>
      </c>
    </row>
    <row r="534" spans="1:5" ht="26" x14ac:dyDescent="0.35">
      <c r="A534" s="3" t="s">
        <v>3967</v>
      </c>
      <c r="B534" s="3" t="s">
        <v>1431</v>
      </c>
      <c r="C534" s="3" t="s">
        <v>3572</v>
      </c>
      <c r="D534" s="3" t="s">
        <v>3012</v>
      </c>
      <c r="E534" s="8" t="s">
        <v>3968</v>
      </c>
    </row>
    <row r="535" spans="1:5" ht="26" x14ac:dyDescent="0.35">
      <c r="A535" s="3" t="s">
        <v>3967</v>
      </c>
      <c r="B535" s="3" t="s">
        <v>1431</v>
      </c>
      <c r="C535" s="3" t="s">
        <v>3573</v>
      </c>
      <c r="D535" s="3" t="s">
        <v>3014</v>
      </c>
      <c r="E535" s="8" t="s">
        <v>3968</v>
      </c>
    </row>
    <row r="536" spans="1:5" ht="26" x14ac:dyDescent="0.35">
      <c r="A536" s="3" t="s">
        <v>3967</v>
      </c>
      <c r="B536" s="3" t="s">
        <v>1431</v>
      </c>
      <c r="C536" s="3" t="s">
        <v>3492</v>
      </c>
      <c r="D536" s="3" t="s">
        <v>3018</v>
      </c>
      <c r="E536" s="8" t="s">
        <v>3968</v>
      </c>
    </row>
    <row r="537" spans="1:5" ht="26" x14ac:dyDescent="0.35">
      <c r="A537" s="3" t="s">
        <v>3967</v>
      </c>
      <c r="B537" s="3" t="s">
        <v>1431</v>
      </c>
      <c r="C537" s="3" t="s">
        <v>3425</v>
      </c>
      <c r="D537" s="3" t="s">
        <v>3020</v>
      </c>
      <c r="E537" s="8" t="s">
        <v>3968</v>
      </c>
    </row>
    <row r="538" spans="1:5" ht="26" x14ac:dyDescent="0.35">
      <c r="A538" s="3" t="s">
        <v>3967</v>
      </c>
      <c r="B538" s="3" t="s">
        <v>1431</v>
      </c>
      <c r="C538" s="3" t="s">
        <v>3321</v>
      </c>
      <c r="D538" s="3" t="s">
        <v>3257</v>
      </c>
      <c r="E538" s="8" t="s">
        <v>3968</v>
      </c>
    </row>
    <row r="539" spans="1:5" ht="38.5" x14ac:dyDescent="0.35">
      <c r="A539" s="3" t="s">
        <v>3969</v>
      </c>
      <c r="B539" s="3" t="s">
        <v>1433</v>
      </c>
      <c r="C539" s="3" t="s">
        <v>3368</v>
      </c>
      <c r="D539" s="3" t="s">
        <v>2874</v>
      </c>
      <c r="E539" s="8" t="s">
        <v>3970</v>
      </c>
    </row>
    <row r="540" spans="1:5" ht="38.5" x14ac:dyDescent="0.35">
      <c r="A540" s="3" t="s">
        <v>3969</v>
      </c>
      <c r="B540" s="3" t="s">
        <v>1433</v>
      </c>
      <c r="C540" s="3" t="s">
        <v>3361</v>
      </c>
      <c r="D540" s="3" t="s">
        <v>2876</v>
      </c>
      <c r="E540" s="8" t="s">
        <v>3970</v>
      </c>
    </row>
    <row r="541" spans="1:5" ht="38.5" x14ac:dyDescent="0.35">
      <c r="A541" s="3" t="s">
        <v>3971</v>
      </c>
      <c r="B541" s="3" t="s">
        <v>1435</v>
      </c>
      <c r="C541" s="3" t="s">
        <v>2375</v>
      </c>
      <c r="D541" s="3" t="s">
        <v>2376</v>
      </c>
      <c r="E541" s="8" t="s">
        <v>3972</v>
      </c>
    </row>
    <row r="542" spans="1:5" ht="38.5" x14ac:dyDescent="0.35">
      <c r="A542" s="3" t="s">
        <v>3971</v>
      </c>
      <c r="B542" s="3" t="s">
        <v>1435</v>
      </c>
      <c r="C542" s="3" t="s">
        <v>3361</v>
      </c>
      <c r="D542" s="3" t="s">
        <v>2876</v>
      </c>
      <c r="E542" s="8" t="s">
        <v>3972</v>
      </c>
    </row>
    <row r="543" spans="1:5" ht="26" x14ac:dyDescent="0.35">
      <c r="A543" s="3" t="s">
        <v>3973</v>
      </c>
      <c r="B543" s="3" t="s">
        <v>1437</v>
      </c>
      <c r="C543" s="3" t="s">
        <v>2375</v>
      </c>
      <c r="D543" s="3" t="s">
        <v>2376</v>
      </c>
      <c r="E543" s="8" t="s">
        <v>3974</v>
      </c>
    </row>
    <row r="544" spans="1:5" ht="26" x14ac:dyDescent="0.35">
      <c r="A544" s="3" t="s">
        <v>3973</v>
      </c>
      <c r="B544" s="3" t="s">
        <v>1437</v>
      </c>
      <c r="C544" s="3" t="s">
        <v>3952</v>
      </c>
      <c r="D544" s="3" t="s">
        <v>2677</v>
      </c>
      <c r="E544" s="8" t="s">
        <v>3974</v>
      </c>
    </row>
    <row r="545" spans="1:5" ht="51" x14ac:dyDescent="0.35">
      <c r="A545" s="3" t="s">
        <v>3975</v>
      </c>
      <c r="B545" s="3" t="s">
        <v>1439</v>
      </c>
      <c r="C545" s="3" t="s">
        <v>2375</v>
      </c>
      <c r="D545" s="3" t="s">
        <v>2376</v>
      </c>
      <c r="E545" s="8" t="s">
        <v>3976</v>
      </c>
    </row>
    <row r="546" spans="1:5" ht="26" x14ac:dyDescent="0.35">
      <c r="A546" s="3" t="s">
        <v>3977</v>
      </c>
      <c r="B546" s="3" t="s">
        <v>1441</v>
      </c>
      <c r="C546" s="3" t="s">
        <v>2375</v>
      </c>
      <c r="D546" s="3" t="s">
        <v>2376</v>
      </c>
      <c r="E546" s="8" t="s">
        <v>3978</v>
      </c>
    </row>
    <row r="547" spans="1:5" ht="38.5" x14ac:dyDescent="0.35">
      <c r="A547" s="3" t="s">
        <v>3977</v>
      </c>
      <c r="B547" s="3" t="s">
        <v>1441</v>
      </c>
      <c r="C547" s="3" t="s">
        <v>3377</v>
      </c>
      <c r="D547" s="3" t="s">
        <v>2885</v>
      </c>
      <c r="E547" s="8" t="s">
        <v>3979</v>
      </c>
    </row>
    <row r="548" spans="1:5" ht="26" x14ac:dyDescent="0.35">
      <c r="A548" s="3" t="s">
        <v>3977</v>
      </c>
      <c r="B548" s="3" t="s">
        <v>1441</v>
      </c>
      <c r="C548" s="3" t="s">
        <v>3332</v>
      </c>
      <c r="D548" s="3" t="s">
        <v>2959</v>
      </c>
      <c r="E548" s="8" t="s">
        <v>3978</v>
      </c>
    </row>
    <row r="549" spans="1:5" ht="26" x14ac:dyDescent="0.35">
      <c r="A549" s="3" t="s">
        <v>3977</v>
      </c>
      <c r="B549" s="3" t="s">
        <v>1441</v>
      </c>
      <c r="C549" s="3" t="s">
        <v>3609</v>
      </c>
      <c r="D549" s="3" t="s">
        <v>3175</v>
      </c>
      <c r="E549" s="8" t="s">
        <v>3978</v>
      </c>
    </row>
    <row r="550" spans="1:5" ht="51" x14ac:dyDescent="0.35">
      <c r="A550" s="3" t="s">
        <v>3980</v>
      </c>
      <c r="B550" s="3" t="s">
        <v>1443</v>
      </c>
      <c r="C550" s="3" t="s">
        <v>3916</v>
      </c>
      <c r="D550" s="3" t="s">
        <v>2765</v>
      </c>
      <c r="E550" s="8" t="s">
        <v>3981</v>
      </c>
    </row>
    <row r="551" spans="1:5" ht="63.5" x14ac:dyDescent="0.35">
      <c r="A551" s="3" t="s">
        <v>3982</v>
      </c>
      <c r="B551" s="3" t="s">
        <v>1451</v>
      </c>
      <c r="C551" s="3" t="s">
        <v>3293</v>
      </c>
      <c r="D551" s="3" t="s">
        <v>2827</v>
      </c>
      <c r="E551" s="8" t="s">
        <v>3983</v>
      </c>
    </row>
    <row r="552" spans="1:5" ht="63.5" x14ac:dyDescent="0.35">
      <c r="A552" s="3" t="s">
        <v>3982</v>
      </c>
      <c r="B552" s="3" t="s">
        <v>1451</v>
      </c>
      <c r="C552" s="3" t="s">
        <v>3984</v>
      </c>
      <c r="D552" s="3" t="s">
        <v>2829</v>
      </c>
      <c r="E552" s="8" t="s">
        <v>3983</v>
      </c>
    </row>
    <row r="553" spans="1:5" ht="63.5" x14ac:dyDescent="0.35">
      <c r="A553" s="3" t="s">
        <v>3982</v>
      </c>
      <c r="B553" s="3" t="s">
        <v>1451</v>
      </c>
      <c r="C553" s="3" t="s">
        <v>3361</v>
      </c>
      <c r="D553" s="3" t="s">
        <v>2876</v>
      </c>
      <c r="E553" s="8" t="s">
        <v>3983</v>
      </c>
    </row>
    <row r="554" spans="1:5" ht="38.5" x14ac:dyDescent="0.35">
      <c r="A554" s="3" t="s">
        <v>3982</v>
      </c>
      <c r="B554" s="3" t="s">
        <v>1451</v>
      </c>
      <c r="C554" s="3" t="s">
        <v>3542</v>
      </c>
      <c r="D554" s="3" t="s">
        <v>2921</v>
      </c>
      <c r="E554" s="8" t="s">
        <v>3985</v>
      </c>
    </row>
    <row r="555" spans="1:5" ht="38.5" x14ac:dyDescent="0.35">
      <c r="A555" s="3" t="s">
        <v>3986</v>
      </c>
      <c r="B555" s="3" t="s">
        <v>1457</v>
      </c>
      <c r="C555" s="3" t="s">
        <v>2375</v>
      </c>
      <c r="D555" s="3" t="s">
        <v>2376</v>
      </c>
      <c r="E555" s="8" t="s">
        <v>3987</v>
      </c>
    </row>
    <row r="556" spans="1:5" ht="38.5" x14ac:dyDescent="0.35">
      <c r="A556" s="3" t="s">
        <v>3986</v>
      </c>
      <c r="B556" s="3" t="s">
        <v>1457</v>
      </c>
      <c r="C556" s="3" t="s">
        <v>3988</v>
      </c>
      <c r="D556" s="3" t="s">
        <v>2785</v>
      </c>
      <c r="E556" s="8" t="s">
        <v>3987</v>
      </c>
    </row>
    <row r="557" spans="1:5" ht="38.5" x14ac:dyDescent="0.35">
      <c r="A557" s="3" t="s">
        <v>3986</v>
      </c>
      <c r="B557" s="3" t="s">
        <v>1457</v>
      </c>
      <c r="C557" s="3" t="s">
        <v>3989</v>
      </c>
      <c r="D557" s="3" t="s">
        <v>2820</v>
      </c>
      <c r="E557" s="8" t="s">
        <v>3987</v>
      </c>
    </row>
    <row r="558" spans="1:5" ht="38.5" x14ac:dyDescent="0.35">
      <c r="A558" s="3" t="s">
        <v>3986</v>
      </c>
      <c r="B558" s="3" t="s">
        <v>1457</v>
      </c>
      <c r="C558" s="3" t="s">
        <v>3907</v>
      </c>
      <c r="D558" s="3" t="s">
        <v>2975</v>
      </c>
      <c r="E558" s="8" t="s">
        <v>3987</v>
      </c>
    </row>
    <row r="559" spans="1:5" ht="63.5" x14ac:dyDescent="0.35">
      <c r="A559" s="3" t="s">
        <v>3990</v>
      </c>
      <c r="B559" s="3" t="s">
        <v>1459</v>
      </c>
      <c r="C559" s="3" t="s">
        <v>2375</v>
      </c>
      <c r="D559" s="3" t="s">
        <v>2376</v>
      </c>
      <c r="E559" s="8" t="s">
        <v>3991</v>
      </c>
    </row>
    <row r="560" spans="1:5" ht="38.5" x14ac:dyDescent="0.35">
      <c r="A560" s="3" t="s">
        <v>3990</v>
      </c>
      <c r="B560" s="3" t="s">
        <v>1459</v>
      </c>
      <c r="C560" s="3" t="s">
        <v>3992</v>
      </c>
      <c r="D560" s="3" t="s">
        <v>2437</v>
      </c>
      <c r="E560" s="8" t="s">
        <v>3993</v>
      </c>
    </row>
    <row r="561" spans="1:5" ht="26" x14ac:dyDescent="0.35">
      <c r="A561" s="3" t="s">
        <v>3994</v>
      </c>
      <c r="B561" s="3" t="s">
        <v>1467</v>
      </c>
      <c r="C561" s="3" t="s">
        <v>3995</v>
      </c>
      <c r="D561" s="3" t="s">
        <v>3251</v>
      </c>
      <c r="E561" s="8" t="s">
        <v>3996</v>
      </c>
    </row>
    <row r="562" spans="1:5" ht="76" x14ac:dyDescent="0.35">
      <c r="A562" s="3" t="s">
        <v>3997</v>
      </c>
      <c r="B562" s="3" t="s">
        <v>1471</v>
      </c>
      <c r="C562" s="3" t="s">
        <v>2375</v>
      </c>
      <c r="D562" s="3" t="s">
        <v>2376</v>
      </c>
      <c r="E562" s="8" t="s">
        <v>3998</v>
      </c>
    </row>
    <row r="563" spans="1:5" ht="26" x14ac:dyDescent="0.35">
      <c r="A563" s="3" t="s">
        <v>3997</v>
      </c>
      <c r="B563" s="3" t="s">
        <v>1471</v>
      </c>
      <c r="C563" s="3" t="s">
        <v>3999</v>
      </c>
      <c r="D563" s="3" t="s">
        <v>2492</v>
      </c>
      <c r="E563" s="8" t="s">
        <v>4000</v>
      </c>
    </row>
    <row r="564" spans="1:5" ht="76" x14ac:dyDescent="0.35">
      <c r="A564" s="3" t="s">
        <v>3997</v>
      </c>
      <c r="B564" s="3" t="s">
        <v>1471</v>
      </c>
      <c r="C564" s="3" t="s">
        <v>4001</v>
      </c>
      <c r="D564" s="3" t="s">
        <v>2552</v>
      </c>
      <c r="E564" s="8" t="s">
        <v>3998</v>
      </c>
    </row>
    <row r="565" spans="1:5" ht="76" x14ac:dyDescent="0.35">
      <c r="A565" s="3" t="s">
        <v>3997</v>
      </c>
      <c r="B565" s="3" t="s">
        <v>1471</v>
      </c>
      <c r="C565" s="3" t="s">
        <v>4002</v>
      </c>
      <c r="D565" s="3" t="s">
        <v>2818</v>
      </c>
      <c r="E565" s="8" t="s">
        <v>3998</v>
      </c>
    </row>
    <row r="566" spans="1:5" ht="76" x14ac:dyDescent="0.35">
      <c r="A566" s="3" t="s">
        <v>3997</v>
      </c>
      <c r="B566" s="3" t="s">
        <v>1471</v>
      </c>
      <c r="C566" s="3" t="s">
        <v>3292</v>
      </c>
      <c r="D566" s="3" t="s">
        <v>2822</v>
      </c>
      <c r="E566" s="8" t="s">
        <v>3998</v>
      </c>
    </row>
    <row r="567" spans="1:5" ht="76" x14ac:dyDescent="0.35">
      <c r="A567" s="3" t="s">
        <v>3997</v>
      </c>
      <c r="B567" s="3" t="s">
        <v>1471</v>
      </c>
      <c r="C567" s="3" t="s">
        <v>3957</v>
      </c>
      <c r="D567" s="3" t="s">
        <v>2824</v>
      </c>
      <c r="E567" s="8" t="s">
        <v>3998</v>
      </c>
    </row>
    <row r="568" spans="1:5" ht="76" x14ac:dyDescent="0.35">
      <c r="A568" s="3" t="s">
        <v>3997</v>
      </c>
      <c r="B568" s="3" t="s">
        <v>1471</v>
      </c>
      <c r="C568" s="3" t="s">
        <v>3295</v>
      </c>
      <c r="D568" s="3" t="s">
        <v>2831</v>
      </c>
      <c r="E568" s="8" t="s">
        <v>3998</v>
      </c>
    </row>
    <row r="569" spans="1:5" ht="38.5" x14ac:dyDescent="0.35">
      <c r="A569" s="3" t="s">
        <v>4003</v>
      </c>
      <c r="B569" s="3" t="s">
        <v>1473</v>
      </c>
      <c r="C569" s="3" t="s">
        <v>2375</v>
      </c>
      <c r="D569" s="3" t="s">
        <v>2376</v>
      </c>
      <c r="E569" s="8" t="s">
        <v>4004</v>
      </c>
    </row>
    <row r="570" spans="1:5" ht="26" x14ac:dyDescent="0.35">
      <c r="A570" s="3" t="s">
        <v>4005</v>
      </c>
      <c r="B570" s="3" t="s">
        <v>1477</v>
      </c>
      <c r="C570" s="3" t="s">
        <v>2375</v>
      </c>
      <c r="D570" s="3" t="s">
        <v>2376</v>
      </c>
      <c r="E570" s="8" t="s">
        <v>4006</v>
      </c>
    </row>
    <row r="571" spans="1:5" ht="38.5" x14ac:dyDescent="0.35">
      <c r="A571" s="3" t="s">
        <v>4005</v>
      </c>
      <c r="B571" s="3" t="s">
        <v>1477</v>
      </c>
      <c r="C571" s="3" t="s">
        <v>3679</v>
      </c>
      <c r="D571" s="3" t="s">
        <v>2883</v>
      </c>
      <c r="E571" s="8" t="s">
        <v>4007</v>
      </c>
    </row>
    <row r="572" spans="1:5" ht="38.5" x14ac:dyDescent="0.35">
      <c r="A572" s="3" t="s">
        <v>4005</v>
      </c>
      <c r="B572" s="3" t="s">
        <v>1477</v>
      </c>
      <c r="C572" s="3" t="s">
        <v>3377</v>
      </c>
      <c r="D572" s="3" t="s">
        <v>2885</v>
      </c>
      <c r="E572" s="8" t="s">
        <v>4008</v>
      </c>
    </row>
    <row r="573" spans="1:5" ht="26" x14ac:dyDescent="0.35">
      <c r="A573" s="3" t="s">
        <v>4005</v>
      </c>
      <c r="B573" s="3" t="s">
        <v>1477</v>
      </c>
      <c r="C573" s="3" t="s">
        <v>3332</v>
      </c>
      <c r="D573" s="3" t="s">
        <v>2959</v>
      </c>
      <c r="E573" s="8" t="s">
        <v>4006</v>
      </c>
    </row>
    <row r="574" spans="1:5" ht="26" x14ac:dyDescent="0.35">
      <c r="A574" s="3" t="s">
        <v>4009</v>
      </c>
      <c r="B574" s="3" t="s">
        <v>1479</v>
      </c>
      <c r="C574" s="3" t="s">
        <v>2375</v>
      </c>
      <c r="D574" s="3" t="s">
        <v>2376</v>
      </c>
      <c r="E574" s="8" t="s">
        <v>4010</v>
      </c>
    </row>
    <row r="575" spans="1:5" ht="26" x14ac:dyDescent="0.35">
      <c r="A575" s="3" t="s">
        <v>4011</v>
      </c>
      <c r="B575" s="3" t="s">
        <v>1481</v>
      </c>
      <c r="C575" s="3" t="s">
        <v>4012</v>
      </c>
      <c r="D575" s="3" t="s">
        <v>2949</v>
      </c>
      <c r="E575" s="8" t="s">
        <v>4013</v>
      </c>
    </row>
    <row r="576" spans="1:5" ht="26" x14ac:dyDescent="0.35">
      <c r="A576" s="3" t="s">
        <v>4014</v>
      </c>
      <c r="B576" s="3" t="s">
        <v>1483</v>
      </c>
      <c r="C576" s="3" t="s">
        <v>2375</v>
      </c>
      <c r="D576" s="3" t="s">
        <v>2376</v>
      </c>
      <c r="E576" s="8" t="s">
        <v>4015</v>
      </c>
    </row>
    <row r="577" spans="1:5" ht="38.5" x14ac:dyDescent="0.35">
      <c r="A577" s="3" t="s">
        <v>4014</v>
      </c>
      <c r="B577" s="3" t="s">
        <v>1483</v>
      </c>
      <c r="C577" s="3" t="s">
        <v>4016</v>
      </c>
      <c r="D577" s="3" t="s">
        <v>2455</v>
      </c>
      <c r="E577" s="8" t="s">
        <v>4017</v>
      </c>
    </row>
    <row r="578" spans="1:5" ht="38.5" x14ac:dyDescent="0.35">
      <c r="A578" s="3" t="s">
        <v>4014</v>
      </c>
      <c r="B578" s="3" t="s">
        <v>1483</v>
      </c>
      <c r="C578" s="3" t="s">
        <v>3679</v>
      </c>
      <c r="D578" s="3" t="s">
        <v>2883</v>
      </c>
      <c r="E578" s="8" t="s">
        <v>4018</v>
      </c>
    </row>
    <row r="579" spans="1:5" ht="26" x14ac:dyDescent="0.35">
      <c r="A579" s="3" t="s">
        <v>4014</v>
      </c>
      <c r="B579" s="3" t="s">
        <v>1483</v>
      </c>
      <c r="C579" s="3" t="s">
        <v>3377</v>
      </c>
      <c r="D579" s="3" t="s">
        <v>2885</v>
      </c>
      <c r="E579" s="8" t="s">
        <v>4019</v>
      </c>
    </row>
    <row r="580" spans="1:5" ht="26" x14ac:dyDescent="0.35">
      <c r="A580" s="3" t="s">
        <v>4014</v>
      </c>
      <c r="B580" s="3" t="s">
        <v>1483</v>
      </c>
      <c r="C580" s="3" t="s">
        <v>3365</v>
      </c>
      <c r="D580" s="3" t="s">
        <v>2889</v>
      </c>
      <c r="E580" s="8" t="s">
        <v>4015</v>
      </c>
    </row>
    <row r="581" spans="1:5" ht="51" x14ac:dyDescent="0.35">
      <c r="A581" s="3" t="s">
        <v>4014</v>
      </c>
      <c r="B581" s="3" t="s">
        <v>1483</v>
      </c>
      <c r="C581" s="3" t="s">
        <v>3366</v>
      </c>
      <c r="D581" s="3" t="s">
        <v>2891</v>
      </c>
      <c r="E581" s="8" t="s">
        <v>4020</v>
      </c>
    </row>
    <row r="582" spans="1:5" ht="26" x14ac:dyDescent="0.35">
      <c r="A582" s="3" t="s">
        <v>4014</v>
      </c>
      <c r="B582" s="3" t="s">
        <v>1483</v>
      </c>
      <c r="C582" s="3" t="s">
        <v>3542</v>
      </c>
      <c r="D582" s="3" t="s">
        <v>2921</v>
      </c>
      <c r="E582" s="8" t="s">
        <v>4021</v>
      </c>
    </row>
    <row r="583" spans="1:5" ht="26" x14ac:dyDescent="0.35">
      <c r="A583" s="3" t="s">
        <v>4014</v>
      </c>
      <c r="B583" s="3" t="s">
        <v>1483</v>
      </c>
      <c r="C583" s="3" t="s">
        <v>3332</v>
      </c>
      <c r="D583" s="3" t="s">
        <v>2959</v>
      </c>
      <c r="E583" s="8" t="s">
        <v>4015</v>
      </c>
    </row>
    <row r="584" spans="1:5" ht="26" x14ac:dyDescent="0.35">
      <c r="A584" s="3" t="s">
        <v>4014</v>
      </c>
      <c r="B584" s="3" t="s">
        <v>1483</v>
      </c>
      <c r="C584" s="3" t="s">
        <v>3928</v>
      </c>
      <c r="D584" s="3" t="s">
        <v>2979</v>
      </c>
      <c r="E584" s="8" t="s">
        <v>4015</v>
      </c>
    </row>
    <row r="585" spans="1:5" ht="26" x14ac:dyDescent="0.35">
      <c r="A585" s="3" t="s">
        <v>4014</v>
      </c>
      <c r="B585" s="3" t="s">
        <v>1483</v>
      </c>
      <c r="C585" s="3" t="s">
        <v>3929</v>
      </c>
      <c r="D585" s="3" t="s">
        <v>2981</v>
      </c>
      <c r="E585" s="8" t="s">
        <v>4015</v>
      </c>
    </row>
    <row r="586" spans="1:5" ht="26" x14ac:dyDescent="0.35">
      <c r="A586" s="3" t="s">
        <v>4014</v>
      </c>
      <c r="B586" s="3" t="s">
        <v>1483</v>
      </c>
      <c r="C586" s="3" t="s">
        <v>3492</v>
      </c>
      <c r="D586" s="3" t="s">
        <v>3018</v>
      </c>
      <c r="E586" s="8" t="s">
        <v>4021</v>
      </c>
    </row>
    <row r="587" spans="1:5" ht="26" x14ac:dyDescent="0.35">
      <c r="A587" s="3" t="s">
        <v>4014</v>
      </c>
      <c r="B587" s="3" t="s">
        <v>1483</v>
      </c>
      <c r="C587" s="3" t="s">
        <v>3930</v>
      </c>
      <c r="D587" s="3" t="s">
        <v>3063</v>
      </c>
      <c r="E587" s="8" t="s">
        <v>4015</v>
      </c>
    </row>
    <row r="588" spans="1:5" ht="26" x14ac:dyDescent="0.35">
      <c r="A588" s="3" t="s">
        <v>4014</v>
      </c>
      <c r="B588" s="3" t="s">
        <v>1483</v>
      </c>
      <c r="C588" s="3" t="s">
        <v>3315</v>
      </c>
      <c r="D588" s="3" t="s">
        <v>3125</v>
      </c>
      <c r="E588" s="8" t="s">
        <v>4015</v>
      </c>
    </row>
    <row r="589" spans="1:5" ht="26" x14ac:dyDescent="0.35">
      <c r="A589" s="3" t="s">
        <v>4014</v>
      </c>
      <c r="B589" s="3" t="s">
        <v>1483</v>
      </c>
      <c r="C589" s="3" t="s">
        <v>4022</v>
      </c>
      <c r="D589" s="3" t="s">
        <v>3129</v>
      </c>
      <c r="E589" s="8" t="s">
        <v>4015</v>
      </c>
    </row>
    <row r="590" spans="1:5" ht="76" x14ac:dyDescent="0.35">
      <c r="A590" s="3" t="s">
        <v>4023</v>
      </c>
      <c r="B590" s="3" t="s">
        <v>1489</v>
      </c>
      <c r="C590" s="3" t="s">
        <v>2375</v>
      </c>
      <c r="D590" s="3" t="s">
        <v>2376</v>
      </c>
      <c r="E590" s="8" t="s">
        <v>4024</v>
      </c>
    </row>
    <row r="591" spans="1:5" ht="63.5" x14ac:dyDescent="0.35">
      <c r="A591" s="3" t="s">
        <v>4025</v>
      </c>
      <c r="B591" s="3" t="s">
        <v>1491</v>
      </c>
      <c r="C591" s="3" t="s">
        <v>2375</v>
      </c>
      <c r="D591" s="3" t="s">
        <v>2376</v>
      </c>
      <c r="E591" s="8" t="s">
        <v>4026</v>
      </c>
    </row>
    <row r="592" spans="1:5" ht="63.5" x14ac:dyDescent="0.35">
      <c r="A592" s="3" t="s">
        <v>4027</v>
      </c>
      <c r="B592" s="3" t="s">
        <v>1493</v>
      </c>
      <c r="C592" s="3" t="s">
        <v>2375</v>
      </c>
      <c r="D592" s="3" t="s">
        <v>2376</v>
      </c>
      <c r="E592" s="8" t="s">
        <v>4028</v>
      </c>
    </row>
    <row r="593" spans="1:5" ht="38.5" x14ac:dyDescent="0.35">
      <c r="A593" s="3" t="s">
        <v>4029</v>
      </c>
      <c r="B593" s="3" t="s">
        <v>1495</v>
      </c>
      <c r="C593" s="3" t="s">
        <v>3679</v>
      </c>
      <c r="D593" s="3" t="s">
        <v>2883</v>
      </c>
      <c r="E593" s="8" t="s">
        <v>4030</v>
      </c>
    </row>
    <row r="594" spans="1:5" ht="38.5" x14ac:dyDescent="0.35">
      <c r="A594" s="3" t="s">
        <v>4029</v>
      </c>
      <c r="B594" s="3" t="s">
        <v>1495</v>
      </c>
      <c r="C594" s="3" t="s">
        <v>3377</v>
      </c>
      <c r="D594" s="3" t="s">
        <v>2885</v>
      </c>
      <c r="E594" s="8" t="s">
        <v>4030</v>
      </c>
    </row>
    <row r="595" spans="1:5" ht="38.5" x14ac:dyDescent="0.35">
      <c r="A595" s="3" t="s">
        <v>4029</v>
      </c>
      <c r="B595" s="3" t="s">
        <v>1495</v>
      </c>
      <c r="C595" s="3" t="s">
        <v>3365</v>
      </c>
      <c r="D595" s="3" t="s">
        <v>2889</v>
      </c>
      <c r="E595" s="8" t="s">
        <v>4030</v>
      </c>
    </row>
    <row r="596" spans="1:5" ht="38.5" x14ac:dyDescent="0.35">
      <c r="A596" s="3" t="s">
        <v>4029</v>
      </c>
      <c r="B596" s="3" t="s">
        <v>1495</v>
      </c>
      <c r="C596" s="3" t="s">
        <v>3366</v>
      </c>
      <c r="D596" s="3" t="s">
        <v>2891</v>
      </c>
      <c r="E596" s="8" t="s">
        <v>4030</v>
      </c>
    </row>
    <row r="597" spans="1:5" ht="63.5" x14ac:dyDescent="0.35">
      <c r="A597" s="3" t="s">
        <v>4031</v>
      </c>
      <c r="B597" s="3" t="s">
        <v>1497</v>
      </c>
      <c r="C597" s="3" t="s">
        <v>2375</v>
      </c>
      <c r="D597" s="3" t="s">
        <v>2376</v>
      </c>
      <c r="E597" s="8" t="s">
        <v>4032</v>
      </c>
    </row>
    <row r="598" spans="1:5" ht="38.5" x14ac:dyDescent="0.35">
      <c r="A598" s="3" t="s">
        <v>4033</v>
      </c>
      <c r="B598" s="3" t="s">
        <v>1499</v>
      </c>
      <c r="C598" s="3" t="s">
        <v>2375</v>
      </c>
      <c r="D598" s="3" t="s">
        <v>2376</v>
      </c>
      <c r="E598" s="8" t="s">
        <v>4034</v>
      </c>
    </row>
    <row r="599" spans="1:5" ht="38.5" x14ac:dyDescent="0.35">
      <c r="A599" s="3" t="s">
        <v>4033</v>
      </c>
      <c r="B599" s="3" t="s">
        <v>1499</v>
      </c>
      <c r="C599" s="3" t="s">
        <v>4035</v>
      </c>
      <c r="D599" s="3" t="s">
        <v>2664</v>
      </c>
      <c r="E599" s="8" t="s">
        <v>4034</v>
      </c>
    </row>
    <row r="600" spans="1:5" ht="38.5" x14ac:dyDescent="0.35">
      <c r="A600" s="3" t="s">
        <v>4033</v>
      </c>
      <c r="B600" s="3" t="s">
        <v>1499</v>
      </c>
      <c r="C600" s="3" t="s">
        <v>3952</v>
      </c>
      <c r="D600" s="3" t="s">
        <v>2677</v>
      </c>
      <c r="E600" s="8" t="s">
        <v>4034</v>
      </c>
    </row>
    <row r="601" spans="1:5" ht="38.5" x14ac:dyDescent="0.35">
      <c r="A601" s="3" t="s">
        <v>4033</v>
      </c>
      <c r="B601" s="3" t="s">
        <v>1499</v>
      </c>
      <c r="C601" s="3" t="s">
        <v>3954</v>
      </c>
      <c r="D601" s="3" t="s">
        <v>2767</v>
      </c>
      <c r="E601" s="8" t="s">
        <v>4034</v>
      </c>
    </row>
    <row r="602" spans="1:5" ht="38.5" x14ac:dyDescent="0.35">
      <c r="A602" s="3" t="s">
        <v>4033</v>
      </c>
      <c r="B602" s="3" t="s">
        <v>1499</v>
      </c>
      <c r="C602" s="3" t="s">
        <v>3889</v>
      </c>
      <c r="D602" s="3" t="s">
        <v>2808</v>
      </c>
      <c r="E602" s="8" t="s">
        <v>4034</v>
      </c>
    </row>
    <row r="603" spans="1:5" ht="38.5" x14ac:dyDescent="0.35">
      <c r="A603" s="3" t="s">
        <v>4033</v>
      </c>
      <c r="B603" s="3" t="s">
        <v>1499</v>
      </c>
      <c r="C603" s="3" t="s">
        <v>3890</v>
      </c>
      <c r="D603" s="3" t="s">
        <v>2810</v>
      </c>
      <c r="E603" s="8" t="s">
        <v>4034</v>
      </c>
    </row>
    <row r="604" spans="1:5" ht="38.5" x14ac:dyDescent="0.35">
      <c r="A604" s="3" t="s">
        <v>4033</v>
      </c>
      <c r="B604" s="3" t="s">
        <v>1499</v>
      </c>
      <c r="C604" s="3" t="s">
        <v>3956</v>
      </c>
      <c r="D604" s="3" t="s">
        <v>2814</v>
      </c>
      <c r="E604" s="8" t="s">
        <v>4034</v>
      </c>
    </row>
    <row r="605" spans="1:5" ht="38.5" x14ac:dyDescent="0.35">
      <c r="A605" s="3" t="s">
        <v>4033</v>
      </c>
      <c r="B605" s="3" t="s">
        <v>1499</v>
      </c>
      <c r="C605" s="3" t="s">
        <v>4036</v>
      </c>
      <c r="D605" s="3" t="s">
        <v>2816</v>
      </c>
      <c r="E605" s="8" t="s">
        <v>4034</v>
      </c>
    </row>
    <row r="606" spans="1:5" ht="38.5" x14ac:dyDescent="0.35">
      <c r="A606" s="3" t="s">
        <v>4033</v>
      </c>
      <c r="B606" s="3" t="s">
        <v>1499</v>
      </c>
      <c r="C606" s="3" t="s">
        <v>4002</v>
      </c>
      <c r="D606" s="3" t="s">
        <v>2818</v>
      </c>
      <c r="E606" s="8" t="s">
        <v>4034</v>
      </c>
    </row>
    <row r="607" spans="1:5" ht="38.5" x14ac:dyDescent="0.35">
      <c r="A607" s="3" t="s">
        <v>4033</v>
      </c>
      <c r="B607" s="3" t="s">
        <v>1499</v>
      </c>
      <c r="C607" s="3" t="s">
        <v>3989</v>
      </c>
      <c r="D607" s="3" t="s">
        <v>2820</v>
      </c>
      <c r="E607" s="8" t="s">
        <v>4034</v>
      </c>
    </row>
    <row r="608" spans="1:5" ht="38.5" x14ac:dyDescent="0.35">
      <c r="A608" s="3" t="s">
        <v>4033</v>
      </c>
      <c r="B608" s="3" t="s">
        <v>1499</v>
      </c>
      <c r="C608" s="3" t="s">
        <v>3679</v>
      </c>
      <c r="D608" s="3" t="s">
        <v>2883</v>
      </c>
      <c r="E608" s="8" t="s">
        <v>4034</v>
      </c>
    </row>
    <row r="609" spans="1:5" ht="38.5" x14ac:dyDescent="0.35">
      <c r="A609" s="3" t="s">
        <v>4033</v>
      </c>
      <c r="B609" s="3" t="s">
        <v>1499</v>
      </c>
      <c r="C609" s="3" t="s">
        <v>3377</v>
      </c>
      <c r="D609" s="3" t="s">
        <v>2885</v>
      </c>
      <c r="E609" s="8" t="s">
        <v>4034</v>
      </c>
    </row>
    <row r="610" spans="1:5" ht="38.5" x14ac:dyDescent="0.35">
      <c r="A610" s="3" t="s">
        <v>4033</v>
      </c>
      <c r="B610" s="3" t="s">
        <v>1499</v>
      </c>
      <c r="C610" s="3" t="s">
        <v>3366</v>
      </c>
      <c r="D610" s="3" t="s">
        <v>2891</v>
      </c>
      <c r="E610" s="8" t="s">
        <v>4034</v>
      </c>
    </row>
    <row r="611" spans="1:5" ht="38.5" x14ac:dyDescent="0.35">
      <c r="A611" s="3" t="s">
        <v>4033</v>
      </c>
      <c r="B611" s="3" t="s">
        <v>1499</v>
      </c>
      <c r="C611" s="3" t="s">
        <v>3332</v>
      </c>
      <c r="D611" s="3" t="s">
        <v>2959</v>
      </c>
      <c r="E611" s="8" t="s">
        <v>4034</v>
      </c>
    </row>
    <row r="612" spans="1:5" ht="38.5" x14ac:dyDescent="0.35">
      <c r="A612" s="3" t="s">
        <v>4033</v>
      </c>
      <c r="B612" s="3" t="s">
        <v>1499</v>
      </c>
      <c r="C612" s="3" t="s">
        <v>3928</v>
      </c>
      <c r="D612" s="3" t="s">
        <v>2979</v>
      </c>
      <c r="E612" s="8" t="s">
        <v>4034</v>
      </c>
    </row>
    <row r="613" spans="1:5" ht="38.5" x14ac:dyDescent="0.35">
      <c r="A613" s="3" t="s">
        <v>4033</v>
      </c>
      <c r="B613" s="3" t="s">
        <v>1499</v>
      </c>
      <c r="C613" s="3" t="s">
        <v>3929</v>
      </c>
      <c r="D613" s="3" t="s">
        <v>2981</v>
      </c>
      <c r="E613" s="8" t="s">
        <v>4034</v>
      </c>
    </row>
    <row r="614" spans="1:5" ht="38.5" x14ac:dyDescent="0.35">
      <c r="A614" s="3" t="s">
        <v>4033</v>
      </c>
      <c r="B614" s="3" t="s">
        <v>1499</v>
      </c>
      <c r="C614" s="3" t="s">
        <v>3960</v>
      </c>
      <c r="D614" s="3" t="s">
        <v>2983</v>
      </c>
      <c r="E614" s="8" t="s">
        <v>4034</v>
      </c>
    </row>
    <row r="615" spans="1:5" ht="38.5" x14ac:dyDescent="0.35">
      <c r="A615" s="3" t="s">
        <v>4033</v>
      </c>
      <c r="B615" s="3" t="s">
        <v>1499</v>
      </c>
      <c r="C615" s="3" t="s">
        <v>3492</v>
      </c>
      <c r="D615" s="3" t="s">
        <v>3018</v>
      </c>
      <c r="E615" s="8" t="s">
        <v>4034</v>
      </c>
    </row>
    <row r="616" spans="1:5" ht="38.5" x14ac:dyDescent="0.35">
      <c r="A616" s="3" t="s">
        <v>4033</v>
      </c>
      <c r="B616" s="3" t="s">
        <v>1499</v>
      </c>
      <c r="C616" s="3" t="s">
        <v>3930</v>
      </c>
      <c r="D616" s="3" t="s">
        <v>3063</v>
      </c>
      <c r="E616" s="8" t="s">
        <v>4034</v>
      </c>
    </row>
    <row r="617" spans="1:5" ht="38.5" x14ac:dyDescent="0.35">
      <c r="A617" s="3" t="s">
        <v>4033</v>
      </c>
      <c r="B617" s="3" t="s">
        <v>1499</v>
      </c>
      <c r="C617" s="3" t="s">
        <v>3717</v>
      </c>
      <c r="D617" s="3" t="s">
        <v>3087</v>
      </c>
      <c r="E617" s="8" t="s">
        <v>4034</v>
      </c>
    </row>
    <row r="618" spans="1:5" ht="38.5" x14ac:dyDescent="0.35">
      <c r="A618" s="3" t="s">
        <v>4033</v>
      </c>
      <c r="B618" s="3" t="s">
        <v>1499</v>
      </c>
      <c r="C618" s="3" t="s">
        <v>3931</v>
      </c>
      <c r="D618" s="3" t="s">
        <v>3089</v>
      </c>
      <c r="E618" s="8" t="s">
        <v>4034</v>
      </c>
    </row>
    <row r="619" spans="1:5" ht="51" x14ac:dyDescent="0.35">
      <c r="A619" s="3" t="s">
        <v>4033</v>
      </c>
      <c r="B619" s="3" t="s">
        <v>1499</v>
      </c>
      <c r="C619" s="3" t="s">
        <v>3310</v>
      </c>
      <c r="D619" s="3" t="s">
        <v>3099</v>
      </c>
      <c r="E619" s="8" t="s">
        <v>4037</v>
      </c>
    </row>
    <row r="620" spans="1:5" ht="38.5" x14ac:dyDescent="0.35">
      <c r="A620" s="3" t="s">
        <v>4033</v>
      </c>
      <c r="B620" s="3" t="s">
        <v>1499</v>
      </c>
      <c r="C620" s="3" t="s">
        <v>3314</v>
      </c>
      <c r="D620" s="3" t="s">
        <v>3123</v>
      </c>
      <c r="E620" s="8" t="s">
        <v>4034</v>
      </c>
    </row>
    <row r="621" spans="1:5" ht="38.5" x14ac:dyDescent="0.35">
      <c r="A621" s="3" t="s">
        <v>4033</v>
      </c>
      <c r="B621" s="3" t="s">
        <v>1499</v>
      </c>
      <c r="C621" s="3" t="s">
        <v>3315</v>
      </c>
      <c r="D621" s="3" t="s">
        <v>3125</v>
      </c>
      <c r="E621" s="8" t="s">
        <v>4034</v>
      </c>
    </row>
    <row r="622" spans="1:5" ht="38.5" x14ac:dyDescent="0.35">
      <c r="A622" s="3" t="s">
        <v>4033</v>
      </c>
      <c r="B622" s="3" t="s">
        <v>1499</v>
      </c>
      <c r="C622" s="3" t="s">
        <v>4022</v>
      </c>
      <c r="D622" s="3" t="s">
        <v>3129</v>
      </c>
      <c r="E622" s="8" t="s">
        <v>4034</v>
      </c>
    </row>
    <row r="623" spans="1:5" ht="26" x14ac:dyDescent="0.35">
      <c r="A623" s="3" t="s">
        <v>4038</v>
      </c>
      <c r="B623" s="3" t="s">
        <v>1501</v>
      </c>
      <c r="C623" s="3" t="s">
        <v>2375</v>
      </c>
      <c r="D623" s="3" t="s">
        <v>2376</v>
      </c>
      <c r="E623" s="8" t="s">
        <v>4039</v>
      </c>
    </row>
    <row r="624" spans="1:5" ht="38.5" x14ac:dyDescent="0.35">
      <c r="A624" s="3" t="s">
        <v>4040</v>
      </c>
      <c r="B624" s="3" t="s">
        <v>1505</v>
      </c>
      <c r="C624" s="3" t="s">
        <v>2375</v>
      </c>
      <c r="D624" s="3" t="s">
        <v>2376</v>
      </c>
      <c r="E624" s="8" t="s">
        <v>4041</v>
      </c>
    </row>
    <row r="625" spans="1:5" ht="38.5" x14ac:dyDescent="0.35">
      <c r="A625" s="3" t="s">
        <v>4042</v>
      </c>
      <c r="B625" s="3" t="s">
        <v>1507</v>
      </c>
      <c r="C625" s="3" t="s">
        <v>2375</v>
      </c>
      <c r="D625" s="3" t="s">
        <v>2376</v>
      </c>
      <c r="E625" s="8" t="s">
        <v>4043</v>
      </c>
    </row>
    <row r="626" spans="1:5" ht="26" x14ac:dyDescent="0.35">
      <c r="A626" s="3" t="s">
        <v>4044</v>
      </c>
      <c r="B626" s="3" t="s">
        <v>1517</v>
      </c>
      <c r="C626" s="3" t="s">
        <v>4045</v>
      </c>
      <c r="D626" s="3" t="s">
        <v>2386</v>
      </c>
      <c r="E626" s="8" t="s">
        <v>4046</v>
      </c>
    </row>
    <row r="627" spans="1:5" ht="26" x14ac:dyDescent="0.35">
      <c r="A627" s="3" t="s">
        <v>4047</v>
      </c>
      <c r="B627" s="3" t="s">
        <v>1519</v>
      </c>
      <c r="C627" s="3" t="s">
        <v>2375</v>
      </c>
      <c r="D627" s="3" t="s">
        <v>2376</v>
      </c>
      <c r="E627" s="8" t="s">
        <v>4048</v>
      </c>
    </row>
    <row r="628" spans="1:5" ht="63.5" x14ac:dyDescent="0.35">
      <c r="A628" s="3" t="s">
        <v>4049</v>
      </c>
      <c r="B628" s="3" t="s">
        <v>1523</v>
      </c>
      <c r="C628" s="3" t="s">
        <v>4050</v>
      </c>
      <c r="D628" s="3" t="s">
        <v>2384</v>
      </c>
      <c r="E628" s="8" t="s">
        <v>4051</v>
      </c>
    </row>
    <row r="629" spans="1:5" ht="51" x14ac:dyDescent="0.35">
      <c r="A629" s="3" t="s">
        <v>4049</v>
      </c>
      <c r="B629" s="3" t="s">
        <v>1523</v>
      </c>
      <c r="C629" s="3" t="s">
        <v>4045</v>
      </c>
      <c r="D629" s="3" t="s">
        <v>2386</v>
      </c>
      <c r="E629" s="8" t="s">
        <v>4052</v>
      </c>
    </row>
    <row r="630" spans="1:5" ht="51" x14ac:dyDescent="0.35">
      <c r="A630" s="3" t="s">
        <v>4049</v>
      </c>
      <c r="B630" s="3" t="s">
        <v>1523</v>
      </c>
      <c r="C630" s="3" t="s">
        <v>4053</v>
      </c>
      <c r="D630" s="3" t="s">
        <v>2397</v>
      </c>
      <c r="E630" s="8" t="s">
        <v>4052</v>
      </c>
    </row>
    <row r="631" spans="1:5" ht="51" x14ac:dyDescent="0.35">
      <c r="A631" s="3" t="s">
        <v>4049</v>
      </c>
      <c r="B631" s="3" t="s">
        <v>1523</v>
      </c>
      <c r="C631" s="3" t="s">
        <v>4054</v>
      </c>
      <c r="D631" s="3" t="s">
        <v>2679</v>
      </c>
      <c r="E631" s="8" t="s">
        <v>4052</v>
      </c>
    </row>
    <row r="632" spans="1:5" ht="51" x14ac:dyDescent="0.35">
      <c r="A632" s="3" t="s">
        <v>4049</v>
      </c>
      <c r="B632" s="3" t="s">
        <v>1523</v>
      </c>
      <c r="C632" s="3" t="s">
        <v>4055</v>
      </c>
      <c r="D632" s="3" t="s">
        <v>2687</v>
      </c>
      <c r="E632" s="8" t="s">
        <v>4052</v>
      </c>
    </row>
    <row r="633" spans="1:5" ht="51" x14ac:dyDescent="0.35">
      <c r="A633" s="3" t="s">
        <v>4056</v>
      </c>
      <c r="B633" s="3" t="s">
        <v>1525</v>
      </c>
      <c r="C633" s="3" t="s">
        <v>2375</v>
      </c>
      <c r="D633" s="3" t="s">
        <v>2376</v>
      </c>
      <c r="E633" s="8" t="s">
        <v>4057</v>
      </c>
    </row>
    <row r="634" spans="1:5" ht="51" x14ac:dyDescent="0.35">
      <c r="A634" s="3" t="s">
        <v>4056</v>
      </c>
      <c r="B634" s="3" t="s">
        <v>1525</v>
      </c>
      <c r="C634" s="3" t="s">
        <v>4050</v>
      </c>
      <c r="D634" s="3" t="s">
        <v>2384</v>
      </c>
      <c r="E634" s="8" t="s">
        <v>4058</v>
      </c>
    </row>
    <row r="635" spans="1:5" ht="51" x14ac:dyDescent="0.35">
      <c r="A635" s="3" t="s">
        <v>4059</v>
      </c>
      <c r="B635" s="3" t="s">
        <v>1527</v>
      </c>
      <c r="C635" s="3" t="s">
        <v>2375</v>
      </c>
      <c r="D635" s="3" t="s">
        <v>2376</v>
      </c>
      <c r="E635" s="8" t="s">
        <v>4057</v>
      </c>
    </row>
    <row r="636" spans="1:5" ht="51" x14ac:dyDescent="0.35">
      <c r="A636" s="3" t="s">
        <v>4059</v>
      </c>
      <c r="B636" s="3" t="s">
        <v>1527</v>
      </c>
      <c r="C636" s="3" t="s">
        <v>4050</v>
      </c>
      <c r="D636" s="3" t="s">
        <v>2384</v>
      </c>
      <c r="E636" s="8" t="s">
        <v>4060</v>
      </c>
    </row>
    <row r="637" spans="1:5" ht="38.5" x14ac:dyDescent="0.35">
      <c r="A637" s="3" t="s">
        <v>4061</v>
      </c>
      <c r="B637" s="3" t="s">
        <v>1537</v>
      </c>
      <c r="C637" s="3" t="s">
        <v>2375</v>
      </c>
      <c r="D637" s="3" t="s">
        <v>2376</v>
      </c>
      <c r="E637" s="8" t="s">
        <v>4062</v>
      </c>
    </row>
    <row r="638" spans="1:5" ht="38.5" x14ac:dyDescent="0.35">
      <c r="A638" s="3" t="s">
        <v>4063</v>
      </c>
      <c r="B638" s="3" t="s">
        <v>1541</v>
      </c>
      <c r="C638" s="3" t="s">
        <v>2375</v>
      </c>
      <c r="D638" s="3" t="s">
        <v>2376</v>
      </c>
      <c r="E638" s="8" t="s">
        <v>4064</v>
      </c>
    </row>
    <row r="639" spans="1:5" ht="51" x14ac:dyDescent="0.35">
      <c r="A639" s="3" t="s">
        <v>4065</v>
      </c>
      <c r="B639" s="3" t="s">
        <v>1543</v>
      </c>
      <c r="C639" s="3" t="s">
        <v>2375</v>
      </c>
      <c r="D639" s="3" t="s">
        <v>2376</v>
      </c>
      <c r="E639" s="8" t="s">
        <v>4066</v>
      </c>
    </row>
    <row r="640" spans="1:5" ht="26" x14ac:dyDescent="0.35">
      <c r="A640" s="3" t="s">
        <v>4067</v>
      </c>
      <c r="B640" s="3" t="s">
        <v>1551</v>
      </c>
      <c r="C640" s="3" t="s">
        <v>4068</v>
      </c>
      <c r="D640" s="3" t="s">
        <v>2457</v>
      </c>
      <c r="E640" s="8" t="s">
        <v>4069</v>
      </c>
    </row>
    <row r="641" spans="1:5" ht="51" x14ac:dyDescent="0.35">
      <c r="A641" s="3" t="s">
        <v>4067</v>
      </c>
      <c r="B641" s="3" t="s">
        <v>1551</v>
      </c>
      <c r="C641" s="3" t="s">
        <v>4070</v>
      </c>
      <c r="D641" s="3" t="s">
        <v>2473</v>
      </c>
      <c r="E641" s="8" t="s">
        <v>4071</v>
      </c>
    </row>
    <row r="642" spans="1:5" ht="26" x14ac:dyDescent="0.35">
      <c r="A642" s="3" t="s">
        <v>4067</v>
      </c>
      <c r="B642" s="3" t="s">
        <v>1551</v>
      </c>
      <c r="C642" s="3" t="s">
        <v>4072</v>
      </c>
      <c r="D642" s="3" t="s">
        <v>2485</v>
      </c>
      <c r="E642" s="8" t="s">
        <v>4069</v>
      </c>
    </row>
    <row r="643" spans="1:5" ht="26" x14ac:dyDescent="0.35">
      <c r="A643" s="3" t="s">
        <v>4073</v>
      </c>
      <c r="B643" s="3" t="s">
        <v>1555</v>
      </c>
      <c r="C643" s="3" t="s">
        <v>3431</v>
      </c>
      <c r="D643" s="3" t="s">
        <v>2447</v>
      </c>
      <c r="E643" s="8" t="s">
        <v>4074</v>
      </c>
    </row>
    <row r="644" spans="1:5" ht="26" x14ac:dyDescent="0.35">
      <c r="A644" s="3" t="s">
        <v>4073</v>
      </c>
      <c r="B644" s="3" t="s">
        <v>1555</v>
      </c>
      <c r="C644" s="3" t="s">
        <v>4075</v>
      </c>
      <c r="D644" s="3" t="s">
        <v>2453</v>
      </c>
      <c r="E644" s="8" t="s">
        <v>4074</v>
      </c>
    </row>
    <row r="645" spans="1:5" ht="26" x14ac:dyDescent="0.35">
      <c r="A645" s="3" t="s">
        <v>4073</v>
      </c>
      <c r="B645" s="3" t="s">
        <v>1555</v>
      </c>
      <c r="C645" s="3" t="s">
        <v>3303</v>
      </c>
      <c r="D645" s="3" t="s">
        <v>2459</v>
      </c>
      <c r="E645" s="8" t="s">
        <v>4074</v>
      </c>
    </row>
    <row r="646" spans="1:5" ht="26" x14ac:dyDescent="0.35">
      <c r="A646" s="3" t="s">
        <v>4073</v>
      </c>
      <c r="B646" s="3" t="s">
        <v>1555</v>
      </c>
      <c r="C646" s="3" t="s">
        <v>4076</v>
      </c>
      <c r="D646" s="3" t="s">
        <v>2475</v>
      </c>
      <c r="E646" s="8" t="s">
        <v>4074</v>
      </c>
    </row>
    <row r="647" spans="1:5" ht="26" x14ac:dyDescent="0.35">
      <c r="A647" s="3" t="s">
        <v>4073</v>
      </c>
      <c r="B647" s="3" t="s">
        <v>1555</v>
      </c>
      <c r="C647" s="3" t="s">
        <v>4077</v>
      </c>
      <c r="D647" s="3" t="s">
        <v>2477</v>
      </c>
      <c r="E647" s="8" t="s">
        <v>4074</v>
      </c>
    </row>
    <row r="648" spans="1:5" ht="26" x14ac:dyDescent="0.35">
      <c r="A648" s="3" t="s">
        <v>4073</v>
      </c>
      <c r="B648" s="3" t="s">
        <v>1555</v>
      </c>
      <c r="C648" s="3" t="s">
        <v>4078</v>
      </c>
      <c r="D648" s="3" t="s">
        <v>3213</v>
      </c>
      <c r="E648" s="8" t="s">
        <v>4074</v>
      </c>
    </row>
    <row r="649" spans="1:5" ht="38.5" x14ac:dyDescent="0.35">
      <c r="A649" s="3" t="s">
        <v>4079</v>
      </c>
      <c r="B649" s="3" t="s">
        <v>1559</v>
      </c>
      <c r="C649" s="3" t="s">
        <v>3431</v>
      </c>
      <c r="D649" s="3" t="s">
        <v>2447</v>
      </c>
      <c r="E649" s="8" t="s">
        <v>4080</v>
      </c>
    </row>
    <row r="650" spans="1:5" ht="38.5" x14ac:dyDescent="0.35">
      <c r="A650" s="3" t="s">
        <v>4079</v>
      </c>
      <c r="B650" s="3" t="s">
        <v>1559</v>
      </c>
      <c r="C650" s="3" t="s">
        <v>4081</v>
      </c>
      <c r="D650" s="3" t="s">
        <v>2467</v>
      </c>
      <c r="E650" s="8" t="s">
        <v>4080</v>
      </c>
    </row>
    <row r="651" spans="1:5" ht="26" x14ac:dyDescent="0.35">
      <c r="A651" s="3" t="s">
        <v>4079</v>
      </c>
      <c r="B651" s="3" t="s">
        <v>1559</v>
      </c>
      <c r="C651" s="3" t="s">
        <v>4082</v>
      </c>
      <c r="D651" s="3" t="s">
        <v>2564</v>
      </c>
      <c r="E651" s="8" t="s">
        <v>4083</v>
      </c>
    </row>
    <row r="652" spans="1:5" ht="38.5" x14ac:dyDescent="0.35">
      <c r="A652" s="3" t="s">
        <v>4084</v>
      </c>
      <c r="B652" s="3" t="s">
        <v>1561</v>
      </c>
      <c r="C652" s="3" t="s">
        <v>2375</v>
      </c>
      <c r="D652" s="3" t="s">
        <v>2376</v>
      </c>
      <c r="E652" s="8" t="s">
        <v>4085</v>
      </c>
    </row>
    <row r="653" spans="1:5" ht="26" x14ac:dyDescent="0.35">
      <c r="A653" s="3" t="s">
        <v>4086</v>
      </c>
      <c r="B653" s="3" t="s">
        <v>1567</v>
      </c>
      <c r="C653" s="3" t="s">
        <v>2375</v>
      </c>
      <c r="D653" s="3" t="s">
        <v>2376</v>
      </c>
      <c r="E653" s="8" t="s">
        <v>4087</v>
      </c>
    </row>
    <row r="654" spans="1:5" ht="26" x14ac:dyDescent="0.35">
      <c r="A654" s="3" t="s">
        <v>4088</v>
      </c>
      <c r="B654" s="3" t="s">
        <v>1569</v>
      </c>
      <c r="C654" s="3" t="s">
        <v>2375</v>
      </c>
      <c r="D654" s="3" t="s">
        <v>2376</v>
      </c>
      <c r="E654" s="8" t="s">
        <v>4089</v>
      </c>
    </row>
    <row r="655" spans="1:5" ht="26" x14ac:dyDescent="0.35">
      <c r="A655" s="3" t="s">
        <v>4090</v>
      </c>
      <c r="B655" s="3" t="s">
        <v>1573</v>
      </c>
      <c r="C655" s="3" t="s">
        <v>2375</v>
      </c>
      <c r="D655" s="3" t="s">
        <v>2376</v>
      </c>
      <c r="E655" s="8" t="s">
        <v>4091</v>
      </c>
    </row>
    <row r="656" spans="1:5" ht="38.5" x14ac:dyDescent="0.35">
      <c r="A656" s="3" t="s">
        <v>4092</v>
      </c>
      <c r="B656" s="3" t="s">
        <v>1577</v>
      </c>
      <c r="C656" s="3" t="s">
        <v>2375</v>
      </c>
      <c r="D656" s="3" t="s">
        <v>2376</v>
      </c>
      <c r="E656" s="8" t="s">
        <v>4093</v>
      </c>
    </row>
    <row r="657" spans="1:5" ht="38.5" x14ac:dyDescent="0.35">
      <c r="A657" s="3" t="s">
        <v>4092</v>
      </c>
      <c r="B657" s="3" t="s">
        <v>1577</v>
      </c>
      <c r="C657" s="3" t="s">
        <v>3431</v>
      </c>
      <c r="D657" s="3" t="s">
        <v>2447</v>
      </c>
      <c r="E657" s="8" t="s">
        <v>4093</v>
      </c>
    </row>
    <row r="658" spans="1:5" ht="26" x14ac:dyDescent="0.35">
      <c r="A658" s="3" t="s">
        <v>4092</v>
      </c>
      <c r="B658" s="3" t="s">
        <v>1577</v>
      </c>
      <c r="C658" s="3" t="s">
        <v>4094</v>
      </c>
      <c r="D658" s="3" t="s">
        <v>2465</v>
      </c>
      <c r="E658" s="8" t="s">
        <v>4095</v>
      </c>
    </row>
    <row r="659" spans="1:5" ht="38.5" x14ac:dyDescent="0.35">
      <c r="A659" s="3" t="s">
        <v>4092</v>
      </c>
      <c r="B659" s="3" t="s">
        <v>1577</v>
      </c>
      <c r="C659" s="3" t="s">
        <v>4072</v>
      </c>
      <c r="D659" s="3" t="s">
        <v>2485</v>
      </c>
      <c r="E659" s="8" t="s">
        <v>4096</v>
      </c>
    </row>
    <row r="660" spans="1:5" ht="38.5" x14ac:dyDescent="0.35">
      <c r="A660" s="3" t="s">
        <v>4092</v>
      </c>
      <c r="B660" s="3" t="s">
        <v>1577</v>
      </c>
      <c r="C660" s="3" t="s">
        <v>4082</v>
      </c>
      <c r="D660" s="3" t="s">
        <v>2564</v>
      </c>
      <c r="E660" s="8" t="s">
        <v>4097</v>
      </c>
    </row>
    <row r="661" spans="1:5" ht="38.5" x14ac:dyDescent="0.35">
      <c r="A661" s="3" t="s">
        <v>4098</v>
      </c>
      <c r="B661" s="3" t="s">
        <v>1581</v>
      </c>
      <c r="C661" s="3" t="s">
        <v>4099</v>
      </c>
      <c r="D661" s="3" t="s">
        <v>2445</v>
      </c>
      <c r="E661" s="8" t="s">
        <v>4100</v>
      </c>
    </row>
    <row r="662" spans="1:5" ht="38.5" x14ac:dyDescent="0.35">
      <c r="A662" s="3" t="s">
        <v>4098</v>
      </c>
      <c r="B662" s="3" t="s">
        <v>1581</v>
      </c>
      <c r="C662" s="3" t="s">
        <v>3431</v>
      </c>
      <c r="D662" s="3" t="s">
        <v>2447</v>
      </c>
      <c r="E662" s="8" t="s">
        <v>4100</v>
      </c>
    </row>
    <row r="663" spans="1:5" ht="26" x14ac:dyDescent="0.35">
      <c r="A663" s="3" t="s">
        <v>4098</v>
      </c>
      <c r="B663" s="3" t="s">
        <v>1581</v>
      </c>
      <c r="C663" s="3" t="s">
        <v>4068</v>
      </c>
      <c r="D663" s="3" t="s">
        <v>2457</v>
      </c>
      <c r="E663" s="8" t="s">
        <v>4101</v>
      </c>
    </row>
    <row r="664" spans="1:5" ht="38.5" x14ac:dyDescent="0.35">
      <c r="A664" s="3" t="s">
        <v>4098</v>
      </c>
      <c r="B664" s="3" t="s">
        <v>1581</v>
      </c>
      <c r="C664" s="3" t="s">
        <v>4081</v>
      </c>
      <c r="D664" s="3" t="s">
        <v>2467</v>
      </c>
      <c r="E664" s="8" t="s">
        <v>4100</v>
      </c>
    </row>
    <row r="665" spans="1:5" ht="38.5" x14ac:dyDescent="0.35">
      <c r="A665" s="3" t="s">
        <v>4098</v>
      </c>
      <c r="B665" s="3" t="s">
        <v>1581</v>
      </c>
      <c r="C665" s="3" t="s">
        <v>4070</v>
      </c>
      <c r="D665" s="3" t="s">
        <v>2473</v>
      </c>
      <c r="E665" s="8" t="s">
        <v>4102</v>
      </c>
    </row>
    <row r="666" spans="1:5" ht="51" x14ac:dyDescent="0.35">
      <c r="A666" s="3" t="s">
        <v>4098</v>
      </c>
      <c r="B666" s="3" t="s">
        <v>1581</v>
      </c>
      <c r="C666" s="3" t="s">
        <v>4072</v>
      </c>
      <c r="D666" s="3" t="s">
        <v>2485</v>
      </c>
      <c r="E666" s="8" t="s">
        <v>4103</v>
      </c>
    </row>
    <row r="667" spans="1:5" ht="26" x14ac:dyDescent="0.35">
      <c r="A667" s="3" t="s">
        <v>4104</v>
      </c>
      <c r="B667" s="3" t="s">
        <v>1585</v>
      </c>
      <c r="C667" s="3" t="s">
        <v>4068</v>
      </c>
      <c r="D667" s="3" t="s">
        <v>2457</v>
      </c>
      <c r="E667" s="8" t="s">
        <v>4105</v>
      </c>
    </row>
    <row r="668" spans="1:5" ht="26" x14ac:dyDescent="0.35">
      <c r="A668" s="3" t="s">
        <v>4104</v>
      </c>
      <c r="B668" s="3" t="s">
        <v>1585</v>
      </c>
      <c r="C668" s="3" t="s">
        <v>4072</v>
      </c>
      <c r="D668" s="3" t="s">
        <v>2485</v>
      </c>
      <c r="E668" s="8" t="s">
        <v>4105</v>
      </c>
    </row>
    <row r="669" spans="1:5" ht="26" x14ac:dyDescent="0.35">
      <c r="A669" s="3" t="s">
        <v>4106</v>
      </c>
      <c r="B669" s="3" t="s">
        <v>1587</v>
      </c>
      <c r="C669" s="3" t="s">
        <v>4068</v>
      </c>
      <c r="D669" s="3" t="s">
        <v>2457</v>
      </c>
      <c r="E669" s="8" t="s">
        <v>4107</v>
      </c>
    </row>
    <row r="670" spans="1:5" ht="26" x14ac:dyDescent="0.35">
      <c r="A670" s="3" t="s">
        <v>4106</v>
      </c>
      <c r="B670" s="3" t="s">
        <v>1587</v>
      </c>
      <c r="C670" s="3" t="s">
        <v>4072</v>
      </c>
      <c r="D670" s="3" t="s">
        <v>2485</v>
      </c>
      <c r="E670" s="8" t="s">
        <v>4108</v>
      </c>
    </row>
    <row r="671" spans="1:5" ht="26" x14ac:dyDescent="0.35">
      <c r="A671" s="3" t="s">
        <v>4109</v>
      </c>
      <c r="B671" s="3" t="s">
        <v>1589</v>
      </c>
      <c r="C671" s="3" t="s">
        <v>4068</v>
      </c>
      <c r="D671" s="3" t="s">
        <v>2457</v>
      </c>
      <c r="E671" s="8" t="s">
        <v>4110</v>
      </c>
    </row>
    <row r="672" spans="1:5" ht="38.5" x14ac:dyDescent="0.35">
      <c r="A672" s="3" t="s">
        <v>4109</v>
      </c>
      <c r="B672" s="3" t="s">
        <v>1589</v>
      </c>
      <c r="C672" s="3" t="s">
        <v>4072</v>
      </c>
      <c r="D672" s="3" t="s">
        <v>2485</v>
      </c>
      <c r="E672" s="8" t="s">
        <v>4111</v>
      </c>
    </row>
    <row r="673" spans="1:5" ht="26" x14ac:dyDescent="0.35">
      <c r="A673" s="3" t="s">
        <v>4112</v>
      </c>
      <c r="B673" s="3" t="s">
        <v>1595</v>
      </c>
      <c r="C673" s="3" t="s">
        <v>4099</v>
      </c>
      <c r="D673" s="3" t="s">
        <v>2445</v>
      </c>
      <c r="E673" s="8" t="s">
        <v>4113</v>
      </c>
    </row>
    <row r="674" spans="1:5" ht="26" x14ac:dyDescent="0.35">
      <c r="A674" s="3" t="s">
        <v>4112</v>
      </c>
      <c r="B674" s="3" t="s">
        <v>1595</v>
      </c>
      <c r="C674" s="3" t="s">
        <v>3431</v>
      </c>
      <c r="D674" s="3" t="s">
        <v>2447</v>
      </c>
      <c r="E674" s="8" t="s">
        <v>4113</v>
      </c>
    </row>
    <row r="675" spans="1:5" ht="26" x14ac:dyDescent="0.35">
      <c r="A675" s="3" t="s">
        <v>4112</v>
      </c>
      <c r="B675" s="3" t="s">
        <v>1595</v>
      </c>
      <c r="C675" s="3" t="s">
        <v>4114</v>
      </c>
      <c r="D675" s="3" t="s">
        <v>2481</v>
      </c>
      <c r="E675" s="8" t="s">
        <v>4113</v>
      </c>
    </row>
    <row r="676" spans="1:5" ht="26" x14ac:dyDescent="0.35">
      <c r="A676" s="3" t="s">
        <v>4112</v>
      </c>
      <c r="B676" s="3" t="s">
        <v>1595</v>
      </c>
      <c r="C676" s="3" t="s">
        <v>4115</v>
      </c>
      <c r="D676" s="3" t="s">
        <v>2483</v>
      </c>
      <c r="E676" s="8" t="s">
        <v>4113</v>
      </c>
    </row>
    <row r="677" spans="1:5" ht="38.5" x14ac:dyDescent="0.35">
      <c r="A677" s="3" t="s">
        <v>4116</v>
      </c>
      <c r="B677" s="3" t="s">
        <v>1597</v>
      </c>
      <c r="C677" s="3" t="s">
        <v>4099</v>
      </c>
      <c r="D677" s="3" t="s">
        <v>2445</v>
      </c>
      <c r="E677" s="8" t="s">
        <v>4117</v>
      </c>
    </row>
    <row r="678" spans="1:5" ht="38.5" x14ac:dyDescent="0.35">
      <c r="A678" s="3" t="s">
        <v>4116</v>
      </c>
      <c r="B678" s="3" t="s">
        <v>1597</v>
      </c>
      <c r="C678" s="3" t="s">
        <v>3431</v>
      </c>
      <c r="D678" s="3" t="s">
        <v>2447</v>
      </c>
      <c r="E678" s="8" t="s">
        <v>4117</v>
      </c>
    </row>
    <row r="679" spans="1:5" ht="38.5" x14ac:dyDescent="0.35">
      <c r="A679" s="3" t="s">
        <v>4116</v>
      </c>
      <c r="B679" s="3" t="s">
        <v>1597</v>
      </c>
      <c r="C679" s="3" t="s">
        <v>4075</v>
      </c>
      <c r="D679" s="3" t="s">
        <v>2453</v>
      </c>
      <c r="E679" s="8" t="s">
        <v>4117</v>
      </c>
    </row>
    <row r="680" spans="1:5" ht="51" x14ac:dyDescent="0.35">
      <c r="A680" s="3" t="s">
        <v>4116</v>
      </c>
      <c r="B680" s="3" t="s">
        <v>1597</v>
      </c>
      <c r="C680" s="3" t="s">
        <v>4070</v>
      </c>
      <c r="D680" s="3" t="s">
        <v>2473</v>
      </c>
      <c r="E680" s="8" t="s">
        <v>4118</v>
      </c>
    </row>
    <row r="681" spans="1:5" ht="38.5" x14ac:dyDescent="0.35">
      <c r="A681" s="3" t="s">
        <v>4116</v>
      </c>
      <c r="B681" s="3" t="s">
        <v>1597</v>
      </c>
      <c r="C681" s="3" t="s">
        <v>4076</v>
      </c>
      <c r="D681" s="3" t="s">
        <v>2475</v>
      </c>
      <c r="E681" s="8" t="s">
        <v>4117</v>
      </c>
    </row>
    <row r="682" spans="1:5" ht="38.5" x14ac:dyDescent="0.35">
      <c r="A682" s="3" t="s">
        <v>4116</v>
      </c>
      <c r="B682" s="3" t="s">
        <v>1597</v>
      </c>
      <c r="C682" s="3" t="s">
        <v>4072</v>
      </c>
      <c r="D682" s="3" t="s">
        <v>2485</v>
      </c>
      <c r="E682" s="8" t="s">
        <v>4117</v>
      </c>
    </row>
    <row r="683" spans="1:5" ht="26" x14ac:dyDescent="0.35">
      <c r="A683" s="3" t="s">
        <v>4119</v>
      </c>
      <c r="B683" s="3" t="s">
        <v>1621</v>
      </c>
      <c r="C683" s="3" t="s">
        <v>4068</v>
      </c>
      <c r="D683" s="3" t="s">
        <v>2457</v>
      </c>
      <c r="E683" s="8" t="s">
        <v>4120</v>
      </c>
    </row>
    <row r="684" spans="1:5" ht="38.5" x14ac:dyDescent="0.35">
      <c r="A684" s="3" t="s">
        <v>4121</v>
      </c>
      <c r="B684" s="3" t="s">
        <v>1625</v>
      </c>
      <c r="C684" s="3" t="s">
        <v>4076</v>
      </c>
      <c r="D684" s="3" t="s">
        <v>2475</v>
      </c>
      <c r="E684" s="8" t="s">
        <v>4122</v>
      </c>
    </row>
    <row r="685" spans="1:5" ht="26" x14ac:dyDescent="0.35">
      <c r="A685" s="3" t="s">
        <v>4123</v>
      </c>
      <c r="B685" s="3" t="s">
        <v>1627</v>
      </c>
      <c r="C685" s="3" t="s">
        <v>4068</v>
      </c>
      <c r="D685" s="3" t="s">
        <v>2457</v>
      </c>
      <c r="E685" s="8" t="s">
        <v>4124</v>
      </c>
    </row>
    <row r="686" spans="1:5" ht="26" x14ac:dyDescent="0.35">
      <c r="A686" s="3" t="s">
        <v>4123</v>
      </c>
      <c r="B686" s="3" t="s">
        <v>1627</v>
      </c>
      <c r="C686" s="3" t="s">
        <v>4072</v>
      </c>
      <c r="D686" s="3" t="s">
        <v>2485</v>
      </c>
      <c r="E686" s="8" t="s">
        <v>4124</v>
      </c>
    </row>
    <row r="687" spans="1:5" ht="51" x14ac:dyDescent="0.35">
      <c r="A687" s="3" t="s">
        <v>4125</v>
      </c>
      <c r="B687" s="3" t="s">
        <v>1629</v>
      </c>
      <c r="C687" s="3" t="s">
        <v>4126</v>
      </c>
      <c r="D687" s="3" t="s">
        <v>2427</v>
      </c>
      <c r="E687" s="8" t="s">
        <v>4127</v>
      </c>
    </row>
    <row r="688" spans="1:5" ht="38.5" x14ac:dyDescent="0.35">
      <c r="A688" s="3" t="s">
        <v>4125</v>
      </c>
      <c r="B688" s="3" t="s">
        <v>1629</v>
      </c>
      <c r="C688" s="3" t="s">
        <v>4070</v>
      </c>
      <c r="D688" s="3" t="s">
        <v>2473</v>
      </c>
      <c r="E688" s="8" t="s">
        <v>4128</v>
      </c>
    </row>
    <row r="689" spans="1:5" ht="38.5" x14ac:dyDescent="0.35">
      <c r="A689" s="3" t="s">
        <v>4125</v>
      </c>
      <c r="B689" s="3" t="s">
        <v>1629</v>
      </c>
      <c r="C689" s="3" t="s">
        <v>4076</v>
      </c>
      <c r="D689" s="3" t="s">
        <v>2475</v>
      </c>
      <c r="E689" s="8" t="s">
        <v>4128</v>
      </c>
    </row>
    <row r="690" spans="1:5" ht="38.5" x14ac:dyDescent="0.35">
      <c r="A690" s="3" t="s">
        <v>4129</v>
      </c>
      <c r="B690" s="3" t="s">
        <v>1633</v>
      </c>
      <c r="C690" s="3" t="s">
        <v>4081</v>
      </c>
      <c r="D690" s="3" t="s">
        <v>2467</v>
      </c>
      <c r="E690" s="8" t="s">
        <v>4130</v>
      </c>
    </row>
    <row r="691" spans="1:5" ht="26" x14ac:dyDescent="0.35">
      <c r="A691" s="3" t="s">
        <v>4129</v>
      </c>
      <c r="B691" s="3" t="s">
        <v>1633</v>
      </c>
      <c r="C691" s="3" t="s">
        <v>4082</v>
      </c>
      <c r="D691" s="3" t="s">
        <v>2564</v>
      </c>
      <c r="E691" s="8" t="s">
        <v>4083</v>
      </c>
    </row>
    <row r="692" spans="1:5" ht="26" x14ac:dyDescent="0.35">
      <c r="A692" s="3" t="s">
        <v>4131</v>
      </c>
      <c r="B692" s="3" t="s">
        <v>1635</v>
      </c>
      <c r="C692" s="3" t="s">
        <v>4099</v>
      </c>
      <c r="D692" s="3" t="s">
        <v>2445</v>
      </c>
      <c r="E692" s="8" t="s">
        <v>4132</v>
      </c>
    </row>
    <row r="693" spans="1:5" ht="26" x14ac:dyDescent="0.35">
      <c r="A693" s="3" t="s">
        <v>4131</v>
      </c>
      <c r="B693" s="3" t="s">
        <v>1635</v>
      </c>
      <c r="C693" s="3" t="s">
        <v>3431</v>
      </c>
      <c r="D693" s="3" t="s">
        <v>2447</v>
      </c>
      <c r="E693" s="8" t="s">
        <v>4132</v>
      </c>
    </row>
    <row r="694" spans="1:5" ht="26" x14ac:dyDescent="0.35">
      <c r="A694" s="3" t="s">
        <v>4133</v>
      </c>
      <c r="B694" s="3" t="s">
        <v>1649</v>
      </c>
      <c r="C694" s="3" t="s">
        <v>2375</v>
      </c>
      <c r="D694" s="3" t="s">
        <v>2376</v>
      </c>
      <c r="E694" s="8" t="s">
        <v>4134</v>
      </c>
    </row>
    <row r="695" spans="1:5" ht="26" x14ac:dyDescent="0.35">
      <c r="A695" s="3" t="s">
        <v>4133</v>
      </c>
      <c r="B695" s="3" t="s">
        <v>1649</v>
      </c>
      <c r="C695" s="3" t="s">
        <v>3319</v>
      </c>
      <c r="D695" s="3" t="s">
        <v>3255</v>
      </c>
      <c r="E695" s="8" t="s">
        <v>4135</v>
      </c>
    </row>
    <row r="696" spans="1:5" ht="26" x14ac:dyDescent="0.35">
      <c r="A696" s="3" t="s">
        <v>4133</v>
      </c>
      <c r="B696" s="3" t="s">
        <v>1649</v>
      </c>
      <c r="C696" s="3" t="s">
        <v>3321</v>
      </c>
      <c r="D696" s="3" t="s">
        <v>3257</v>
      </c>
      <c r="E696" s="8" t="s">
        <v>4135</v>
      </c>
    </row>
    <row r="697" spans="1:5" ht="38.5" x14ac:dyDescent="0.35">
      <c r="A697" s="3" t="s">
        <v>4136</v>
      </c>
      <c r="B697" s="3" t="s">
        <v>1655</v>
      </c>
      <c r="C697" s="3" t="s">
        <v>4137</v>
      </c>
      <c r="D697" s="3" t="s">
        <v>2989</v>
      </c>
      <c r="E697" s="8" t="s">
        <v>4138</v>
      </c>
    </row>
    <row r="698" spans="1:5" ht="38.5" x14ac:dyDescent="0.35">
      <c r="A698" s="3" t="s">
        <v>4136</v>
      </c>
      <c r="B698" s="3" t="s">
        <v>1655</v>
      </c>
      <c r="C698" s="3" t="s">
        <v>4139</v>
      </c>
      <c r="D698" s="3" t="s">
        <v>2991</v>
      </c>
      <c r="E698" s="8" t="s">
        <v>4138</v>
      </c>
    </row>
    <row r="699" spans="1:5" ht="26" x14ac:dyDescent="0.35">
      <c r="A699" s="3" t="s">
        <v>4140</v>
      </c>
      <c r="B699" s="3" t="s">
        <v>1657</v>
      </c>
      <c r="C699" s="3" t="s">
        <v>4068</v>
      </c>
      <c r="D699" s="3" t="s">
        <v>2457</v>
      </c>
      <c r="E699" s="8" t="s">
        <v>4105</v>
      </c>
    </row>
    <row r="700" spans="1:5" ht="26" x14ac:dyDescent="0.35">
      <c r="A700" s="3" t="s">
        <v>4140</v>
      </c>
      <c r="B700" s="3" t="s">
        <v>1657</v>
      </c>
      <c r="C700" s="3" t="s">
        <v>4072</v>
      </c>
      <c r="D700" s="3" t="s">
        <v>2485</v>
      </c>
      <c r="E700" s="8" t="s">
        <v>4105</v>
      </c>
    </row>
    <row r="701" spans="1:5" ht="26" x14ac:dyDescent="0.35">
      <c r="A701" s="3" t="s">
        <v>4140</v>
      </c>
      <c r="B701" s="3" t="s">
        <v>1657</v>
      </c>
      <c r="C701" s="3" t="s">
        <v>3319</v>
      </c>
      <c r="D701" s="3" t="s">
        <v>3255</v>
      </c>
      <c r="E701" s="8" t="s">
        <v>4105</v>
      </c>
    </row>
    <row r="702" spans="1:5" ht="26" x14ac:dyDescent="0.35">
      <c r="A702" s="3" t="s">
        <v>4140</v>
      </c>
      <c r="B702" s="3" t="s">
        <v>1657</v>
      </c>
      <c r="C702" s="3" t="s">
        <v>3321</v>
      </c>
      <c r="D702" s="3" t="s">
        <v>3257</v>
      </c>
      <c r="E702" s="8" t="s">
        <v>4105</v>
      </c>
    </row>
    <row r="703" spans="1:5" ht="38.5" x14ac:dyDescent="0.35">
      <c r="A703" s="3" t="s">
        <v>4141</v>
      </c>
      <c r="B703" s="3" t="s">
        <v>1669</v>
      </c>
      <c r="C703" s="3" t="s">
        <v>3517</v>
      </c>
      <c r="D703" s="3" t="s">
        <v>2411</v>
      </c>
      <c r="E703" s="8" t="s">
        <v>4142</v>
      </c>
    </row>
    <row r="704" spans="1:5" ht="38.5" x14ac:dyDescent="0.35">
      <c r="A704" s="3" t="s">
        <v>4143</v>
      </c>
      <c r="B704" s="3" t="s">
        <v>1671</v>
      </c>
      <c r="C704" s="3" t="s">
        <v>3517</v>
      </c>
      <c r="D704" s="3" t="s">
        <v>2411</v>
      </c>
      <c r="E704" s="8" t="s">
        <v>4144</v>
      </c>
    </row>
    <row r="705" spans="1:5" ht="38.5" x14ac:dyDescent="0.35">
      <c r="A705" s="3" t="s">
        <v>4145</v>
      </c>
      <c r="B705" s="3" t="s">
        <v>1673</v>
      </c>
      <c r="C705" s="3" t="s">
        <v>3517</v>
      </c>
      <c r="D705" s="3" t="s">
        <v>2411</v>
      </c>
      <c r="E705" s="8" t="s">
        <v>4146</v>
      </c>
    </row>
    <row r="706" spans="1:5" ht="26" x14ac:dyDescent="0.35">
      <c r="A706" s="3" t="s">
        <v>4147</v>
      </c>
      <c r="B706" s="3" t="s">
        <v>1677</v>
      </c>
      <c r="C706" s="3" t="s">
        <v>4148</v>
      </c>
      <c r="D706" s="3" t="s">
        <v>2405</v>
      </c>
      <c r="E706" s="8" t="s">
        <v>4149</v>
      </c>
    </row>
    <row r="707" spans="1:5" ht="26" x14ac:dyDescent="0.35">
      <c r="A707" s="3" t="s">
        <v>4147</v>
      </c>
      <c r="B707" s="3" t="s">
        <v>1677</v>
      </c>
      <c r="C707" s="3" t="s">
        <v>4150</v>
      </c>
      <c r="D707" s="3" t="s">
        <v>2409</v>
      </c>
      <c r="E707" s="8" t="s">
        <v>4149</v>
      </c>
    </row>
    <row r="708" spans="1:5" ht="38.5" x14ac:dyDescent="0.35">
      <c r="A708" s="3" t="s">
        <v>4151</v>
      </c>
      <c r="B708" s="3" t="s">
        <v>1679</v>
      </c>
      <c r="C708" s="3" t="s">
        <v>4152</v>
      </c>
      <c r="D708" s="3" t="s">
        <v>2407</v>
      </c>
      <c r="E708" s="8" t="s">
        <v>4153</v>
      </c>
    </row>
    <row r="709" spans="1:5" ht="38.5" x14ac:dyDescent="0.35">
      <c r="A709" s="3" t="s">
        <v>4154</v>
      </c>
      <c r="B709" s="3" t="s">
        <v>1681</v>
      </c>
      <c r="C709" s="3" t="s">
        <v>4152</v>
      </c>
      <c r="D709" s="3" t="s">
        <v>2407</v>
      </c>
      <c r="E709" s="8" t="s">
        <v>4155</v>
      </c>
    </row>
    <row r="710" spans="1:5" ht="26" x14ac:dyDescent="0.35">
      <c r="A710" s="3" t="s">
        <v>4156</v>
      </c>
      <c r="B710" s="3" t="s">
        <v>1687</v>
      </c>
      <c r="C710" s="3" t="s">
        <v>4148</v>
      </c>
      <c r="D710" s="3" t="s">
        <v>2405</v>
      </c>
      <c r="E710" s="8" t="s">
        <v>4157</v>
      </c>
    </row>
    <row r="711" spans="1:5" ht="26" x14ac:dyDescent="0.35">
      <c r="A711" s="3" t="s">
        <v>4158</v>
      </c>
      <c r="B711" s="3" t="s">
        <v>1689</v>
      </c>
      <c r="C711" s="3" t="s">
        <v>4148</v>
      </c>
      <c r="D711" s="3" t="s">
        <v>2405</v>
      </c>
      <c r="E711" s="8" t="s">
        <v>4159</v>
      </c>
    </row>
    <row r="712" spans="1:5" ht="26" x14ac:dyDescent="0.35">
      <c r="A712" s="3" t="s">
        <v>4160</v>
      </c>
      <c r="B712" s="3" t="s">
        <v>1691</v>
      </c>
      <c r="C712" s="3" t="s">
        <v>4148</v>
      </c>
      <c r="D712" s="3" t="s">
        <v>2405</v>
      </c>
      <c r="E712" s="8" t="s">
        <v>4157</v>
      </c>
    </row>
    <row r="713" spans="1:5" ht="76" x14ac:dyDescent="0.35">
      <c r="A713" s="3" t="s">
        <v>4161</v>
      </c>
      <c r="B713" s="3" t="s">
        <v>1703</v>
      </c>
      <c r="C713" s="3" t="s">
        <v>4162</v>
      </c>
      <c r="D713" s="3" t="s">
        <v>3209</v>
      </c>
      <c r="E713" s="8" t="s">
        <v>4163</v>
      </c>
    </row>
    <row r="714" spans="1:5" ht="38.5" x14ac:dyDescent="0.35">
      <c r="A714" s="3" t="s">
        <v>4164</v>
      </c>
      <c r="B714" s="3" t="s">
        <v>1707</v>
      </c>
      <c r="C714" s="3" t="s">
        <v>3950</v>
      </c>
      <c r="D714" s="3" t="s">
        <v>2666</v>
      </c>
      <c r="E714" s="8" t="s">
        <v>4165</v>
      </c>
    </row>
    <row r="715" spans="1:5" ht="38.5" x14ac:dyDescent="0.35">
      <c r="A715" s="3" t="s">
        <v>4164</v>
      </c>
      <c r="B715" s="3" t="s">
        <v>1707</v>
      </c>
      <c r="C715" s="3" t="s">
        <v>4166</v>
      </c>
      <c r="D715" s="3" t="s">
        <v>3211</v>
      </c>
      <c r="E715" s="8" t="s">
        <v>4167</v>
      </c>
    </row>
    <row r="716" spans="1:5" ht="51" x14ac:dyDescent="0.35">
      <c r="A716" s="3" t="s">
        <v>4168</v>
      </c>
      <c r="B716" s="3" t="s">
        <v>1711</v>
      </c>
      <c r="C716" s="3" t="s">
        <v>4075</v>
      </c>
      <c r="D716" s="3" t="s">
        <v>2453</v>
      </c>
      <c r="E716" s="8" t="s">
        <v>4169</v>
      </c>
    </row>
    <row r="717" spans="1:5" ht="38.5" x14ac:dyDescent="0.35">
      <c r="A717" s="3" t="s">
        <v>4168</v>
      </c>
      <c r="B717" s="3" t="s">
        <v>1711</v>
      </c>
      <c r="C717" s="3" t="s">
        <v>4070</v>
      </c>
      <c r="D717" s="3" t="s">
        <v>2473</v>
      </c>
      <c r="E717" s="8" t="s">
        <v>4170</v>
      </c>
    </row>
    <row r="718" spans="1:5" ht="51" x14ac:dyDescent="0.35">
      <c r="A718" s="3" t="s">
        <v>4168</v>
      </c>
      <c r="B718" s="3" t="s">
        <v>1711</v>
      </c>
      <c r="C718" s="3" t="s">
        <v>3446</v>
      </c>
      <c r="D718" s="3" t="s">
        <v>2857</v>
      </c>
      <c r="E718" s="8" t="s">
        <v>4169</v>
      </c>
    </row>
    <row r="719" spans="1:5" ht="51" x14ac:dyDescent="0.35">
      <c r="A719" s="3" t="s">
        <v>4171</v>
      </c>
      <c r="B719" s="3" t="s">
        <v>1713</v>
      </c>
      <c r="C719" s="3" t="s">
        <v>4075</v>
      </c>
      <c r="D719" s="3" t="s">
        <v>2453</v>
      </c>
      <c r="E719" s="8" t="s">
        <v>4172</v>
      </c>
    </row>
    <row r="720" spans="1:5" ht="51" x14ac:dyDescent="0.35">
      <c r="A720" s="3" t="s">
        <v>4171</v>
      </c>
      <c r="B720" s="3" t="s">
        <v>1713</v>
      </c>
      <c r="C720" s="3" t="s">
        <v>3446</v>
      </c>
      <c r="D720" s="3" t="s">
        <v>2857</v>
      </c>
      <c r="E720" s="8" t="s">
        <v>4173</v>
      </c>
    </row>
    <row r="721" spans="1:5" ht="38.5" x14ac:dyDescent="0.35">
      <c r="A721" s="3" t="s">
        <v>4174</v>
      </c>
      <c r="B721" s="3" t="s">
        <v>1721</v>
      </c>
      <c r="C721" s="3" t="s">
        <v>3453</v>
      </c>
      <c r="D721" s="3" t="s">
        <v>2641</v>
      </c>
      <c r="E721" s="8" t="s">
        <v>4175</v>
      </c>
    </row>
    <row r="722" spans="1:5" ht="51" x14ac:dyDescent="0.35">
      <c r="A722" s="3" t="s">
        <v>4174</v>
      </c>
      <c r="B722" s="3" t="s">
        <v>1721</v>
      </c>
      <c r="C722" s="3" t="s">
        <v>3955</v>
      </c>
      <c r="D722" s="3" t="s">
        <v>2769</v>
      </c>
      <c r="E722" s="8" t="s">
        <v>4176</v>
      </c>
    </row>
    <row r="723" spans="1:5" ht="38.5" x14ac:dyDescent="0.35">
      <c r="A723" s="3" t="s">
        <v>4174</v>
      </c>
      <c r="B723" s="3" t="s">
        <v>1721</v>
      </c>
      <c r="C723" s="3" t="s">
        <v>3321</v>
      </c>
      <c r="D723" s="3" t="s">
        <v>3257</v>
      </c>
      <c r="E723" s="8" t="s">
        <v>4177</v>
      </c>
    </row>
    <row r="724" spans="1:5" ht="38.5" x14ac:dyDescent="0.35">
      <c r="A724" s="3" t="s">
        <v>4178</v>
      </c>
      <c r="B724" s="3" t="s">
        <v>1723</v>
      </c>
      <c r="C724" s="3" t="s">
        <v>2375</v>
      </c>
      <c r="D724" s="3" t="s">
        <v>2376</v>
      </c>
      <c r="E724" s="8" t="s">
        <v>4179</v>
      </c>
    </row>
    <row r="725" spans="1:5" ht="76" x14ac:dyDescent="0.35">
      <c r="A725" s="3" t="s">
        <v>4180</v>
      </c>
      <c r="B725" s="3" t="s">
        <v>1727</v>
      </c>
      <c r="C725" s="3" t="s">
        <v>3288</v>
      </c>
      <c r="D725" s="3" t="s">
        <v>2672</v>
      </c>
      <c r="E725" s="8" t="s">
        <v>4181</v>
      </c>
    </row>
    <row r="726" spans="1:5" ht="63.5" x14ac:dyDescent="0.35">
      <c r="A726" s="3" t="s">
        <v>4180</v>
      </c>
      <c r="B726" s="3" t="s">
        <v>1727</v>
      </c>
      <c r="C726" s="3" t="s">
        <v>4182</v>
      </c>
      <c r="D726" s="3" t="s">
        <v>2701</v>
      </c>
      <c r="E726" s="8" t="s">
        <v>4183</v>
      </c>
    </row>
    <row r="727" spans="1:5" ht="76" x14ac:dyDescent="0.35">
      <c r="A727" s="3" t="s">
        <v>4180</v>
      </c>
      <c r="B727" s="3" t="s">
        <v>1727</v>
      </c>
      <c r="C727" s="3" t="s">
        <v>3881</v>
      </c>
      <c r="D727" s="3" t="s">
        <v>2725</v>
      </c>
      <c r="E727" s="8" t="s">
        <v>4181</v>
      </c>
    </row>
    <row r="728" spans="1:5" ht="63.5" x14ac:dyDescent="0.35">
      <c r="A728" s="3" t="s">
        <v>4180</v>
      </c>
      <c r="B728" s="3" t="s">
        <v>1727</v>
      </c>
      <c r="C728" s="3" t="s">
        <v>4184</v>
      </c>
      <c r="D728" s="3" t="s">
        <v>3205</v>
      </c>
      <c r="E728" s="8" t="s">
        <v>4185</v>
      </c>
    </row>
    <row r="729" spans="1:5" ht="63.5" x14ac:dyDescent="0.35">
      <c r="A729" s="3" t="s">
        <v>4180</v>
      </c>
      <c r="B729" s="3" t="s">
        <v>1727</v>
      </c>
      <c r="C729" s="3" t="s">
        <v>4166</v>
      </c>
      <c r="D729" s="3" t="s">
        <v>3211</v>
      </c>
      <c r="E729" s="8" t="s">
        <v>4185</v>
      </c>
    </row>
    <row r="730" spans="1:5" ht="51" x14ac:dyDescent="0.35">
      <c r="A730" s="3" t="s">
        <v>4186</v>
      </c>
      <c r="B730" s="3" t="s">
        <v>1729</v>
      </c>
      <c r="C730" s="3" t="s">
        <v>4070</v>
      </c>
      <c r="D730" s="3" t="s">
        <v>2473</v>
      </c>
      <c r="E730" s="8" t="s">
        <v>4187</v>
      </c>
    </row>
    <row r="731" spans="1:5" ht="51" x14ac:dyDescent="0.35">
      <c r="A731" s="3" t="s">
        <v>4186</v>
      </c>
      <c r="B731" s="3" t="s">
        <v>1729</v>
      </c>
      <c r="C731" s="3" t="s">
        <v>3288</v>
      </c>
      <c r="D731" s="3" t="s">
        <v>2672</v>
      </c>
      <c r="E731" s="8" t="s">
        <v>4188</v>
      </c>
    </row>
    <row r="732" spans="1:5" ht="38.5" x14ac:dyDescent="0.35">
      <c r="A732" s="3" t="s">
        <v>4186</v>
      </c>
      <c r="B732" s="3" t="s">
        <v>1729</v>
      </c>
      <c r="C732" s="3" t="s">
        <v>3881</v>
      </c>
      <c r="D732" s="3" t="s">
        <v>2725</v>
      </c>
      <c r="E732" s="8" t="s">
        <v>4189</v>
      </c>
    </row>
    <row r="733" spans="1:5" ht="26" x14ac:dyDescent="0.35">
      <c r="A733" s="3" t="s">
        <v>4190</v>
      </c>
      <c r="B733" s="3" t="s">
        <v>1739</v>
      </c>
      <c r="C733" s="3" t="s">
        <v>3273</v>
      </c>
      <c r="D733" s="3" t="s">
        <v>2697</v>
      </c>
      <c r="E733" s="8" t="s">
        <v>4191</v>
      </c>
    </row>
    <row r="734" spans="1:5" ht="76" x14ac:dyDescent="0.35">
      <c r="A734" s="3" t="s">
        <v>4192</v>
      </c>
      <c r="B734" s="3" t="s">
        <v>1743</v>
      </c>
      <c r="C734" s="3" t="s">
        <v>2375</v>
      </c>
      <c r="D734" s="3" t="s">
        <v>2376</v>
      </c>
      <c r="E734" s="8" t="s">
        <v>4193</v>
      </c>
    </row>
    <row r="735" spans="1:5" ht="51" x14ac:dyDescent="0.35">
      <c r="A735" s="3" t="s">
        <v>4192</v>
      </c>
      <c r="B735" s="3" t="s">
        <v>1743</v>
      </c>
      <c r="C735" s="3" t="s">
        <v>4035</v>
      </c>
      <c r="D735" s="3" t="s">
        <v>2664</v>
      </c>
      <c r="E735" s="8" t="s">
        <v>4194</v>
      </c>
    </row>
    <row r="736" spans="1:5" ht="38.5" x14ac:dyDescent="0.35">
      <c r="A736" s="3" t="s">
        <v>4192</v>
      </c>
      <c r="B736" s="3" t="s">
        <v>1743</v>
      </c>
      <c r="C736" s="3" t="s">
        <v>3273</v>
      </c>
      <c r="D736" s="3" t="s">
        <v>2697</v>
      </c>
      <c r="E736" s="8" t="s">
        <v>4195</v>
      </c>
    </row>
    <row r="737" spans="1:5" ht="76" x14ac:dyDescent="0.35">
      <c r="A737" s="3" t="s">
        <v>4192</v>
      </c>
      <c r="B737" s="3" t="s">
        <v>1743</v>
      </c>
      <c r="C737" s="3" t="s">
        <v>4162</v>
      </c>
      <c r="D737" s="3" t="s">
        <v>3209</v>
      </c>
      <c r="E737" s="8" t="s">
        <v>4193</v>
      </c>
    </row>
    <row r="738" spans="1:5" ht="38.5" x14ac:dyDescent="0.35">
      <c r="A738" s="3" t="s">
        <v>4192</v>
      </c>
      <c r="B738" s="3" t="s">
        <v>1743</v>
      </c>
      <c r="C738" s="3" t="s">
        <v>3995</v>
      </c>
      <c r="D738" s="3" t="s">
        <v>3251</v>
      </c>
      <c r="E738" s="8" t="s">
        <v>4196</v>
      </c>
    </row>
    <row r="739" spans="1:5" ht="38.5" x14ac:dyDescent="0.35">
      <c r="A739" s="3" t="s">
        <v>4197</v>
      </c>
      <c r="B739" s="3" t="s">
        <v>1745</v>
      </c>
      <c r="C739" s="3" t="s">
        <v>2375</v>
      </c>
      <c r="D739" s="3" t="s">
        <v>2376</v>
      </c>
      <c r="E739" s="8" t="s">
        <v>4198</v>
      </c>
    </row>
    <row r="740" spans="1:5" ht="51" x14ac:dyDescent="0.35">
      <c r="A740" s="3" t="s">
        <v>4197</v>
      </c>
      <c r="B740" s="3" t="s">
        <v>1745</v>
      </c>
      <c r="C740" s="3" t="s">
        <v>4035</v>
      </c>
      <c r="D740" s="3" t="s">
        <v>2664</v>
      </c>
      <c r="E740" s="8" t="s">
        <v>4199</v>
      </c>
    </row>
    <row r="741" spans="1:5" ht="38.5" x14ac:dyDescent="0.35">
      <c r="A741" s="3" t="s">
        <v>4197</v>
      </c>
      <c r="B741" s="3" t="s">
        <v>1745</v>
      </c>
      <c r="C741" s="3" t="s">
        <v>3888</v>
      </c>
      <c r="D741" s="3" t="s">
        <v>2806</v>
      </c>
      <c r="E741" s="8" t="s">
        <v>4198</v>
      </c>
    </row>
    <row r="742" spans="1:5" ht="38.5" x14ac:dyDescent="0.35">
      <c r="A742" s="3" t="s">
        <v>4200</v>
      </c>
      <c r="B742" s="3" t="s">
        <v>1749</v>
      </c>
      <c r="C742" s="3" t="s">
        <v>4050</v>
      </c>
      <c r="D742" s="3" t="s">
        <v>2384</v>
      </c>
      <c r="E742" s="8" t="s">
        <v>4201</v>
      </c>
    </row>
    <row r="743" spans="1:5" ht="38.5" x14ac:dyDescent="0.35">
      <c r="A743" s="3" t="s">
        <v>4200</v>
      </c>
      <c r="B743" s="3" t="s">
        <v>1749</v>
      </c>
      <c r="C743" s="3" t="s">
        <v>4202</v>
      </c>
      <c r="D743" s="3" t="s">
        <v>2670</v>
      </c>
      <c r="E743" s="8" t="s">
        <v>4201</v>
      </c>
    </row>
    <row r="744" spans="1:5" ht="38.5" x14ac:dyDescent="0.35">
      <c r="A744" s="3" t="s">
        <v>4203</v>
      </c>
      <c r="B744" s="3" t="s">
        <v>1751</v>
      </c>
      <c r="C744" s="3" t="s">
        <v>4150</v>
      </c>
      <c r="D744" s="3" t="s">
        <v>2409</v>
      </c>
      <c r="E744" s="8" t="s">
        <v>4204</v>
      </c>
    </row>
    <row r="745" spans="1:5" ht="38.5" x14ac:dyDescent="0.35">
      <c r="A745" s="3" t="s">
        <v>4205</v>
      </c>
      <c r="B745" s="3" t="s">
        <v>1753</v>
      </c>
      <c r="C745" s="3" t="s">
        <v>3321</v>
      </c>
      <c r="D745" s="3" t="s">
        <v>3257</v>
      </c>
      <c r="E745" s="8" t="s">
        <v>4206</v>
      </c>
    </row>
    <row r="746" spans="1:5" ht="51" x14ac:dyDescent="0.35">
      <c r="A746" s="3" t="s">
        <v>4207</v>
      </c>
      <c r="B746" s="3" t="s">
        <v>1757</v>
      </c>
      <c r="C746" s="3" t="s">
        <v>4208</v>
      </c>
      <c r="D746" s="3" t="s">
        <v>2699</v>
      </c>
      <c r="E746" s="8" t="s">
        <v>4209</v>
      </c>
    </row>
    <row r="747" spans="1:5" ht="51" x14ac:dyDescent="0.35">
      <c r="A747" s="3" t="s">
        <v>4207</v>
      </c>
      <c r="B747" s="3" t="s">
        <v>1757</v>
      </c>
      <c r="C747" s="3" t="s">
        <v>4210</v>
      </c>
      <c r="D747" s="3" t="s">
        <v>3215</v>
      </c>
      <c r="E747" s="8" t="s">
        <v>4211</v>
      </c>
    </row>
    <row r="748" spans="1:5" ht="38.5" x14ac:dyDescent="0.35">
      <c r="A748" s="3" t="s">
        <v>4212</v>
      </c>
      <c r="B748" s="3" t="s">
        <v>1761</v>
      </c>
      <c r="C748" s="3" t="s">
        <v>4213</v>
      </c>
      <c r="D748" s="3" t="s">
        <v>2719</v>
      </c>
      <c r="E748" s="8" t="s">
        <v>4214</v>
      </c>
    </row>
    <row r="749" spans="1:5" ht="26" x14ac:dyDescent="0.35">
      <c r="A749" s="3" t="s">
        <v>4215</v>
      </c>
      <c r="B749" s="3" t="s">
        <v>1767</v>
      </c>
      <c r="C749" s="3" t="s">
        <v>4208</v>
      </c>
      <c r="D749" s="3" t="s">
        <v>2699</v>
      </c>
      <c r="E749" s="8" t="s">
        <v>4216</v>
      </c>
    </row>
    <row r="750" spans="1:5" ht="26" x14ac:dyDescent="0.35">
      <c r="A750" s="3" t="s">
        <v>4217</v>
      </c>
      <c r="B750" s="3" t="s">
        <v>1769</v>
      </c>
      <c r="C750" s="3" t="s">
        <v>4218</v>
      </c>
      <c r="D750" s="3" t="s">
        <v>2735</v>
      </c>
      <c r="E750" s="8" t="s">
        <v>4219</v>
      </c>
    </row>
    <row r="751" spans="1:5" ht="38.5" x14ac:dyDescent="0.35">
      <c r="A751" s="3" t="s">
        <v>4220</v>
      </c>
      <c r="B751" s="3" t="s">
        <v>1775</v>
      </c>
      <c r="C751" s="3" t="s">
        <v>4077</v>
      </c>
      <c r="D751" s="3" t="s">
        <v>2477</v>
      </c>
      <c r="E751" s="8" t="s">
        <v>4221</v>
      </c>
    </row>
    <row r="752" spans="1:5" ht="26" x14ac:dyDescent="0.35">
      <c r="A752" s="3" t="s">
        <v>4222</v>
      </c>
      <c r="B752" s="3" t="s">
        <v>1779</v>
      </c>
      <c r="C752" s="3" t="s">
        <v>4076</v>
      </c>
      <c r="D752" s="3" t="s">
        <v>2475</v>
      </c>
      <c r="E752" s="8" t="s">
        <v>4223</v>
      </c>
    </row>
    <row r="753" spans="1:5" ht="26" x14ac:dyDescent="0.35">
      <c r="A753" s="3" t="s">
        <v>4222</v>
      </c>
      <c r="B753" s="3" t="s">
        <v>1779</v>
      </c>
      <c r="C753" s="3" t="s">
        <v>3288</v>
      </c>
      <c r="D753" s="3" t="s">
        <v>2672</v>
      </c>
      <c r="E753" s="8" t="s">
        <v>4223</v>
      </c>
    </row>
    <row r="754" spans="1:5" ht="26" x14ac:dyDescent="0.35">
      <c r="A754" s="3" t="s">
        <v>4224</v>
      </c>
      <c r="B754" s="3" t="s">
        <v>1785</v>
      </c>
      <c r="C754" s="3" t="s">
        <v>4148</v>
      </c>
      <c r="D754" s="3" t="s">
        <v>2405</v>
      </c>
      <c r="E754" s="8" t="s">
        <v>4225</v>
      </c>
    </row>
    <row r="755" spans="1:5" ht="26" x14ac:dyDescent="0.35">
      <c r="A755" s="3" t="s">
        <v>4224</v>
      </c>
      <c r="B755" s="3" t="s">
        <v>1785</v>
      </c>
      <c r="C755" s="3" t="s">
        <v>4152</v>
      </c>
      <c r="D755" s="3" t="s">
        <v>2407</v>
      </c>
      <c r="E755" s="8" t="s">
        <v>4225</v>
      </c>
    </row>
    <row r="756" spans="1:5" ht="26" x14ac:dyDescent="0.35">
      <c r="A756" s="3" t="s">
        <v>4224</v>
      </c>
      <c r="B756" s="3" t="s">
        <v>1785</v>
      </c>
      <c r="C756" s="3" t="s">
        <v>4150</v>
      </c>
      <c r="D756" s="3" t="s">
        <v>2409</v>
      </c>
      <c r="E756" s="8" t="s">
        <v>4225</v>
      </c>
    </row>
    <row r="757" spans="1:5" ht="26" x14ac:dyDescent="0.35">
      <c r="A757" s="3" t="s">
        <v>4224</v>
      </c>
      <c r="B757" s="3" t="s">
        <v>1785</v>
      </c>
      <c r="C757" s="3" t="s">
        <v>3999</v>
      </c>
      <c r="D757" s="3" t="s">
        <v>2492</v>
      </c>
      <c r="E757" s="8" t="s">
        <v>4226</v>
      </c>
    </row>
    <row r="758" spans="1:5" ht="26" x14ac:dyDescent="0.35">
      <c r="A758" s="3" t="s">
        <v>4224</v>
      </c>
      <c r="B758" s="3" t="s">
        <v>1785</v>
      </c>
      <c r="C758" s="3" t="s">
        <v>4227</v>
      </c>
      <c r="D758" s="3" t="s">
        <v>2496</v>
      </c>
      <c r="E758" s="8" t="s">
        <v>4228</v>
      </c>
    </row>
    <row r="759" spans="1:5" ht="26" x14ac:dyDescent="0.35">
      <c r="A759" s="3" t="s">
        <v>4224</v>
      </c>
      <c r="B759" s="3" t="s">
        <v>1785</v>
      </c>
      <c r="C759" s="3" t="s">
        <v>4229</v>
      </c>
      <c r="D759" s="3" t="s">
        <v>2498</v>
      </c>
      <c r="E759" s="8" t="s">
        <v>4228</v>
      </c>
    </row>
    <row r="760" spans="1:5" ht="26" x14ac:dyDescent="0.35">
      <c r="A760" s="3" t="s">
        <v>4224</v>
      </c>
      <c r="B760" s="3" t="s">
        <v>1785</v>
      </c>
      <c r="C760" s="3" t="s">
        <v>4230</v>
      </c>
      <c r="D760" s="3" t="s">
        <v>2500</v>
      </c>
      <c r="E760" s="8" t="s">
        <v>4228</v>
      </c>
    </row>
    <row r="761" spans="1:5" ht="26" x14ac:dyDescent="0.35">
      <c r="A761" s="3" t="s">
        <v>4224</v>
      </c>
      <c r="B761" s="3" t="s">
        <v>1785</v>
      </c>
      <c r="C761" s="3" t="s">
        <v>4231</v>
      </c>
      <c r="D761" s="3" t="s">
        <v>2502</v>
      </c>
      <c r="E761" s="8" t="s">
        <v>4228</v>
      </c>
    </row>
    <row r="762" spans="1:5" ht="26" x14ac:dyDescent="0.35">
      <c r="A762" s="3" t="s">
        <v>4224</v>
      </c>
      <c r="B762" s="3" t="s">
        <v>1785</v>
      </c>
      <c r="C762" s="3" t="s">
        <v>4232</v>
      </c>
      <c r="D762" s="3" t="s">
        <v>2506</v>
      </c>
      <c r="E762" s="8" t="s">
        <v>4228</v>
      </c>
    </row>
    <row r="763" spans="1:5" ht="26" x14ac:dyDescent="0.35">
      <c r="A763" s="3" t="s">
        <v>4224</v>
      </c>
      <c r="B763" s="3" t="s">
        <v>1785</v>
      </c>
      <c r="C763" s="3" t="s">
        <v>4233</v>
      </c>
      <c r="D763" s="3" t="s">
        <v>2508</v>
      </c>
      <c r="E763" s="8" t="s">
        <v>4228</v>
      </c>
    </row>
    <row r="764" spans="1:5" ht="26" x14ac:dyDescent="0.35">
      <c r="A764" s="3" t="s">
        <v>4224</v>
      </c>
      <c r="B764" s="3" t="s">
        <v>1785</v>
      </c>
      <c r="C764" s="3" t="s">
        <v>4234</v>
      </c>
      <c r="D764" s="3" t="s">
        <v>2512</v>
      </c>
      <c r="E764" s="8" t="s">
        <v>4228</v>
      </c>
    </row>
    <row r="765" spans="1:5" ht="26" x14ac:dyDescent="0.35">
      <c r="A765" s="3" t="s">
        <v>4224</v>
      </c>
      <c r="B765" s="3" t="s">
        <v>1785</v>
      </c>
      <c r="C765" s="3" t="s">
        <v>4235</v>
      </c>
      <c r="D765" s="3" t="s">
        <v>2514</v>
      </c>
      <c r="E765" s="8" t="s">
        <v>4228</v>
      </c>
    </row>
    <row r="766" spans="1:5" ht="26" x14ac:dyDescent="0.35">
      <c r="A766" s="3" t="s">
        <v>4224</v>
      </c>
      <c r="B766" s="3" t="s">
        <v>1785</v>
      </c>
      <c r="C766" s="3" t="s">
        <v>4236</v>
      </c>
      <c r="D766" s="3" t="s">
        <v>2519</v>
      </c>
      <c r="E766" s="8" t="s">
        <v>4237</v>
      </c>
    </row>
    <row r="767" spans="1:5" ht="26" x14ac:dyDescent="0.35">
      <c r="A767" s="3" t="s">
        <v>4224</v>
      </c>
      <c r="B767" s="3" t="s">
        <v>1785</v>
      </c>
      <c r="C767" s="3" t="s">
        <v>4238</v>
      </c>
      <c r="D767" s="3" t="s">
        <v>2521</v>
      </c>
      <c r="E767" s="8" t="s">
        <v>4239</v>
      </c>
    </row>
    <row r="768" spans="1:5" ht="26" x14ac:dyDescent="0.35">
      <c r="A768" s="3" t="s">
        <v>4224</v>
      </c>
      <c r="B768" s="3" t="s">
        <v>1785</v>
      </c>
      <c r="C768" s="3" t="s">
        <v>4240</v>
      </c>
      <c r="D768" s="3" t="s">
        <v>2526</v>
      </c>
      <c r="E768" s="8" t="s">
        <v>4228</v>
      </c>
    </row>
    <row r="769" spans="1:5" ht="26" x14ac:dyDescent="0.35">
      <c r="A769" s="3" t="s">
        <v>4224</v>
      </c>
      <c r="B769" s="3" t="s">
        <v>1785</v>
      </c>
      <c r="C769" s="3" t="s">
        <v>4241</v>
      </c>
      <c r="D769" s="3" t="s">
        <v>2534</v>
      </c>
      <c r="E769" s="8" t="s">
        <v>4228</v>
      </c>
    </row>
    <row r="770" spans="1:5" ht="26" x14ac:dyDescent="0.35">
      <c r="A770" s="3" t="s">
        <v>4224</v>
      </c>
      <c r="B770" s="3" t="s">
        <v>1785</v>
      </c>
      <c r="C770" s="3" t="s">
        <v>4242</v>
      </c>
      <c r="D770" s="3" t="s">
        <v>2536</v>
      </c>
      <c r="E770" s="8" t="s">
        <v>4228</v>
      </c>
    </row>
    <row r="771" spans="1:5" ht="26" x14ac:dyDescent="0.35">
      <c r="A771" s="3" t="s">
        <v>4224</v>
      </c>
      <c r="B771" s="3" t="s">
        <v>1785</v>
      </c>
      <c r="C771" s="3" t="s">
        <v>4243</v>
      </c>
      <c r="D771" s="3" t="s">
        <v>2540</v>
      </c>
      <c r="E771" s="8" t="s">
        <v>4228</v>
      </c>
    </row>
    <row r="772" spans="1:5" ht="26" x14ac:dyDescent="0.35">
      <c r="A772" s="3" t="s">
        <v>4224</v>
      </c>
      <c r="B772" s="3" t="s">
        <v>1785</v>
      </c>
      <c r="C772" s="3" t="s">
        <v>4244</v>
      </c>
      <c r="D772" s="3" t="s">
        <v>2542</v>
      </c>
      <c r="E772" s="8" t="s">
        <v>4228</v>
      </c>
    </row>
    <row r="773" spans="1:5" ht="26" x14ac:dyDescent="0.35">
      <c r="A773" s="3" t="s">
        <v>4224</v>
      </c>
      <c r="B773" s="3" t="s">
        <v>1785</v>
      </c>
      <c r="C773" s="3" t="s">
        <v>4245</v>
      </c>
      <c r="D773" s="3" t="s">
        <v>2546</v>
      </c>
      <c r="E773" s="8" t="s">
        <v>4228</v>
      </c>
    </row>
    <row r="774" spans="1:5" ht="26" x14ac:dyDescent="0.35">
      <c r="A774" s="3" t="s">
        <v>4224</v>
      </c>
      <c r="B774" s="3" t="s">
        <v>1785</v>
      </c>
      <c r="C774" s="3" t="s">
        <v>3498</v>
      </c>
      <c r="D774" s="3" t="s">
        <v>2550</v>
      </c>
      <c r="E774" s="8" t="s">
        <v>4228</v>
      </c>
    </row>
    <row r="775" spans="1:5" ht="26" x14ac:dyDescent="0.35">
      <c r="A775" s="3" t="s">
        <v>4224</v>
      </c>
      <c r="B775" s="3" t="s">
        <v>1785</v>
      </c>
      <c r="C775" s="3" t="s">
        <v>4001</v>
      </c>
      <c r="D775" s="3" t="s">
        <v>2552</v>
      </c>
      <c r="E775" s="8" t="s">
        <v>4228</v>
      </c>
    </row>
    <row r="776" spans="1:5" ht="26" x14ac:dyDescent="0.35">
      <c r="A776" s="3" t="s">
        <v>4224</v>
      </c>
      <c r="B776" s="3" t="s">
        <v>1785</v>
      </c>
      <c r="C776" s="3" t="s">
        <v>3428</v>
      </c>
      <c r="D776" s="3" t="s">
        <v>2555</v>
      </c>
      <c r="E776" s="8" t="s">
        <v>4228</v>
      </c>
    </row>
    <row r="777" spans="1:5" ht="26" x14ac:dyDescent="0.35">
      <c r="A777" s="3" t="s">
        <v>4224</v>
      </c>
      <c r="B777" s="3" t="s">
        <v>1785</v>
      </c>
      <c r="C777" s="3" t="s">
        <v>4246</v>
      </c>
      <c r="D777" s="3" t="s">
        <v>2560</v>
      </c>
      <c r="E777" s="8" t="s">
        <v>4228</v>
      </c>
    </row>
    <row r="778" spans="1:5" ht="26" x14ac:dyDescent="0.35">
      <c r="A778" s="3" t="s">
        <v>4224</v>
      </c>
      <c r="B778" s="3" t="s">
        <v>1785</v>
      </c>
      <c r="C778" s="3" t="s">
        <v>4247</v>
      </c>
      <c r="D778" s="3" t="s">
        <v>2562</v>
      </c>
      <c r="E778" s="8" t="s">
        <v>4228</v>
      </c>
    </row>
    <row r="779" spans="1:5" ht="26" x14ac:dyDescent="0.35">
      <c r="A779" s="3" t="s">
        <v>4224</v>
      </c>
      <c r="B779" s="3" t="s">
        <v>1785</v>
      </c>
      <c r="C779" s="3" t="s">
        <v>4082</v>
      </c>
      <c r="D779" s="3" t="s">
        <v>2564</v>
      </c>
      <c r="E779" s="8" t="s">
        <v>4228</v>
      </c>
    </row>
    <row r="780" spans="1:5" ht="26" x14ac:dyDescent="0.35">
      <c r="A780" s="3" t="s">
        <v>4224</v>
      </c>
      <c r="B780" s="3" t="s">
        <v>1785</v>
      </c>
      <c r="C780" s="3" t="s">
        <v>3456</v>
      </c>
      <c r="D780" s="3" t="s">
        <v>2568</v>
      </c>
      <c r="E780" s="8" t="s">
        <v>4228</v>
      </c>
    </row>
    <row r="781" spans="1:5" ht="26" x14ac:dyDescent="0.35">
      <c r="A781" s="3" t="s">
        <v>4224</v>
      </c>
      <c r="B781" s="3" t="s">
        <v>1785</v>
      </c>
      <c r="C781" s="3" t="s">
        <v>4248</v>
      </c>
      <c r="D781" s="3" t="s">
        <v>2580</v>
      </c>
      <c r="E781" s="8" t="s">
        <v>4228</v>
      </c>
    </row>
    <row r="782" spans="1:5" ht="26" x14ac:dyDescent="0.35">
      <c r="A782" s="3" t="s">
        <v>4224</v>
      </c>
      <c r="B782" s="3" t="s">
        <v>1785</v>
      </c>
      <c r="C782" s="3" t="s">
        <v>4249</v>
      </c>
      <c r="D782" s="3" t="s">
        <v>2587</v>
      </c>
      <c r="E782" s="8" t="s">
        <v>4228</v>
      </c>
    </row>
    <row r="783" spans="1:5" ht="26" x14ac:dyDescent="0.35">
      <c r="A783" s="3" t="s">
        <v>4224</v>
      </c>
      <c r="B783" s="3" t="s">
        <v>1785</v>
      </c>
      <c r="C783" s="3" t="s">
        <v>4250</v>
      </c>
      <c r="D783" s="3" t="s">
        <v>2591</v>
      </c>
      <c r="E783" s="8" t="s">
        <v>4228</v>
      </c>
    </row>
    <row r="784" spans="1:5" ht="26" x14ac:dyDescent="0.35">
      <c r="A784" s="3" t="s">
        <v>4224</v>
      </c>
      <c r="B784" s="3" t="s">
        <v>1785</v>
      </c>
      <c r="C784" s="3" t="s">
        <v>4251</v>
      </c>
      <c r="D784" s="3" t="s">
        <v>2596</v>
      </c>
      <c r="E784" s="8" t="s">
        <v>4228</v>
      </c>
    </row>
    <row r="785" spans="1:5" ht="26" x14ac:dyDescent="0.35">
      <c r="A785" s="3" t="s">
        <v>4224</v>
      </c>
      <c r="B785" s="3" t="s">
        <v>1785</v>
      </c>
      <c r="C785" s="3" t="s">
        <v>4252</v>
      </c>
      <c r="D785" s="3" t="s">
        <v>2598</v>
      </c>
      <c r="E785" s="8" t="s">
        <v>4228</v>
      </c>
    </row>
    <row r="786" spans="1:5" ht="26" x14ac:dyDescent="0.35">
      <c r="A786" s="3" t="s">
        <v>4224</v>
      </c>
      <c r="B786" s="3" t="s">
        <v>1785</v>
      </c>
      <c r="C786" s="3" t="s">
        <v>4253</v>
      </c>
      <c r="D786" s="3" t="s">
        <v>2600</v>
      </c>
      <c r="E786" s="8" t="s">
        <v>4228</v>
      </c>
    </row>
    <row r="787" spans="1:5" ht="26" x14ac:dyDescent="0.35">
      <c r="A787" s="3" t="s">
        <v>4224</v>
      </c>
      <c r="B787" s="3" t="s">
        <v>1785</v>
      </c>
      <c r="C787" s="3" t="s">
        <v>4254</v>
      </c>
      <c r="D787" s="3" t="s">
        <v>2602</v>
      </c>
      <c r="E787" s="8" t="s">
        <v>4228</v>
      </c>
    </row>
    <row r="788" spans="1:5" ht="26" x14ac:dyDescent="0.35">
      <c r="A788" s="3" t="s">
        <v>4224</v>
      </c>
      <c r="B788" s="3" t="s">
        <v>1785</v>
      </c>
      <c r="C788" s="3" t="s">
        <v>3478</v>
      </c>
      <c r="D788" s="3" t="s">
        <v>2613</v>
      </c>
      <c r="E788" s="8" t="s">
        <v>4228</v>
      </c>
    </row>
    <row r="789" spans="1:5" ht="26" x14ac:dyDescent="0.35">
      <c r="A789" s="3" t="s">
        <v>4224</v>
      </c>
      <c r="B789" s="3" t="s">
        <v>1785</v>
      </c>
      <c r="C789" s="3" t="s">
        <v>3440</v>
      </c>
      <c r="D789" s="3" t="s">
        <v>2615</v>
      </c>
      <c r="E789" s="8" t="s">
        <v>4228</v>
      </c>
    </row>
    <row r="790" spans="1:5" ht="26" x14ac:dyDescent="0.35">
      <c r="A790" s="3" t="s">
        <v>4224</v>
      </c>
      <c r="B790" s="3" t="s">
        <v>1785</v>
      </c>
      <c r="C790" s="3" t="s">
        <v>3442</v>
      </c>
      <c r="D790" s="3" t="s">
        <v>2621</v>
      </c>
      <c r="E790" s="8" t="s">
        <v>4228</v>
      </c>
    </row>
    <row r="791" spans="1:5" ht="26" x14ac:dyDescent="0.35">
      <c r="A791" s="3" t="s">
        <v>4224</v>
      </c>
      <c r="B791" s="3" t="s">
        <v>1785</v>
      </c>
      <c r="C791" s="3" t="s">
        <v>4255</v>
      </c>
      <c r="D791" s="3" t="s">
        <v>2623</v>
      </c>
      <c r="E791" s="8" t="s">
        <v>4228</v>
      </c>
    </row>
    <row r="792" spans="1:5" ht="26" x14ac:dyDescent="0.35">
      <c r="A792" s="3" t="s">
        <v>4224</v>
      </c>
      <c r="B792" s="3" t="s">
        <v>1785</v>
      </c>
      <c r="C792" s="3" t="s">
        <v>4256</v>
      </c>
      <c r="D792" s="3" t="s">
        <v>2625</v>
      </c>
      <c r="E792" s="8" t="s">
        <v>4228</v>
      </c>
    </row>
    <row r="793" spans="1:5" ht="26" x14ac:dyDescent="0.35">
      <c r="A793" s="3" t="s">
        <v>4224</v>
      </c>
      <c r="B793" s="3" t="s">
        <v>1785</v>
      </c>
      <c r="C793" s="3" t="s">
        <v>4257</v>
      </c>
      <c r="D793" s="3" t="s">
        <v>2627</v>
      </c>
      <c r="E793" s="8" t="s">
        <v>4228</v>
      </c>
    </row>
    <row r="794" spans="1:5" ht="26" x14ac:dyDescent="0.35">
      <c r="A794" s="3" t="s">
        <v>4224</v>
      </c>
      <c r="B794" s="3" t="s">
        <v>1785</v>
      </c>
      <c r="C794" s="3" t="s">
        <v>4258</v>
      </c>
      <c r="D794" s="3" t="s">
        <v>2631</v>
      </c>
      <c r="E794" s="8" t="s">
        <v>4228</v>
      </c>
    </row>
    <row r="795" spans="1:5" ht="26" x14ac:dyDescent="0.35">
      <c r="A795" s="3" t="s">
        <v>4224</v>
      </c>
      <c r="B795" s="3" t="s">
        <v>1785</v>
      </c>
      <c r="C795" s="3" t="s">
        <v>4259</v>
      </c>
      <c r="D795" s="3" t="s">
        <v>2633</v>
      </c>
      <c r="E795" s="8" t="s">
        <v>4228</v>
      </c>
    </row>
    <row r="796" spans="1:5" ht="26" x14ac:dyDescent="0.35">
      <c r="A796" s="3" t="s">
        <v>4224</v>
      </c>
      <c r="B796" s="3" t="s">
        <v>1785</v>
      </c>
      <c r="C796" s="3" t="s">
        <v>4260</v>
      </c>
      <c r="D796" s="3" t="s">
        <v>2635</v>
      </c>
      <c r="E796" s="8" t="s">
        <v>4228</v>
      </c>
    </row>
    <row r="797" spans="1:5" ht="26" x14ac:dyDescent="0.35">
      <c r="A797" s="3" t="s">
        <v>4224</v>
      </c>
      <c r="B797" s="3" t="s">
        <v>1785</v>
      </c>
      <c r="C797" s="3" t="s">
        <v>3459</v>
      </c>
      <c r="D797" s="3" t="s">
        <v>2637</v>
      </c>
      <c r="E797" s="8" t="s">
        <v>4228</v>
      </c>
    </row>
    <row r="798" spans="1:5" ht="26" x14ac:dyDescent="0.35">
      <c r="A798" s="3" t="s">
        <v>4224</v>
      </c>
      <c r="B798" s="3" t="s">
        <v>1785</v>
      </c>
      <c r="C798" s="3" t="s">
        <v>3732</v>
      </c>
      <c r="D798" s="3" t="s">
        <v>2654</v>
      </c>
      <c r="E798" s="8" t="s">
        <v>4228</v>
      </c>
    </row>
    <row r="799" spans="1:5" ht="26" x14ac:dyDescent="0.35">
      <c r="A799" s="3" t="s">
        <v>4224</v>
      </c>
      <c r="B799" s="3" t="s">
        <v>1785</v>
      </c>
      <c r="C799" s="3" t="s">
        <v>4078</v>
      </c>
      <c r="D799" s="3" t="s">
        <v>3213</v>
      </c>
      <c r="E799" s="8" t="s">
        <v>4261</v>
      </c>
    </row>
    <row r="800" spans="1:5" ht="38.5" x14ac:dyDescent="0.35">
      <c r="A800" s="3" t="s">
        <v>4262</v>
      </c>
      <c r="B800" s="3" t="s">
        <v>1787</v>
      </c>
      <c r="C800" s="3" t="s">
        <v>3999</v>
      </c>
      <c r="D800" s="3" t="s">
        <v>2492</v>
      </c>
      <c r="E800" s="8" t="s">
        <v>4263</v>
      </c>
    </row>
    <row r="801" spans="1:5" ht="38.5" x14ac:dyDescent="0.35">
      <c r="A801" s="3" t="s">
        <v>4262</v>
      </c>
      <c r="B801" s="3" t="s">
        <v>1787</v>
      </c>
      <c r="C801" s="3" t="s">
        <v>4227</v>
      </c>
      <c r="D801" s="3" t="s">
        <v>2496</v>
      </c>
      <c r="E801" s="8" t="s">
        <v>4263</v>
      </c>
    </row>
    <row r="802" spans="1:5" ht="38.5" x14ac:dyDescent="0.35">
      <c r="A802" s="3" t="s">
        <v>4262</v>
      </c>
      <c r="B802" s="3" t="s">
        <v>1787</v>
      </c>
      <c r="C802" s="3" t="s">
        <v>4229</v>
      </c>
      <c r="D802" s="3" t="s">
        <v>2498</v>
      </c>
      <c r="E802" s="8" t="s">
        <v>4263</v>
      </c>
    </row>
    <row r="803" spans="1:5" ht="38.5" x14ac:dyDescent="0.35">
      <c r="A803" s="3" t="s">
        <v>4262</v>
      </c>
      <c r="B803" s="3" t="s">
        <v>1787</v>
      </c>
      <c r="C803" s="3" t="s">
        <v>4230</v>
      </c>
      <c r="D803" s="3" t="s">
        <v>2500</v>
      </c>
      <c r="E803" s="8" t="s">
        <v>4263</v>
      </c>
    </row>
    <row r="804" spans="1:5" ht="38.5" x14ac:dyDescent="0.35">
      <c r="A804" s="3" t="s">
        <v>4262</v>
      </c>
      <c r="B804" s="3" t="s">
        <v>1787</v>
      </c>
      <c r="C804" s="3" t="s">
        <v>4231</v>
      </c>
      <c r="D804" s="3" t="s">
        <v>2502</v>
      </c>
      <c r="E804" s="8" t="s">
        <v>4263</v>
      </c>
    </row>
    <row r="805" spans="1:5" ht="38.5" x14ac:dyDescent="0.35">
      <c r="A805" s="3" t="s">
        <v>4262</v>
      </c>
      <c r="B805" s="3" t="s">
        <v>1787</v>
      </c>
      <c r="C805" s="3" t="s">
        <v>4232</v>
      </c>
      <c r="D805" s="3" t="s">
        <v>2506</v>
      </c>
      <c r="E805" s="8" t="s">
        <v>4263</v>
      </c>
    </row>
    <row r="806" spans="1:5" ht="38.5" x14ac:dyDescent="0.35">
      <c r="A806" s="3" t="s">
        <v>4262</v>
      </c>
      <c r="B806" s="3" t="s">
        <v>1787</v>
      </c>
      <c r="C806" s="3" t="s">
        <v>4233</v>
      </c>
      <c r="D806" s="3" t="s">
        <v>2508</v>
      </c>
      <c r="E806" s="8" t="s">
        <v>4263</v>
      </c>
    </row>
    <row r="807" spans="1:5" ht="38.5" x14ac:dyDescent="0.35">
      <c r="A807" s="3" t="s">
        <v>4262</v>
      </c>
      <c r="B807" s="3" t="s">
        <v>1787</v>
      </c>
      <c r="C807" s="3" t="s">
        <v>4234</v>
      </c>
      <c r="D807" s="3" t="s">
        <v>2512</v>
      </c>
      <c r="E807" s="8" t="s">
        <v>4263</v>
      </c>
    </row>
    <row r="808" spans="1:5" ht="38.5" x14ac:dyDescent="0.35">
      <c r="A808" s="3" t="s">
        <v>4262</v>
      </c>
      <c r="B808" s="3" t="s">
        <v>1787</v>
      </c>
      <c r="C808" s="3" t="s">
        <v>4240</v>
      </c>
      <c r="D808" s="3" t="s">
        <v>2526</v>
      </c>
      <c r="E808" s="8" t="s">
        <v>4263</v>
      </c>
    </row>
    <row r="809" spans="1:5" ht="38.5" x14ac:dyDescent="0.35">
      <c r="A809" s="3" t="s">
        <v>4262</v>
      </c>
      <c r="B809" s="3" t="s">
        <v>1787</v>
      </c>
      <c r="C809" s="3" t="s">
        <v>4242</v>
      </c>
      <c r="D809" s="3" t="s">
        <v>2536</v>
      </c>
      <c r="E809" s="8" t="s">
        <v>4263</v>
      </c>
    </row>
    <row r="810" spans="1:5" ht="38.5" x14ac:dyDescent="0.35">
      <c r="A810" s="3" t="s">
        <v>4262</v>
      </c>
      <c r="B810" s="3" t="s">
        <v>1787</v>
      </c>
      <c r="C810" s="3" t="s">
        <v>4243</v>
      </c>
      <c r="D810" s="3" t="s">
        <v>2540</v>
      </c>
      <c r="E810" s="8" t="s">
        <v>4263</v>
      </c>
    </row>
    <row r="811" spans="1:5" ht="38.5" x14ac:dyDescent="0.35">
      <c r="A811" s="3" t="s">
        <v>4262</v>
      </c>
      <c r="B811" s="3" t="s">
        <v>1787</v>
      </c>
      <c r="C811" s="3" t="s">
        <v>4244</v>
      </c>
      <c r="D811" s="3" t="s">
        <v>2542</v>
      </c>
      <c r="E811" s="8" t="s">
        <v>4263</v>
      </c>
    </row>
    <row r="812" spans="1:5" ht="38.5" x14ac:dyDescent="0.35">
      <c r="A812" s="3" t="s">
        <v>4262</v>
      </c>
      <c r="B812" s="3" t="s">
        <v>1787</v>
      </c>
      <c r="C812" s="3" t="s">
        <v>4245</v>
      </c>
      <c r="D812" s="3" t="s">
        <v>2546</v>
      </c>
      <c r="E812" s="8" t="s">
        <v>4263</v>
      </c>
    </row>
    <row r="813" spans="1:5" ht="38.5" x14ac:dyDescent="0.35">
      <c r="A813" s="3" t="s">
        <v>4262</v>
      </c>
      <c r="B813" s="3" t="s">
        <v>1787</v>
      </c>
      <c r="C813" s="3" t="s">
        <v>3498</v>
      </c>
      <c r="D813" s="3" t="s">
        <v>2550</v>
      </c>
      <c r="E813" s="8" t="s">
        <v>4263</v>
      </c>
    </row>
    <row r="814" spans="1:5" ht="38.5" x14ac:dyDescent="0.35">
      <c r="A814" s="3" t="s">
        <v>4262</v>
      </c>
      <c r="B814" s="3" t="s">
        <v>1787</v>
      </c>
      <c r="C814" s="3" t="s">
        <v>4001</v>
      </c>
      <c r="D814" s="3" t="s">
        <v>2552</v>
      </c>
      <c r="E814" s="8" t="s">
        <v>4263</v>
      </c>
    </row>
    <row r="815" spans="1:5" ht="38.5" x14ac:dyDescent="0.35">
      <c r="A815" s="3" t="s">
        <v>4262</v>
      </c>
      <c r="B815" s="3" t="s">
        <v>1787</v>
      </c>
      <c r="C815" s="3" t="s">
        <v>3428</v>
      </c>
      <c r="D815" s="3" t="s">
        <v>2555</v>
      </c>
      <c r="E815" s="8" t="s">
        <v>4263</v>
      </c>
    </row>
    <row r="816" spans="1:5" ht="38.5" x14ac:dyDescent="0.35">
      <c r="A816" s="3" t="s">
        <v>4262</v>
      </c>
      <c r="B816" s="3" t="s">
        <v>1787</v>
      </c>
      <c r="C816" s="3" t="s">
        <v>4246</v>
      </c>
      <c r="D816" s="3" t="s">
        <v>2560</v>
      </c>
      <c r="E816" s="8" t="s">
        <v>4263</v>
      </c>
    </row>
    <row r="817" spans="1:5" ht="38.5" x14ac:dyDescent="0.35">
      <c r="A817" s="3" t="s">
        <v>4262</v>
      </c>
      <c r="B817" s="3" t="s">
        <v>1787</v>
      </c>
      <c r="C817" s="3" t="s">
        <v>4247</v>
      </c>
      <c r="D817" s="3" t="s">
        <v>2562</v>
      </c>
      <c r="E817" s="8" t="s">
        <v>4263</v>
      </c>
    </row>
    <row r="818" spans="1:5" ht="38.5" x14ac:dyDescent="0.35">
      <c r="A818" s="3" t="s">
        <v>4262</v>
      </c>
      <c r="B818" s="3" t="s">
        <v>1787</v>
      </c>
      <c r="C818" s="3" t="s">
        <v>4082</v>
      </c>
      <c r="D818" s="3" t="s">
        <v>2564</v>
      </c>
      <c r="E818" s="8" t="s">
        <v>4263</v>
      </c>
    </row>
    <row r="819" spans="1:5" ht="38.5" x14ac:dyDescent="0.35">
      <c r="A819" s="3" t="s">
        <v>4262</v>
      </c>
      <c r="B819" s="3" t="s">
        <v>1787</v>
      </c>
      <c r="C819" s="3" t="s">
        <v>3456</v>
      </c>
      <c r="D819" s="3" t="s">
        <v>2568</v>
      </c>
      <c r="E819" s="8" t="s">
        <v>4263</v>
      </c>
    </row>
    <row r="820" spans="1:5" ht="38.5" x14ac:dyDescent="0.35">
      <c r="A820" s="3" t="s">
        <v>4262</v>
      </c>
      <c r="B820" s="3" t="s">
        <v>1787</v>
      </c>
      <c r="C820" s="3" t="s">
        <v>4248</v>
      </c>
      <c r="D820" s="3" t="s">
        <v>2580</v>
      </c>
      <c r="E820" s="8" t="s">
        <v>4263</v>
      </c>
    </row>
    <row r="821" spans="1:5" ht="38.5" x14ac:dyDescent="0.35">
      <c r="A821" s="3" t="s">
        <v>4262</v>
      </c>
      <c r="B821" s="3" t="s">
        <v>1787</v>
      </c>
      <c r="C821" s="3" t="s">
        <v>4250</v>
      </c>
      <c r="D821" s="3" t="s">
        <v>2591</v>
      </c>
      <c r="E821" s="8" t="s">
        <v>4263</v>
      </c>
    </row>
    <row r="822" spans="1:5" ht="38.5" x14ac:dyDescent="0.35">
      <c r="A822" s="3" t="s">
        <v>4262</v>
      </c>
      <c r="B822" s="3" t="s">
        <v>1787</v>
      </c>
      <c r="C822" s="3" t="s">
        <v>4251</v>
      </c>
      <c r="D822" s="3" t="s">
        <v>2596</v>
      </c>
      <c r="E822" s="8" t="s">
        <v>4263</v>
      </c>
    </row>
    <row r="823" spans="1:5" ht="38.5" x14ac:dyDescent="0.35">
      <c r="A823" s="3" t="s">
        <v>4262</v>
      </c>
      <c r="B823" s="3" t="s">
        <v>1787</v>
      </c>
      <c r="C823" s="3" t="s">
        <v>4252</v>
      </c>
      <c r="D823" s="3" t="s">
        <v>2598</v>
      </c>
      <c r="E823" s="8" t="s">
        <v>4263</v>
      </c>
    </row>
    <row r="824" spans="1:5" ht="38.5" x14ac:dyDescent="0.35">
      <c r="A824" s="3" t="s">
        <v>4262</v>
      </c>
      <c r="B824" s="3" t="s">
        <v>1787</v>
      </c>
      <c r="C824" s="3" t="s">
        <v>4253</v>
      </c>
      <c r="D824" s="3" t="s">
        <v>2600</v>
      </c>
      <c r="E824" s="8" t="s">
        <v>4263</v>
      </c>
    </row>
    <row r="825" spans="1:5" ht="38.5" x14ac:dyDescent="0.35">
      <c r="A825" s="3" t="s">
        <v>4262</v>
      </c>
      <c r="B825" s="3" t="s">
        <v>1787</v>
      </c>
      <c r="C825" s="3" t="s">
        <v>4254</v>
      </c>
      <c r="D825" s="3" t="s">
        <v>2602</v>
      </c>
      <c r="E825" s="8" t="s">
        <v>4263</v>
      </c>
    </row>
    <row r="826" spans="1:5" ht="38.5" x14ac:dyDescent="0.35">
      <c r="A826" s="3" t="s">
        <v>4262</v>
      </c>
      <c r="B826" s="3" t="s">
        <v>1787</v>
      </c>
      <c r="C826" s="3" t="s">
        <v>3478</v>
      </c>
      <c r="D826" s="3" t="s">
        <v>2613</v>
      </c>
      <c r="E826" s="8" t="s">
        <v>4263</v>
      </c>
    </row>
    <row r="827" spans="1:5" ht="38.5" x14ac:dyDescent="0.35">
      <c r="A827" s="3" t="s">
        <v>4262</v>
      </c>
      <c r="B827" s="3" t="s">
        <v>1787</v>
      </c>
      <c r="C827" s="3" t="s">
        <v>3442</v>
      </c>
      <c r="D827" s="3" t="s">
        <v>2621</v>
      </c>
      <c r="E827" s="8" t="s">
        <v>4263</v>
      </c>
    </row>
    <row r="828" spans="1:5" ht="38.5" x14ac:dyDescent="0.35">
      <c r="A828" s="3" t="s">
        <v>4262</v>
      </c>
      <c r="B828" s="3" t="s">
        <v>1787</v>
      </c>
      <c r="C828" s="3" t="s">
        <v>4255</v>
      </c>
      <c r="D828" s="3" t="s">
        <v>2623</v>
      </c>
      <c r="E828" s="8" t="s">
        <v>4263</v>
      </c>
    </row>
    <row r="829" spans="1:5" ht="38.5" x14ac:dyDescent="0.35">
      <c r="A829" s="3" t="s">
        <v>4262</v>
      </c>
      <c r="B829" s="3" t="s">
        <v>1787</v>
      </c>
      <c r="C829" s="3" t="s">
        <v>4256</v>
      </c>
      <c r="D829" s="3" t="s">
        <v>2625</v>
      </c>
      <c r="E829" s="8" t="s">
        <v>4263</v>
      </c>
    </row>
    <row r="830" spans="1:5" ht="38.5" x14ac:dyDescent="0.35">
      <c r="A830" s="3" t="s">
        <v>4262</v>
      </c>
      <c r="B830" s="3" t="s">
        <v>1787</v>
      </c>
      <c r="C830" s="3" t="s">
        <v>4257</v>
      </c>
      <c r="D830" s="3" t="s">
        <v>2627</v>
      </c>
      <c r="E830" s="8" t="s">
        <v>4263</v>
      </c>
    </row>
    <row r="831" spans="1:5" ht="38.5" x14ac:dyDescent="0.35">
      <c r="A831" s="3" t="s">
        <v>4262</v>
      </c>
      <c r="B831" s="3" t="s">
        <v>1787</v>
      </c>
      <c r="C831" s="3" t="s">
        <v>4258</v>
      </c>
      <c r="D831" s="3" t="s">
        <v>2631</v>
      </c>
      <c r="E831" s="8" t="s">
        <v>4263</v>
      </c>
    </row>
    <row r="832" spans="1:5" ht="38.5" x14ac:dyDescent="0.35">
      <c r="A832" s="3" t="s">
        <v>4262</v>
      </c>
      <c r="B832" s="3" t="s">
        <v>1787</v>
      </c>
      <c r="C832" s="3" t="s">
        <v>4260</v>
      </c>
      <c r="D832" s="3" t="s">
        <v>2635</v>
      </c>
      <c r="E832" s="8" t="s">
        <v>4263</v>
      </c>
    </row>
    <row r="833" spans="1:5" ht="38.5" x14ac:dyDescent="0.35">
      <c r="A833" s="3" t="s">
        <v>4262</v>
      </c>
      <c r="B833" s="3" t="s">
        <v>1787</v>
      </c>
      <c r="C833" s="3" t="s">
        <v>3459</v>
      </c>
      <c r="D833" s="3" t="s">
        <v>2637</v>
      </c>
      <c r="E833" s="8" t="s">
        <v>4263</v>
      </c>
    </row>
    <row r="834" spans="1:5" ht="38.5" x14ac:dyDescent="0.35">
      <c r="A834" s="3" t="s">
        <v>4262</v>
      </c>
      <c r="B834" s="3" t="s">
        <v>1787</v>
      </c>
      <c r="C834" s="3" t="s">
        <v>3732</v>
      </c>
      <c r="D834" s="3" t="s">
        <v>2654</v>
      </c>
      <c r="E834" s="8" t="s">
        <v>4263</v>
      </c>
    </row>
    <row r="835" spans="1:5" ht="26" x14ac:dyDescent="0.35">
      <c r="A835" s="3" t="s">
        <v>4264</v>
      </c>
      <c r="B835" s="3" t="s">
        <v>1789</v>
      </c>
      <c r="C835" s="3" t="s">
        <v>4241</v>
      </c>
      <c r="D835" s="3" t="s">
        <v>2534</v>
      </c>
      <c r="E835" s="8" t="s">
        <v>4265</v>
      </c>
    </row>
    <row r="836" spans="1:5" ht="26" x14ac:dyDescent="0.35">
      <c r="A836" s="3" t="s">
        <v>4264</v>
      </c>
      <c r="B836" s="3" t="s">
        <v>1789</v>
      </c>
      <c r="C836" s="3" t="s">
        <v>4242</v>
      </c>
      <c r="D836" s="3" t="s">
        <v>2536</v>
      </c>
      <c r="E836" s="8" t="s">
        <v>4265</v>
      </c>
    </row>
    <row r="837" spans="1:5" ht="26" x14ac:dyDescent="0.35">
      <c r="A837" s="3" t="s">
        <v>4264</v>
      </c>
      <c r="B837" s="3" t="s">
        <v>1789</v>
      </c>
      <c r="C837" s="3" t="s">
        <v>4243</v>
      </c>
      <c r="D837" s="3" t="s">
        <v>2540</v>
      </c>
      <c r="E837" s="8" t="s">
        <v>4265</v>
      </c>
    </row>
    <row r="838" spans="1:5" ht="26" x14ac:dyDescent="0.35">
      <c r="A838" s="3" t="s">
        <v>4264</v>
      </c>
      <c r="B838" s="3" t="s">
        <v>1789</v>
      </c>
      <c r="C838" s="3" t="s">
        <v>4244</v>
      </c>
      <c r="D838" s="3" t="s">
        <v>2542</v>
      </c>
      <c r="E838" s="8" t="s">
        <v>4265</v>
      </c>
    </row>
    <row r="839" spans="1:5" ht="26" x14ac:dyDescent="0.35">
      <c r="A839" s="3" t="s">
        <v>4264</v>
      </c>
      <c r="B839" s="3" t="s">
        <v>1789</v>
      </c>
      <c r="C839" s="3" t="s">
        <v>4245</v>
      </c>
      <c r="D839" s="3" t="s">
        <v>2546</v>
      </c>
      <c r="E839" s="8" t="s">
        <v>4265</v>
      </c>
    </row>
    <row r="840" spans="1:5" ht="26" x14ac:dyDescent="0.35">
      <c r="A840" s="3" t="s">
        <v>4264</v>
      </c>
      <c r="B840" s="3" t="s">
        <v>1789</v>
      </c>
      <c r="C840" s="3" t="s">
        <v>4001</v>
      </c>
      <c r="D840" s="3" t="s">
        <v>2552</v>
      </c>
      <c r="E840" s="8" t="s">
        <v>4265</v>
      </c>
    </row>
    <row r="841" spans="1:5" ht="26" x14ac:dyDescent="0.35">
      <c r="A841" s="3" t="s">
        <v>4264</v>
      </c>
      <c r="B841" s="3" t="s">
        <v>1789</v>
      </c>
      <c r="C841" s="3" t="s">
        <v>3428</v>
      </c>
      <c r="D841" s="3" t="s">
        <v>2555</v>
      </c>
      <c r="E841" s="8" t="s">
        <v>4265</v>
      </c>
    </row>
    <row r="842" spans="1:5" ht="26" x14ac:dyDescent="0.35">
      <c r="A842" s="3" t="s">
        <v>4264</v>
      </c>
      <c r="B842" s="3" t="s">
        <v>1789</v>
      </c>
      <c r="C842" s="3" t="s">
        <v>4246</v>
      </c>
      <c r="D842" s="3" t="s">
        <v>2560</v>
      </c>
      <c r="E842" s="8" t="s">
        <v>4265</v>
      </c>
    </row>
    <row r="843" spans="1:5" ht="26" x14ac:dyDescent="0.35">
      <c r="A843" s="3" t="s">
        <v>4264</v>
      </c>
      <c r="B843" s="3" t="s">
        <v>1789</v>
      </c>
      <c r="C843" s="3" t="s">
        <v>4082</v>
      </c>
      <c r="D843" s="3" t="s">
        <v>2564</v>
      </c>
      <c r="E843" s="8" t="s">
        <v>4265</v>
      </c>
    </row>
    <row r="844" spans="1:5" ht="26" x14ac:dyDescent="0.35">
      <c r="A844" s="3" t="s">
        <v>4264</v>
      </c>
      <c r="B844" s="3" t="s">
        <v>1789</v>
      </c>
      <c r="C844" s="3" t="s">
        <v>3456</v>
      </c>
      <c r="D844" s="3" t="s">
        <v>2568</v>
      </c>
      <c r="E844" s="8" t="s">
        <v>4265</v>
      </c>
    </row>
    <row r="845" spans="1:5" ht="26" x14ac:dyDescent="0.35">
      <c r="A845" s="3" t="s">
        <v>4264</v>
      </c>
      <c r="B845" s="3" t="s">
        <v>1789</v>
      </c>
      <c r="C845" s="3" t="s">
        <v>4266</v>
      </c>
      <c r="D845" s="3" t="s">
        <v>2570</v>
      </c>
      <c r="E845" s="8" t="s">
        <v>4265</v>
      </c>
    </row>
    <row r="846" spans="1:5" ht="26" x14ac:dyDescent="0.35">
      <c r="A846" s="3" t="s">
        <v>4264</v>
      </c>
      <c r="B846" s="3" t="s">
        <v>1789</v>
      </c>
      <c r="C846" s="3" t="s">
        <v>3458</v>
      </c>
      <c r="D846" s="3" t="s">
        <v>2572</v>
      </c>
      <c r="E846" s="8" t="s">
        <v>4265</v>
      </c>
    </row>
    <row r="847" spans="1:5" ht="26" x14ac:dyDescent="0.35">
      <c r="A847" s="3" t="s">
        <v>4264</v>
      </c>
      <c r="B847" s="3" t="s">
        <v>1789</v>
      </c>
      <c r="C847" s="3" t="s">
        <v>4248</v>
      </c>
      <c r="D847" s="3" t="s">
        <v>2580</v>
      </c>
      <c r="E847" s="8" t="s">
        <v>4265</v>
      </c>
    </row>
    <row r="848" spans="1:5" ht="26" x14ac:dyDescent="0.35">
      <c r="A848" s="3" t="s">
        <v>4264</v>
      </c>
      <c r="B848" s="3" t="s">
        <v>1789</v>
      </c>
      <c r="C848" s="3" t="s">
        <v>4249</v>
      </c>
      <c r="D848" s="3" t="s">
        <v>2587</v>
      </c>
      <c r="E848" s="8" t="s">
        <v>4265</v>
      </c>
    </row>
    <row r="849" spans="1:5" ht="26" x14ac:dyDescent="0.35">
      <c r="A849" s="3" t="s">
        <v>4264</v>
      </c>
      <c r="B849" s="3" t="s">
        <v>1789</v>
      </c>
      <c r="C849" s="3" t="s">
        <v>4267</v>
      </c>
      <c r="D849" s="3" t="s">
        <v>2589</v>
      </c>
      <c r="E849" s="8" t="s">
        <v>4265</v>
      </c>
    </row>
    <row r="850" spans="1:5" ht="26" x14ac:dyDescent="0.35">
      <c r="A850" s="3" t="s">
        <v>4264</v>
      </c>
      <c r="B850" s="3" t="s">
        <v>1789</v>
      </c>
      <c r="C850" s="3" t="s">
        <v>4250</v>
      </c>
      <c r="D850" s="3" t="s">
        <v>2591</v>
      </c>
      <c r="E850" s="8" t="s">
        <v>4265</v>
      </c>
    </row>
    <row r="851" spans="1:5" ht="26" x14ac:dyDescent="0.35">
      <c r="A851" s="3" t="s">
        <v>4264</v>
      </c>
      <c r="B851" s="3" t="s">
        <v>1789</v>
      </c>
      <c r="C851" s="3" t="s">
        <v>4251</v>
      </c>
      <c r="D851" s="3" t="s">
        <v>2596</v>
      </c>
      <c r="E851" s="8" t="s">
        <v>4265</v>
      </c>
    </row>
    <row r="852" spans="1:5" ht="26" x14ac:dyDescent="0.35">
      <c r="A852" s="3" t="s">
        <v>4264</v>
      </c>
      <c r="B852" s="3" t="s">
        <v>1789</v>
      </c>
      <c r="C852" s="3" t="s">
        <v>4252</v>
      </c>
      <c r="D852" s="3" t="s">
        <v>2598</v>
      </c>
      <c r="E852" s="8" t="s">
        <v>4265</v>
      </c>
    </row>
    <row r="853" spans="1:5" ht="26" x14ac:dyDescent="0.35">
      <c r="A853" s="3" t="s">
        <v>4264</v>
      </c>
      <c r="B853" s="3" t="s">
        <v>1789</v>
      </c>
      <c r="C853" s="3" t="s">
        <v>4253</v>
      </c>
      <c r="D853" s="3" t="s">
        <v>2600</v>
      </c>
      <c r="E853" s="8" t="s">
        <v>4265</v>
      </c>
    </row>
    <row r="854" spans="1:5" ht="26" x14ac:dyDescent="0.35">
      <c r="A854" s="3" t="s">
        <v>4264</v>
      </c>
      <c r="B854" s="3" t="s">
        <v>1789</v>
      </c>
      <c r="C854" s="3" t="s">
        <v>4254</v>
      </c>
      <c r="D854" s="3" t="s">
        <v>2602</v>
      </c>
      <c r="E854" s="8" t="s">
        <v>4265</v>
      </c>
    </row>
    <row r="855" spans="1:5" ht="26" x14ac:dyDescent="0.35">
      <c r="A855" s="3" t="s">
        <v>4264</v>
      </c>
      <c r="B855" s="3" t="s">
        <v>1789</v>
      </c>
      <c r="C855" s="3" t="s">
        <v>3440</v>
      </c>
      <c r="D855" s="3" t="s">
        <v>2615</v>
      </c>
      <c r="E855" s="8" t="s">
        <v>4265</v>
      </c>
    </row>
    <row r="856" spans="1:5" ht="26" x14ac:dyDescent="0.35">
      <c r="A856" s="3" t="s">
        <v>4264</v>
      </c>
      <c r="B856" s="3" t="s">
        <v>1789</v>
      </c>
      <c r="C856" s="3" t="s">
        <v>4255</v>
      </c>
      <c r="D856" s="3" t="s">
        <v>2623</v>
      </c>
      <c r="E856" s="8" t="s">
        <v>4265</v>
      </c>
    </row>
    <row r="857" spans="1:5" ht="26" x14ac:dyDescent="0.35">
      <c r="A857" s="3" t="s">
        <v>4264</v>
      </c>
      <c r="B857" s="3" t="s">
        <v>1789</v>
      </c>
      <c r="C857" s="3" t="s">
        <v>4256</v>
      </c>
      <c r="D857" s="3" t="s">
        <v>2625</v>
      </c>
      <c r="E857" s="8" t="s">
        <v>4265</v>
      </c>
    </row>
    <row r="858" spans="1:5" ht="26" x14ac:dyDescent="0.35">
      <c r="A858" s="3" t="s">
        <v>4264</v>
      </c>
      <c r="B858" s="3" t="s">
        <v>1789</v>
      </c>
      <c r="C858" s="3" t="s">
        <v>4258</v>
      </c>
      <c r="D858" s="3" t="s">
        <v>2631</v>
      </c>
      <c r="E858" s="8" t="s">
        <v>4265</v>
      </c>
    </row>
    <row r="859" spans="1:5" ht="26" x14ac:dyDescent="0.35">
      <c r="A859" s="3" t="s">
        <v>4264</v>
      </c>
      <c r="B859" s="3" t="s">
        <v>1789</v>
      </c>
      <c r="C859" s="3" t="s">
        <v>4260</v>
      </c>
      <c r="D859" s="3" t="s">
        <v>2635</v>
      </c>
      <c r="E859" s="8" t="s">
        <v>4265</v>
      </c>
    </row>
    <row r="860" spans="1:5" ht="26" x14ac:dyDescent="0.35">
      <c r="A860" s="3" t="s">
        <v>4264</v>
      </c>
      <c r="B860" s="3" t="s">
        <v>1789</v>
      </c>
      <c r="C860" s="3" t="s">
        <v>3459</v>
      </c>
      <c r="D860" s="3" t="s">
        <v>2637</v>
      </c>
      <c r="E860" s="8" t="s">
        <v>4265</v>
      </c>
    </row>
    <row r="861" spans="1:5" ht="26" x14ac:dyDescent="0.35">
      <c r="A861" s="3" t="s">
        <v>4264</v>
      </c>
      <c r="B861" s="3" t="s">
        <v>1789</v>
      </c>
      <c r="C861" s="3" t="s">
        <v>3453</v>
      </c>
      <c r="D861" s="3" t="s">
        <v>2641</v>
      </c>
      <c r="E861" s="8" t="s">
        <v>4265</v>
      </c>
    </row>
    <row r="862" spans="1:5" ht="26" x14ac:dyDescent="0.35">
      <c r="A862" s="3" t="s">
        <v>4264</v>
      </c>
      <c r="B862" s="3" t="s">
        <v>1789</v>
      </c>
      <c r="C862" s="3" t="s">
        <v>4268</v>
      </c>
      <c r="D862" s="3" t="s">
        <v>2643</v>
      </c>
      <c r="E862" s="8" t="s">
        <v>4265</v>
      </c>
    </row>
    <row r="863" spans="1:5" ht="26" x14ac:dyDescent="0.35">
      <c r="A863" s="3" t="s">
        <v>4264</v>
      </c>
      <c r="B863" s="3" t="s">
        <v>1789</v>
      </c>
      <c r="C863" s="3" t="s">
        <v>4269</v>
      </c>
      <c r="D863" s="3" t="s">
        <v>2647</v>
      </c>
      <c r="E863" s="8" t="s">
        <v>4265</v>
      </c>
    </row>
    <row r="864" spans="1:5" ht="26" x14ac:dyDescent="0.35">
      <c r="A864" s="3" t="s">
        <v>4264</v>
      </c>
      <c r="B864" s="3" t="s">
        <v>1789</v>
      </c>
      <c r="C864" s="3" t="s">
        <v>3732</v>
      </c>
      <c r="D864" s="3" t="s">
        <v>2654</v>
      </c>
      <c r="E864" s="8" t="s">
        <v>4265</v>
      </c>
    </row>
    <row r="865" spans="1:5" ht="26" x14ac:dyDescent="0.35">
      <c r="A865" s="3" t="s">
        <v>4270</v>
      </c>
      <c r="B865" s="3" t="s">
        <v>1791</v>
      </c>
      <c r="C865" s="3" t="s">
        <v>2375</v>
      </c>
      <c r="D865" s="3" t="s">
        <v>2376</v>
      </c>
      <c r="E865" s="8" t="s">
        <v>4271</v>
      </c>
    </row>
    <row r="866" spans="1:5" ht="51" x14ac:dyDescent="0.35">
      <c r="A866" s="3" t="s">
        <v>4272</v>
      </c>
      <c r="B866" s="3" t="s">
        <v>1797</v>
      </c>
      <c r="C866" s="3" t="s">
        <v>4075</v>
      </c>
      <c r="D866" s="3" t="s">
        <v>2453</v>
      </c>
      <c r="E866" s="8" t="s">
        <v>4273</v>
      </c>
    </row>
    <row r="867" spans="1:5" ht="51" x14ac:dyDescent="0.35">
      <c r="A867" s="3" t="s">
        <v>4272</v>
      </c>
      <c r="B867" s="3" t="s">
        <v>1797</v>
      </c>
      <c r="C867" s="3" t="s">
        <v>4070</v>
      </c>
      <c r="D867" s="3" t="s">
        <v>2473</v>
      </c>
      <c r="E867" s="8" t="s">
        <v>4273</v>
      </c>
    </row>
    <row r="868" spans="1:5" ht="51" x14ac:dyDescent="0.35">
      <c r="A868" s="3" t="s">
        <v>4272</v>
      </c>
      <c r="B868" s="3" t="s">
        <v>1797</v>
      </c>
      <c r="C868" s="3" t="s">
        <v>3446</v>
      </c>
      <c r="D868" s="3" t="s">
        <v>2857</v>
      </c>
      <c r="E868" s="8" t="s">
        <v>4273</v>
      </c>
    </row>
    <row r="869" spans="1:5" ht="38.5" x14ac:dyDescent="0.35">
      <c r="A869" s="3" t="s">
        <v>4274</v>
      </c>
      <c r="B869" s="3" t="s">
        <v>1803</v>
      </c>
      <c r="C869" s="3" t="s">
        <v>3950</v>
      </c>
      <c r="D869" s="3" t="s">
        <v>2666</v>
      </c>
      <c r="E869" s="8" t="s">
        <v>4275</v>
      </c>
    </row>
    <row r="870" spans="1:5" ht="38.5" x14ac:dyDescent="0.35">
      <c r="A870" s="3" t="s">
        <v>4274</v>
      </c>
      <c r="B870" s="3" t="s">
        <v>1803</v>
      </c>
      <c r="C870" s="3" t="s">
        <v>3653</v>
      </c>
      <c r="D870" s="3" t="s">
        <v>3095</v>
      </c>
      <c r="E870" s="8" t="s">
        <v>4276</v>
      </c>
    </row>
    <row r="871" spans="1:5" ht="38.5" x14ac:dyDescent="0.35">
      <c r="A871" s="3" t="s">
        <v>4274</v>
      </c>
      <c r="B871" s="3" t="s">
        <v>1803</v>
      </c>
      <c r="C871" s="3" t="s">
        <v>4166</v>
      </c>
      <c r="D871" s="3" t="s">
        <v>3211</v>
      </c>
      <c r="E871" s="8" t="s">
        <v>4275</v>
      </c>
    </row>
    <row r="872" spans="1:5" ht="38.5" x14ac:dyDescent="0.35">
      <c r="A872" s="3" t="s">
        <v>4277</v>
      </c>
      <c r="B872" s="3" t="s">
        <v>1807</v>
      </c>
      <c r="C872" s="3" t="s">
        <v>2375</v>
      </c>
      <c r="D872" s="3" t="s">
        <v>2376</v>
      </c>
      <c r="E872" s="8" t="s">
        <v>4278</v>
      </c>
    </row>
    <row r="873" spans="1:5" ht="51" x14ac:dyDescent="0.35">
      <c r="A873" s="3" t="s">
        <v>4279</v>
      </c>
      <c r="B873" s="3" t="s">
        <v>1811</v>
      </c>
      <c r="C873" s="3" t="s">
        <v>3339</v>
      </c>
      <c r="D873" s="3" t="s">
        <v>3253</v>
      </c>
      <c r="E873" s="8" t="s">
        <v>4280</v>
      </c>
    </row>
    <row r="874" spans="1:5" ht="51" x14ac:dyDescent="0.35">
      <c r="A874" s="3" t="s">
        <v>4279</v>
      </c>
      <c r="B874" s="3" t="s">
        <v>1811</v>
      </c>
      <c r="C874" s="3" t="s">
        <v>3319</v>
      </c>
      <c r="D874" s="3" t="s">
        <v>3255</v>
      </c>
      <c r="E874" s="8" t="s">
        <v>4280</v>
      </c>
    </row>
    <row r="875" spans="1:5" ht="51" x14ac:dyDescent="0.35">
      <c r="A875" s="3" t="s">
        <v>4279</v>
      </c>
      <c r="B875" s="3" t="s">
        <v>1811</v>
      </c>
      <c r="C875" s="3" t="s">
        <v>3321</v>
      </c>
      <c r="D875" s="3" t="s">
        <v>3257</v>
      </c>
      <c r="E875" s="8" t="s">
        <v>4280</v>
      </c>
    </row>
    <row r="876" spans="1:5" ht="38.5" x14ac:dyDescent="0.35">
      <c r="A876" s="3" t="s">
        <v>4281</v>
      </c>
      <c r="B876" s="3" t="s">
        <v>1813</v>
      </c>
      <c r="C876" s="3" t="s">
        <v>4282</v>
      </c>
      <c r="D876" s="3" t="s">
        <v>2429</v>
      </c>
      <c r="E876" s="8" t="s">
        <v>4283</v>
      </c>
    </row>
    <row r="877" spans="1:5" ht="26" x14ac:dyDescent="0.35">
      <c r="A877" s="3" t="s">
        <v>4281</v>
      </c>
      <c r="B877" s="3" t="s">
        <v>1813</v>
      </c>
      <c r="C877" s="3" t="s">
        <v>4075</v>
      </c>
      <c r="D877" s="3" t="s">
        <v>2453</v>
      </c>
      <c r="E877" s="8" t="s">
        <v>4284</v>
      </c>
    </row>
    <row r="878" spans="1:5" ht="26" x14ac:dyDescent="0.35">
      <c r="A878" s="3" t="s">
        <v>4281</v>
      </c>
      <c r="B878" s="3" t="s">
        <v>1813</v>
      </c>
      <c r="C878" s="3" t="s">
        <v>4078</v>
      </c>
      <c r="D878" s="3" t="s">
        <v>3213</v>
      </c>
      <c r="E878" s="8" t="s">
        <v>4284</v>
      </c>
    </row>
    <row r="879" spans="1:5" ht="38.5" x14ac:dyDescent="0.35">
      <c r="A879" s="3" t="s">
        <v>4285</v>
      </c>
      <c r="B879" s="3" t="s">
        <v>1817</v>
      </c>
      <c r="C879" s="3" t="s">
        <v>3800</v>
      </c>
      <c r="D879" s="3" t="s">
        <v>3171</v>
      </c>
      <c r="E879" s="8" t="s">
        <v>4286</v>
      </c>
    </row>
    <row r="880" spans="1:5" ht="38.5" x14ac:dyDescent="0.35">
      <c r="A880" s="3" t="s">
        <v>4285</v>
      </c>
      <c r="B880" s="3" t="s">
        <v>1817</v>
      </c>
      <c r="C880" s="3" t="s">
        <v>3830</v>
      </c>
      <c r="D880" s="3" t="s">
        <v>3183</v>
      </c>
      <c r="E880" s="8" t="s">
        <v>4286</v>
      </c>
    </row>
    <row r="881" spans="1:5" ht="38.5" x14ac:dyDescent="0.35">
      <c r="A881" s="3" t="s">
        <v>4287</v>
      </c>
      <c r="B881" s="3" t="s">
        <v>1819</v>
      </c>
      <c r="C881" s="3" t="s">
        <v>3303</v>
      </c>
      <c r="D881" s="3" t="s">
        <v>2459</v>
      </c>
      <c r="E881" s="8" t="s">
        <v>4288</v>
      </c>
    </row>
    <row r="882" spans="1:5" ht="38.5" x14ac:dyDescent="0.35">
      <c r="A882" s="3" t="s">
        <v>4289</v>
      </c>
      <c r="B882" s="3" t="s">
        <v>1821</v>
      </c>
      <c r="C882" s="3" t="s">
        <v>2375</v>
      </c>
      <c r="D882" s="3" t="s">
        <v>2376</v>
      </c>
      <c r="E882" s="8" t="s">
        <v>4290</v>
      </c>
    </row>
    <row r="883" spans="1:5" ht="38.5" x14ac:dyDescent="0.35">
      <c r="A883" s="3" t="s">
        <v>4289</v>
      </c>
      <c r="B883" s="3" t="s">
        <v>1821</v>
      </c>
      <c r="C883" s="3" t="s">
        <v>3907</v>
      </c>
      <c r="D883" s="3" t="s">
        <v>2975</v>
      </c>
      <c r="E883" s="8" t="s">
        <v>4290</v>
      </c>
    </row>
    <row r="884" spans="1:5" ht="76" x14ac:dyDescent="0.35">
      <c r="A884" s="3" t="s">
        <v>4291</v>
      </c>
      <c r="B884" s="3" t="s">
        <v>1823</v>
      </c>
      <c r="C884" s="3" t="s">
        <v>2375</v>
      </c>
      <c r="D884" s="3" t="s">
        <v>2376</v>
      </c>
      <c r="E884" s="8" t="s">
        <v>4292</v>
      </c>
    </row>
    <row r="885" spans="1:5" ht="38.5" x14ac:dyDescent="0.35">
      <c r="A885" s="3" t="s">
        <v>4293</v>
      </c>
      <c r="B885" s="3" t="s">
        <v>1839</v>
      </c>
      <c r="C885" s="3" t="s">
        <v>2375</v>
      </c>
      <c r="D885" s="3" t="s">
        <v>2376</v>
      </c>
      <c r="E885" s="8" t="s">
        <v>4294</v>
      </c>
    </row>
    <row r="886" spans="1:5" ht="38.5" x14ac:dyDescent="0.35">
      <c r="A886" s="3" t="s">
        <v>4293</v>
      </c>
      <c r="B886" s="3" t="s">
        <v>1839</v>
      </c>
      <c r="C886" s="3" t="s">
        <v>3459</v>
      </c>
      <c r="D886" s="3" t="s">
        <v>2637</v>
      </c>
      <c r="E886" s="8" t="s">
        <v>4294</v>
      </c>
    </row>
    <row r="887" spans="1:5" ht="38.5" x14ac:dyDescent="0.35">
      <c r="A887" s="3" t="s">
        <v>4295</v>
      </c>
      <c r="B887" s="3" t="s">
        <v>1843</v>
      </c>
      <c r="C887" s="3" t="s">
        <v>2375</v>
      </c>
      <c r="D887" s="3" t="s">
        <v>2376</v>
      </c>
      <c r="E887" s="8" t="s">
        <v>4294</v>
      </c>
    </row>
    <row r="888" spans="1:5" ht="51" x14ac:dyDescent="0.35">
      <c r="A888" s="3" t="s">
        <v>4296</v>
      </c>
      <c r="B888" s="3" t="s">
        <v>1845</v>
      </c>
      <c r="C888" s="3" t="s">
        <v>3476</v>
      </c>
      <c r="D888" s="3" t="s">
        <v>2607</v>
      </c>
      <c r="E888" s="8" t="s">
        <v>4297</v>
      </c>
    </row>
    <row r="889" spans="1:5" ht="51" x14ac:dyDescent="0.35">
      <c r="A889" s="3" t="s">
        <v>4296</v>
      </c>
      <c r="B889" s="3" t="s">
        <v>1845</v>
      </c>
      <c r="C889" s="3" t="s">
        <v>3478</v>
      </c>
      <c r="D889" s="3" t="s">
        <v>2613</v>
      </c>
      <c r="E889" s="8" t="s">
        <v>4298</v>
      </c>
    </row>
    <row r="890" spans="1:5" ht="38.5" x14ac:dyDescent="0.35">
      <c r="A890" s="3" t="s">
        <v>4299</v>
      </c>
      <c r="B890" s="3" t="s">
        <v>1847</v>
      </c>
      <c r="C890" s="3" t="s">
        <v>2375</v>
      </c>
      <c r="D890" s="3" t="s">
        <v>2376</v>
      </c>
      <c r="E890" s="8" t="s">
        <v>4300</v>
      </c>
    </row>
    <row r="891" spans="1:5" ht="76" x14ac:dyDescent="0.35">
      <c r="A891" s="3" t="s">
        <v>4299</v>
      </c>
      <c r="B891" s="3" t="s">
        <v>1847</v>
      </c>
      <c r="C891" s="3" t="s">
        <v>4260</v>
      </c>
      <c r="D891" s="3" t="s">
        <v>2635</v>
      </c>
      <c r="E891" s="8" t="s">
        <v>4301</v>
      </c>
    </row>
    <row r="892" spans="1:5" ht="38.5" x14ac:dyDescent="0.35">
      <c r="A892" s="3" t="s">
        <v>4302</v>
      </c>
      <c r="B892" s="3" t="s">
        <v>1849</v>
      </c>
      <c r="C892" s="3" t="s">
        <v>2375</v>
      </c>
      <c r="D892" s="3" t="s">
        <v>2376</v>
      </c>
      <c r="E892" s="8" t="s">
        <v>4294</v>
      </c>
    </row>
    <row r="893" spans="1:5" ht="38.5" x14ac:dyDescent="0.35">
      <c r="A893" s="3" t="s">
        <v>4303</v>
      </c>
      <c r="B893" s="3" t="s">
        <v>1853</v>
      </c>
      <c r="C893" s="3" t="s">
        <v>2375</v>
      </c>
      <c r="D893" s="3" t="s">
        <v>2376</v>
      </c>
      <c r="E893" s="8" t="s">
        <v>4304</v>
      </c>
    </row>
    <row r="894" spans="1:5" ht="38.5" x14ac:dyDescent="0.35">
      <c r="A894" s="3" t="s">
        <v>4305</v>
      </c>
      <c r="B894" s="3" t="s">
        <v>1855</v>
      </c>
      <c r="C894" s="3" t="s">
        <v>2375</v>
      </c>
      <c r="D894" s="3" t="s">
        <v>2376</v>
      </c>
      <c r="E894" s="8" t="s">
        <v>4306</v>
      </c>
    </row>
    <row r="895" spans="1:5" ht="38.5" x14ac:dyDescent="0.35">
      <c r="A895" s="3" t="s">
        <v>4305</v>
      </c>
      <c r="B895" s="3" t="s">
        <v>1855</v>
      </c>
      <c r="C895" s="3" t="s">
        <v>4001</v>
      </c>
      <c r="D895" s="3" t="s">
        <v>2552</v>
      </c>
      <c r="E895" s="8" t="s">
        <v>4300</v>
      </c>
    </row>
    <row r="896" spans="1:5" ht="38.5" x14ac:dyDescent="0.35">
      <c r="A896" s="3" t="s">
        <v>4305</v>
      </c>
      <c r="B896" s="3" t="s">
        <v>1855</v>
      </c>
      <c r="C896" s="3" t="s">
        <v>4248</v>
      </c>
      <c r="D896" s="3" t="s">
        <v>2580</v>
      </c>
      <c r="E896" s="8" t="s">
        <v>4300</v>
      </c>
    </row>
    <row r="897" spans="1:5" ht="38.5" x14ac:dyDescent="0.35">
      <c r="A897" s="3" t="s">
        <v>4305</v>
      </c>
      <c r="B897" s="3" t="s">
        <v>1855</v>
      </c>
      <c r="C897" s="3" t="s">
        <v>4250</v>
      </c>
      <c r="D897" s="3" t="s">
        <v>2591</v>
      </c>
      <c r="E897" s="8" t="s">
        <v>4300</v>
      </c>
    </row>
    <row r="898" spans="1:5" ht="38.5" x14ac:dyDescent="0.35">
      <c r="A898" s="3" t="s">
        <v>4305</v>
      </c>
      <c r="B898" s="3" t="s">
        <v>1855</v>
      </c>
      <c r="C898" s="3" t="s">
        <v>4251</v>
      </c>
      <c r="D898" s="3" t="s">
        <v>2596</v>
      </c>
      <c r="E898" s="8" t="s">
        <v>4300</v>
      </c>
    </row>
    <row r="899" spans="1:5" ht="38.5" x14ac:dyDescent="0.35">
      <c r="A899" s="3" t="s">
        <v>4305</v>
      </c>
      <c r="B899" s="3" t="s">
        <v>1855</v>
      </c>
      <c r="C899" s="3" t="s">
        <v>4252</v>
      </c>
      <c r="D899" s="3" t="s">
        <v>2598</v>
      </c>
      <c r="E899" s="8" t="s">
        <v>4300</v>
      </c>
    </row>
    <row r="900" spans="1:5" ht="38.5" x14ac:dyDescent="0.35">
      <c r="A900" s="3" t="s">
        <v>4305</v>
      </c>
      <c r="B900" s="3" t="s">
        <v>1855</v>
      </c>
      <c r="C900" s="3" t="s">
        <v>4253</v>
      </c>
      <c r="D900" s="3" t="s">
        <v>2600</v>
      </c>
      <c r="E900" s="8" t="s">
        <v>4300</v>
      </c>
    </row>
    <row r="901" spans="1:5" ht="38.5" x14ac:dyDescent="0.35">
      <c r="A901" s="3" t="s">
        <v>4305</v>
      </c>
      <c r="B901" s="3" t="s">
        <v>1855</v>
      </c>
      <c r="C901" s="3" t="s">
        <v>4254</v>
      </c>
      <c r="D901" s="3" t="s">
        <v>2602</v>
      </c>
      <c r="E901" s="8" t="s">
        <v>4300</v>
      </c>
    </row>
    <row r="902" spans="1:5" ht="38.5" x14ac:dyDescent="0.35">
      <c r="A902" s="3" t="s">
        <v>4305</v>
      </c>
      <c r="B902" s="3" t="s">
        <v>1855</v>
      </c>
      <c r="C902" s="3" t="s">
        <v>3478</v>
      </c>
      <c r="D902" s="3" t="s">
        <v>2613</v>
      </c>
      <c r="E902" s="8" t="s">
        <v>4300</v>
      </c>
    </row>
    <row r="903" spans="1:5" ht="38.5" x14ac:dyDescent="0.35">
      <c r="A903" s="3" t="s">
        <v>4305</v>
      </c>
      <c r="B903" s="3" t="s">
        <v>1855</v>
      </c>
      <c r="C903" s="3" t="s">
        <v>4258</v>
      </c>
      <c r="D903" s="3" t="s">
        <v>2631</v>
      </c>
      <c r="E903" s="8" t="s">
        <v>4300</v>
      </c>
    </row>
    <row r="904" spans="1:5" ht="38.5" x14ac:dyDescent="0.35">
      <c r="A904" s="3" t="s">
        <v>4305</v>
      </c>
      <c r="B904" s="3" t="s">
        <v>1855</v>
      </c>
      <c r="C904" s="3" t="s">
        <v>4259</v>
      </c>
      <c r="D904" s="3" t="s">
        <v>2633</v>
      </c>
      <c r="E904" s="8" t="s">
        <v>4300</v>
      </c>
    </row>
    <row r="905" spans="1:5" ht="38.5" x14ac:dyDescent="0.35">
      <c r="A905" s="3" t="s">
        <v>4305</v>
      </c>
      <c r="B905" s="3" t="s">
        <v>1855</v>
      </c>
      <c r="C905" s="3" t="s">
        <v>4260</v>
      </c>
      <c r="D905" s="3" t="s">
        <v>2635</v>
      </c>
      <c r="E905" s="8" t="s">
        <v>4300</v>
      </c>
    </row>
    <row r="906" spans="1:5" ht="38.5" x14ac:dyDescent="0.35">
      <c r="A906" s="3" t="s">
        <v>4305</v>
      </c>
      <c r="B906" s="3" t="s">
        <v>1855</v>
      </c>
      <c r="C906" s="3" t="s">
        <v>3459</v>
      </c>
      <c r="D906" s="3" t="s">
        <v>2637</v>
      </c>
      <c r="E906" s="8" t="s">
        <v>4300</v>
      </c>
    </row>
    <row r="907" spans="1:5" ht="38.5" x14ac:dyDescent="0.35">
      <c r="A907" s="3" t="s">
        <v>4305</v>
      </c>
      <c r="B907" s="3" t="s">
        <v>1855</v>
      </c>
      <c r="C907" s="3" t="s">
        <v>4268</v>
      </c>
      <c r="D907" s="3" t="s">
        <v>2643</v>
      </c>
      <c r="E907" s="8" t="s">
        <v>4300</v>
      </c>
    </row>
    <row r="908" spans="1:5" ht="26" x14ac:dyDescent="0.35">
      <c r="A908" s="3" t="s">
        <v>4307</v>
      </c>
      <c r="B908" s="3" t="s">
        <v>1859</v>
      </c>
      <c r="C908" s="3" t="s">
        <v>4232</v>
      </c>
      <c r="D908" s="3" t="s">
        <v>2506</v>
      </c>
      <c r="E908" s="8" t="s">
        <v>4308</v>
      </c>
    </row>
    <row r="909" spans="1:5" ht="26" x14ac:dyDescent="0.35">
      <c r="A909" s="3" t="s">
        <v>4309</v>
      </c>
      <c r="B909" s="3" t="s">
        <v>1867</v>
      </c>
      <c r="C909" s="3" t="s">
        <v>4231</v>
      </c>
      <c r="D909" s="3" t="s">
        <v>2502</v>
      </c>
      <c r="E909" s="8" t="s">
        <v>4310</v>
      </c>
    </row>
    <row r="910" spans="1:5" ht="38.5" x14ac:dyDescent="0.35">
      <c r="A910" s="3" t="s">
        <v>4311</v>
      </c>
      <c r="B910" s="3" t="s">
        <v>1873</v>
      </c>
      <c r="C910" s="3" t="s">
        <v>4229</v>
      </c>
      <c r="D910" s="3" t="s">
        <v>2498</v>
      </c>
      <c r="E910" s="8" t="s">
        <v>4312</v>
      </c>
    </row>
    <row r="911" spans="1:5" ht="26" x14ac:dyDescent="0.35">
      <c r="A911" s="3" t="s">
        <v>4311</v>
      </c>
      <c r="B911" s="3" t="s">
        <v>1873</v>
      </c>
      <c r="C911" s="3" t="s">
        <v>4232</v>
      </c>
      <c r="D911" s="3" t="s">
        <v>2506</v>
      </c>
      <c r="E911" s="8" t="s">
        <v>4308</v>
      </c>
    </row>
    <row r="912" spans="1:5" ht="38.5" x14ac:dyDescent="0.35">
      <c r="A912" s="3" t="s">
        <v>4313</v>
      </c>
      <c r="B912" s="3" t="s">
        <v>1875</v>
      </c>
      <c r="C912" s="3" t="s">
        <v>2375</v>
      </c>
      <c r="D912" s="3" t="s">
        <v>2376</v>
      </c>
      <c r="E912" s="8" t="s">
        <v>4314</v>
      </c>
    </row>
    <row r="913" spans="1:5" ht="51" x14ac:dyDescent="0.35">
      <c r="A913" s="3" t="s">
        <v>4315</v>
      </c>
      <c r="B913" s="3" t="s">
        <v>1883</v>
      </c>
      <c r="C913" s="3" t="s">
        <v>2375</v>
      </c>
      <c r="D913" s="3" t="s">
        <v>2376</v>
      </c>
      <c r="E913" s="8" t="s">
        <v>4316</v>
      </c>
    </row>
    <row r="914" spans="1:5" ht="51" x14ac:dyDescent="0.35">
      <c r="A914" s="3" t="s">
        <v>4317</v>
      </c>
      <c r="B914" s="3" t="s">
        <v>1885</v>
      </c>
      <c r="C914" s="3" t="s">
        <v>2375</v>
      </c>
      <c r="D914" s="3" t="s">
        <v>2376</v>
      </c>
      <c r="E914" s="8" t="s">
        <v>4318</v>
      </c>
    </row>
    <row r="915" spans="1:5" ht="38.5" x14ac:dyDescent="0.35">
      <c r="A915" s="3" t="s">
        <v>4319</v>
      </c>
      <c r="B915" s="3" t="s">
        <v>1887</v>
      </c>
      <c r="C915" s="3" t="s">
        <v>2375</v>
      </c>
      <c r="D915" s="3" t="s">
        <v>2376</v>
      </c>
      <c r="E915" s="8" t="s">
        <v>4320</v>
      </c>
    </row>
    <row r="916" spans="1:5" ht="38.5" x14ac:dyDescent="0.35">
      <c r="A916" s="3" t="s">
        <v>4321</v>
      </c>
      <c r="B916" s="3" t="s">
        <v>1891</v>
      </c>
      <c r="C916" s="3" t="s">
        <v>2375</v>
      </c>
      <c r="D916" s="3" t="s">
        <v>2376</v>
      </c>
      <c r="E916" s="8" t="s">
        <v>4320</v>
      </c>
    </row>
    <row r="917" spans="1:5" ht="51" x14ac:dyDescent="0.35">
      <c r="A917" s="3" t="s">
        <v>4322</v>
      </c>
      <c r="B917" s="3" t="s">
        <v>1893</v>
      </c>
      <c r="C917" s="3" t="s">
        <v>2375</v>
      </c>
      <c r="D917" s="3" t="s">
        <v>2376</v>
      </c>
      <c r="E917" s="8" t="s">
        <v>4323</v>
      </c>
    </row>
    <row r="918" spans="1:5" ht="38.5" x14ac:dyDescent="0.35">
      <c r="A918" s="3" t="s">
        <v>4324</v>
      </c>
      <c r="B918" s="3" t="s">
        <v>1895</v>
      </c>
      <c r="C918" s="3" t="s">
        <v>2375</v>
      </c>
      <c r="D918" s="3" t="s">
        <v>2376</v>
      </c>
      <c r="E918" s="8" t="s">
        <v>4320</v>
      </c>
    </row>
    <row r="919" spans="1:5" ht="38.5" x14ac:dyDescent="0.35">
      <c r="A919" s="3" t="s">
        <v>4325</v>
      </c>
      <c r="B919" s="3" t="s">
        <v>1897</v>
      </c>
      <c r="C919" s="3" t="s">
        <v>2375</v>
      </c>
      <c r="D919" s="3" t="s">
        <v>2376</v>
      </c>
      <c r="E919" s="8" t="s">
        <v>4320</v>
      </c>
    </row>
    <row r="920" spans="1:5" ht="38.5" x14ac:dyDescent="0.35">
      <c r="A920" s="3" t="s">
        <v>4326</v>
      </c>
      <c r="B920" s="3" t="s">
        <v>1899</v>
      </c>
      <c r="C920" s="3" t="s">
        <v>2375</v>
      </c>
      <c r="D920" s="3" t="s">
        <v>2376</v>
      </c>
      <c r="E920" s="8" t="s">
        <v>4327</v>
      </c>
    </row>
    <row r="921" spans="1:5" ht="51" x14ac:dyDescent="0.35">
      <c r="A921" s="3" t="s">
        <v>4328</v>
      </c>
      <c r="B921" s="3" t="s">
        <v>1905</v>
      </c>
      <c r="C921" s="3" t="s">
        <v>2375</v>
      </c>
      <c r="D921" s="3" t="s">
        <v>2376</v>
      </c>
      <c r="E921" s="8" t="s">
        <v>4329</v>
      </c>
    </row>
    <row r="922" spans="1:5" ht="38.5" x14ac:dyDescent="0.35">
      <c r="A922" s="3" t="s">
        <v>4330</v>
      </c>
      <c r="B922" s="3" t="s">
        <v>1907</v>
      </c>
      <c r="C922" s="3" t="s">
        <v>2375</v>
      </c>
      <c r="D922" s="3" t="s">
        <v>2376</v>
      </c>
      <c r="E922" s="8" t="s">
        <v>4331</v>
      </c>
    </row>
    <row r="923" spans="1:5" ht="26" x14ac:dyDescent="0.35">
      <c r="A923" s="3" t="s">
        <v>4332</v>
      </c>
      <c r="B923" s="3" t="s">
        <v>1911</v>
      </c>
      <c r="C923" s="3" t="s">
        <v>2375</v>
      </c>
      <c r="D923" s="3" t="s">
        <v>2376</v>
      </c>
      <c r="E923" s="8" t="s">
        <v>4333</v>
      </c>
    </row>
    <row r="924" spans="1:5" ht="26" x14ac:dyDescent="0.35">
      <c r="A924" s="3" t="s">
        <v>4334</v>
      </c>
      <c r="B924" s="3" t="s">
        <v>1913</v>
      </c>
      <c r="C924" s="3" t="s">
        <v>2375</v>
      </c>
      <c r="D924" s="3" t="s">
        <v>2376</v>
      </c>
      <c r="E924" s="8" t="s">
        <v>4335</v>
      </c>
    </row>
    <row r="925" spans="1:5" ht="26" x14ac:dyDescent="0.35">
      <c r="A925" s="3" t="s">
        <v>4336</v>
      </c>
      <c r="B925" s="3" t="s">
        <v>1917</v>
      </c>
      <c r="C925" s="3" t="s">
        <v>2375</v>
      </c>
      <c r="D925" s="3" t="s">
        <v>2376</v>
      </c>
      <c r="E925" s="8" t="s">
        <v>4337</v>
      </c>
    </row>
    <row r="926" spans="1:5" ht="51" x14ac:dyDescent="0.35">
      <c r="A926" s="3" t="s">
        <v>4338</v>
      </c>
      <c r="B926" s="3" t="s">
        <v>1919</v>
      </c>
      <c r="C926" s="3" t="s">
        <v>2375</v>
      </c>
      <c r="D926" s="3" t="s">
        <v>2376</v>
      </c>
      <c r="E926" s="8" t="s">
        <v>4316</v>
      </c>
    </row>
    <row r="927" spans="1:5" ht="63.5" x14ac:dyDescent="0.35">
      <c r="A927" s="3" t="s">
        <v>4339</v>
      </c>
      <c r="B927" s="3" t="s">
        <v>1923</v>
      </c>
      <c r="C927" s="3" t="s">
        <v>4244</v>
      </c>
      <c r="D927" s="3" t="s">
        <v>2542</v>
      </c>
      <c r="E927" s="8" t="s">
        <v>4340</v>
      </c>
    </row>
    <row r="928" spans="1:5" ht="63.5" x14ac:dyDescent="0.35">
      <c r="A928" s="3" t="s">
        <v>4339</v>
      </c>
      <c r="B928" s="3" t="s">
        <v>1923</v>
      </c>
      <c r="C928" s="3" t="s">
        <v>4246</v>
      </c>
      <c r="D928" s="3" t="s">
        <v>2560</v>
      </c>
      <c r="E928" s="8" t="s">
        <v>4340</v>
      </c>
    </row>
    <row r="929" spans="1:5" ht="63.5" x14ac:dyDescent="0.35">
      <c r="A929" s="3" t="s">
        <v>4339</v>
      </c>
      <c r="B929" s="3" t="s">
        <v>1923</v>
      </c>
      <c r="C929" s="3" t="s">
        <v>4341</v>
      </c>
      <c r="D929" s="3" t="s">
        <v>2576</v>
      </c>
      <c r="E929" s="8" t="s">
        <v>4340</v>
      </c>
    </row>
    <row r="930" spans="1:5" ht="63.5" x14ac:dyDescent="0.35">
      <c r="A930" s="3" t="s">
        <v>4339</v>
      </c>
      <c r="B930" s="3" t="s">
        <v>1923</v>
      </c>
      <c r="C930" s="3" t="s">
        <v>4342</v>
      </c>
      <c r="D930" s="3" t="s">
        <v>2585</v>
      </c>
      <c r="E930" s="8" t="s">
        <v>4340</v>
      </c>
    </row>
    <row r="931" spans="1:5" ht="63.5" x14ac:dyDescent="0.35">
      <c r="A931" s="3" t="s">
        <v>4339</v>
      </c>
      <c r="B931" s="3" t="s">
        <v>1923</v>
      </c>
      <c r="C931" s="3" t="s">
        <v>4249</v>
      </c>
      <c r="D931" s="3" t="s">
        <v>2587</v>
      </c>
      <c r="E931" s="8" t="s">
        <v>4340</v>
      </c>
    </row>
    <row r="932" spans="1:5" ht="63.5" x14ac:dyDescent="0.35">
      <c r="A932" s="3" t="s">
        <v>4339</v>
      </c>
      <c r="B932" s="3" t="s">
        <v>1923</v>
      </c>
      <c r="C932" s="3" t="s">
        <v>4250</v>
      </c>
      <c r="D932" s="3" t="s">
        <v>2591</v>
      </c>
      <c r="E932" s="8" t="s">
        <v>4340</v>
      </c>
    </row>
    <row r="933" spans="1:5" ht="63.5" x14ac:dyDescent="0.35">
      <c r="A933" s="3" t="s">
        <v>4339</v>
      </c>
      <c r="B933" s="3" t="s">
        <v>1923</v>
      </c>
      <c r="C933" s="3" t="s">
        <v>4252</v>
      </c>
      <c r="D933" s="3" t="s">
        <v>2598</v>
      </c>
      <c r="E933" s="8" t="s">
        <v>4340</v>
      </c>
    </row>
    <row r="934" spans="1:5" ht="63.5" x14ac:dyDescent="0.35">
      <c r="A934" s="3" t="s">
        <v>4339</v>
      </c>
      <c r="B934" s="3" t="s">
        <v>1923</v>
      </c>
      <c r="C934" s="3" t="s">
        <v>4254</v>
      </c>
      <c r="D934" s="3" t="s">
        <v>2602</v>
      </c>
      <c r="E934" s="8" t="s">
        <v>4340</v>
      </c>
    </row>
    <row r="935" spans="1:5" ht="63.5" x14ac:dyDescent="0.35">
      <c r="A935" s="3" t="s">
        <v>4339</v>
      </c>
      <c r="B935" s="3" t="s">
        <v>1923</v>
      </c>
      <c r="C935" s="3" t="s">
        <v>4258</v>
      </c>
      <c r="D935" s="3" t="s">
        <v>2631</v>
      </c>
      <c r="E935" s="8" t="s">
        <v>4340</v>
      </c>
    </row>
    <row r="936" spans="1:5" ht="63.5" x14ac:dyDescent="0.35">
      <c r="A936" s="3" t="s">
        <v>4339</v>
      </c>
      <c r="B936" s="3" t="s">
        <v>1923</v>
      </c>
      <c r="C936" s="3" t="s">
        <v>4260</v>
      </c>
      <c r="D936" s="3" t="s">
        <v>2635</v>
      </c>
      <c r="E936" s="8" t="s">
        <v>4340</v>
      </c>
    </row>
    <row r="937" spans="1:5" ht="63.5" x14ac:dyDescent="0.35">
      <c r="A937" s="3" t="s">
        <v>4339</v>
      </c>
      <c r="B937" s="3" t="s">
        <v>1923</v>
      </c>
      <c r="C937" s="3" t="s">
        <v>3459</v>
      </c>
      <c r="D937" s="3" t="s">
        <v>2637</v>
      </c>
      <c r="E937" s="8" t="s">
        <v>4340</v>
      </c>
    </row>
    <row r="938" spans="1:5" ht="38.5" x14ac:dyDescent="0.35">
      <c r="A938" s="3" t="s">
        <v>4343</v>
      </c>
      <c r="B938" s="3" t="s">
        <v>1927</v>
      </c>
      <c r="C938" s="3" t="s">
        <v>3453</v>
      </c>
      <c r="D938" s="3" t="s">
        <v>2641</v>
      </c>
      <c r="E938" s="8" t="s">
        <v>4344</v>
      </c>
    </row>
    <row r="939" spans="1:5" ht="38.5" x14ac:dyDescent="0.35">
      <c r="A939" s="3" t="s">
        <v>4345</v>
      </c>
      <c r="B939" s="3" t="s">
        <v>1929</v>
      </c>
      <c r="C939" s="3" t="s">
        <v>2375</v>
      </c>
      <c r="D939" s="3" t="s">
        <v>2376</v>
      </c>
      <c r="E939" s="8" t="s">
        <v>4331</v>
      </c>
    </row>
    <row r="940" spans="1:5" ht="38.5" x14ac:dyDescent="0.35">
      <c r="A940" s="3" t="s">
        <v>4345</v>
      </c>
      <c r="B940" s="3" t="s">
        <v>1929</v>
      </c>
      <c r="C940" s="3" t="s">
        <v>4260</v>
      </c>
      <c r="D940" s="3" t="s">
        <v>2635</v>
      </c>
      <c r="E940" s="8" t="s">
        <v>4331</v>
      </c>
    </row>
    <row r="941" spans="1:5" ht="51" x14ac:dyDescent="0.35">
      <c r="A941" s="3" t="s">
        <v>4346</v>
      </c>
      <c r="B941" s="3" t="s">
        <v>1933</v>
      </c>
      <c r="C941" s="3" t="s">
        <v>2375</v>
      </c>
      <c r="D941" s="3" t="s">
        <v>2376</v>
      </c>
      <c r="E941" s="8" t="s">
        <v>4347</v>
      </c>
    </row>
    <row r="942" spans="1:5" ht="38.5" x14ac:dyDescent="0.35">
      <c r="A942" s="3" t="s">
        <v>4348</v>
      </c>
      <c r="B942" s="3" t="s">
        <v>1935</v>
      </c>
      <c r="C942" s="3" t="s">
        <v>4248</v>
      </c>
      <c r="D942" s="3" t="s">
        <v>2580</v>
      </c>
      <c r="E942" s="8" t="s">
        <v>4349</v>
      </c>
    </row>
    <row r="943" spans="1:5" ht="38.5" x14ac:dyDescent="0.35">
      <c r="A943" s="3" t="s">
        <v>4348</v>
      </c>
      <c r="B943" s="3" t="s">
        <v>1935</v>
      </c>
      <c r="C943" s="3" t="s">
        <v>3459</v>
      </c>
      <c r="D943" s="3" t="s">
        <v>2637</v>
      </c>
      <c r="E943" s="8" t="s">
        <v>4349</v>
      </c>
    </row>
    <row r="944" spans="1:5" ht="38.5" x14ac:dyDescent="0.35">
      <c r="A944" s="3" t="s">
        <v>4348</v>
      </c>
      <c r="B944" s="3" t="s">
        <v>1935</v>
      </c>
      <c r="C944" s="3" t="s">
        <v>3453</v>
      </c>
      <c r="D944" s="3" t="s">
        <v>2641</v>
      </c>
      <c r="E944" s="8" t="s">
        <v>4349</v>
      </c>
    </row>
    <row r="945" spans="1:5" ht="51" x14ac:dyDescent="0.35">
      <c r="A945" s="3" t="s">
        <v>4350</v>
      </c>
      <c r="B945" s="3" t="s">
        <v>1937</v>
      </c>
      <c r="C945" s="3" t="s">
        <v>2375</v>
      </c>
      <c r="D945" s="3" t="s">
        <v>2376</v>
      </c>
      <c r="E945" s="8" t="s">
        <v>4347</v>
      </c>
    </row>
    <row r="946" spans="1:5" ht="26" x14ac:dyDescent="0.35">
      <c r="A946" s="3" t="s">
        <v>4351</v>
      </c>
      <c r="B946" s="3" t="s">
        <v>1939</v>
      </c>
      <c r="C946" s="3" t="s">
        <v>4352</v>
      </c>
      <c r="D946" s="3" t="s">
        <v>2532</v>
      </c>
      <c r="E946" s="8" t="s">
        <v>4353</v>
      </c>
    </row>
    <row r="947" spans="1:5" ht="26" x14ac:dyDescent="0.35">
      <c r="A947" s="3" t="s">
        <v>4351</v>
      </c>
      <c r="B947" s="3" t="s">
        <v>1939</v>
      </c>
      <c r="C947" s="3" t="s">
        <v>4341</v>
      </c>
      <c r="D947" s="3" t="s">
        <v>2576</v>
      </c>
      <c r="E947" s="8" t="s">
        <v>4353</v>
      </c>
    </row>
    <row r="948" spans="1:5" ht="26" x14ac:dyDescent="0.35">
      <c r="A948" s="3" t="s">
        <v>4351</v>
      </c>
      <c r="B948" s="3" t="s">
        <v>1939</v>
      </c>
      <c r="C948" s="3" t="s">
        <v>4342</v>
      </c>
      <c r="D948" s="3" t="s">
        <v>2585</v>
      </c>
      <c r="E948" s="8" t="s">
        <v>4353</v>
      </c>
    </row>
    <row r="949" spans="1:5" ht="26" x14ac:dyDescent="0.35">
      <c r="A949" s="3" t="s">
        <v>4351</v>
      </c>
      <c r="B949" s="3" t="s">
        <v>1939</v>
      </c>
      <c r="C949" s="3" t="s">
        <v>4250</v>
      </c>
      <c r="D949" s="3" t="s">
        <v>2591</v>
      </c>
      <c r="E949" s="8" t="s">
        <v>4353</v>
      </c>
    </row>
    <row r="950" spans="1:5" ht="26" x14ac:dyDescent="0.35">
      <c r="A950" s="3" t="s">
        <v>4351</v>
      </c>
      <c r="B950" s="3" t="s">
        <v>1939</v>
      </c>
      <c r="C950" s="3" t="s">
        <v>4252</v>
      </c>
      <c r="D950" s="3" t="s">
        <v>2598</v>
      </c>
      <c r="E950" s="8" t="s">
        <v>4353</v>
      </c>
    </row>
    <row r="951" spans="1:5" ht="26" x14ac:dyDescent="0.35">
      <c r="A951" s="3" t="s">
        <v>4351</v>
      </c>
      <c r="B951" s="3" t="s">
        <v>1939</v>
      </c>
      <c r="C951" s="3" t="s">
        <v>4254</v>
      </c>
      <c r="D951" s="3" t="s">
        <v>2602</v>
      </c>
      <c r="E951" s="8" t="s">
        <v>4353</v>
      </c>
    </row>
    <row r="952" spans="1:5" ht="26" x14ac:dyDescent="0.35">
      <c r="A952" s="3" t="s">
        <v>4351</v>
      </c>
      <c r="B952" s="3" t="s">
        <v>1939</v>
      </c>
      <c r="C952" s="3" t="s">
        <v>4260</v>
      </c>
      <c r="D952" s="3" t="s">
        <v>2635</v>
      </c>
      <c r="E952" s="8" t="s">
        <v>4353</v>
      </c>
    </row>
    <row r="953" spans="1:5" ht="26" x14ac:dyDescent="0.35">
      <c r="A953" s="3" t="s">
        <v>4351</v>
      </c>
      <c r="B953" s="3" t="s">
        <v>1939</v>
      </c>
      <c r="C953" s="3" t="s">
        <v>3459</v>
      </c>
      <c r="D953" s="3" t="s">
        <v>2637</v>
      </c>
      <c r="E953" s="8" t="s">
        <v>4353</v>
      </c>
    </row>
    <row r="954" spans="1:5" ht="26" x14ac:dyDescent="0.35">
      <c r="A954" s="3" t="s">
        <v>4351</v>
      </c>
      <c r="B954" s="3" t="s">
        <v>1939</v>
      </c>
      <c r="C954" s="3" t="s">
        <v>4078</v>
      </c>
      <c r="D954" s="3" t="s">
        <v>3213</v>
      </c>
      <c r="E954" s="8" t="s">
        <v>4353</v>
      </c>
    </row>
    <row r="955" spans="1:5" ht="38.5" x14ac:dyDescent="0.35">
      <c r="A955" s="3" t="s">
        <v>4354</v>
      </c>
      <c r="B955" s="3" t="s">
        <v>1941</v>
      </c>
      <c r="C955" s="3" t="s">
        <v>2375</v>
      </c>
      <c r="D955" s="3" t="s">
        <v>2376</v>
      </c>
      <c r="E955" s="8" t="s">
        <v>4355</v>
      </c>
    </row>
    <row r="956" spans="1:5" ht="26" x14ac:dyDescent="0.35">
      <c r="A956" s="3" t="s">
        <v>4356</v>
      </c>
      <c r="B956" s="3" t="s">
        <v>1945</v>
      </c>
      <c r="C956" s="3" t="s">
        <v>4357</v>
      </c>
      <c r="D956" s="3" t="s">
        <v>2544</v>
      </c>
      <c r="E956" s="8" t="s">
        <v>4358</v>
      </c>
    </row>
    <row r="957" spans="1:5" ht="26" x14ac:dyDescent="0.35">
      <c r="A957" s="3" t="s">
        <v>4356</v>
      </c>
      <c r="B957" s="3" t="s">
        <v>1945</v>
      </c>
      <c r="C957" s="3" t="s">
        <v>4359</v>
      </c>
      <c r="D957" s="3" t="s">
        <v>2845</v>
      </c>
      <c r="E957" s="8" t="s">
        <v>4358</v>
      </c>
    </row>
    <row r="958" spans="1:5" ht="26" x14ac:dyDescent="0.35">
      <c r="A958" s="3" t="s">
        <v>4360</v>
      </c>
      <c r="B958" s="3" t="s">
        <v>1949</v>
      </c>
      <c r="C958" s="3" t="s">
        <v>4357</v>
      </c>
      <c r="D958" s="3" t="s">
        <v>2544</v>
      </c>
      <c r="E958" s="8" t="s">
        <v>4361</v>
      </c>
    </row>
    <row r="959" spans="1:5" ht="38.5" x14ac:dyDescent="0.35">
      <c r="A959" s="3" t="s">
        <v>4362</v>
      </c>
      <c r="B959" s="3" t="s">
        <v>1955</v>
      </c>
      <c r="C959" s="3" t="s">
        <v>3896</v>
      </c>
      <c r="D959" s="3" t="s">
        <v>3223</v>
      </c>
      <c r="E959" s="8" t="s">
        <v>4363</v>
      </c>
    </row>
    <row r="960" spans="1:5" ht="38.5" x14ac:dyDescent="0.35">
      <c r="A960" s="3" t="s">
        <v>4364</v>
      </c>
      <c r="B960" s="3" t="s">
        <v>1957</v>
      </c>
      <c r="C960" s="3" t="s">
        <v>4240</v>
      </c>
      <c r="D960" s="3" t="s">
        <v>2526</v>
      </c>
      <c r="E960" s="8" t="s">
        <v>4365</v>
      </c>
    </row>
    <row r="961" spans="1:5" ht="26" x14ac:dyDescent="0.35">
      <c r="A961" s="3" t="s">
        <v>4366</v>
      </c>
      <c r="B961" s="3" t="s">
        <v>1967</v>
      </c>
      <c r="C961" s="3" t="s">
        <v>4238</v>
      </c>
      <c r="D961" s="3" t="s">
        <v>2521</v>
      </c>
      <c r="E961" s="8" t="s">
        <v>4367</v>
      </c>
    </row>
    <row r="962" spans="1:5" ht="26" x14ac:dyDescent="0.35">
      <c r="A962" s="3" t="s">
        <v>4366</v>
      </c>
      <c r="B962" s="3" t="s">
        <v>1967</v>
      </c>
      <c r="C962" s="3" t="s">
        <v>4240</v>
      </c>
      <c r="D962" s="3" t="s">
        <v>2526</v>
      </c>
      <c r="E962" s="8" t="s">
        <v>4368</v>
      </c>
    </row>
    <row r="963" spans="1:5" ht="38.5" x14ac:dyDescent="0.35">
      <c r="A963" s="3" t="s">
        <v>4369</v>
      </c>
      <c r="B963" s="3" t="s">
        <v>1975</v>
      </c>
      <c r="C963" s="3" t="s">
        <v>4238</v>
      </c>
      <c r="D963" s="3" t="s">
        <v>2521</v>
      </c>
      <c r="E963" s="8" t="s">
        <v>4370</v>
      </c>
    </row>
    <row r="964" spans="1:5" ht="38.5" x14ac:dyDescent="0.35">
      <c r="A964" s="3" t="s">
        <v>4369</v>
      </c>
      <c r="B964" s="3" t="s">
        <v>1975</v>
      </c>
      <c r="C964" s="3" t="s">
        <v>4240</v>
      </c>
      <c r="D964" s="3" t="s">
        <v>2526</v>
      </c>
      <c r="E964" s="8" t="s">
        <v>4371</v>
      </c>
    </row>
    <row r="965" spans="1:5" ht="38.5" x14ac:dyDescent="0.35">
      <c r="A965" s="3" t="s">
        <v>4372</v>
      </c>
      <c r="B965" s="3" t="s">
        <v>1977</v>
      </c>
      <c r="C965" s="3" t="s">
        <v>4240</v>
      </c>
      <c r="D965" s="3" t="s">
        <v>2526</v>
      </c>
      <c r="E965" s="8" t="s">
        <v>4373</v>
      </c>
    </row>
    <row r="966" spans="1:5" ht="26" x14ac:dyDescent="0.35">
      <c r="A966" s="3" t="s">
        <v>4374</v>
      </c>
      <c r="B966" s="3" t="s">
        <v>2005</v>
      </c>
      <c r="C966" s="3" t="s">
        <v>4242</v>
      </c>
      <c r="D966" s="3" t="s">
        <v>2536</v>
      </c>
      <c r="E966" s="8" t="s">
        <v>4375</v>
      </c>
    </row>
    <row r="967" spans="1:5" ht="26" x14ac:dyDescent="0.35">
      <c r="A967" s="3" t="s">
        <v>4376</v>
      </c>
      <c r="B967" s="3" t="s">
        <v>2007</v>
      </c>
      <c r="C967" s="3" t="s">
        <v>4242</v>
      </c>
      <c r="D967" s="3" t="s">
        <v>2536</v>
      </c>
      <c r="E967" s="8" t="s">
        <v>4375</v>
      </c>
    </row>
    <row r="968" spans="1:5" ht="26" x14ac:dyDescent="0.35">
      <c r="A968" s="3" t="s">
        <v>4377</v>
      </c>
      <c r="B968" s="3" t="s">
        <v>2017</v>
      </c>
      <c r="C968" s="3" t="s">
        <v>2375</v>
      </c>
      <c r="D968" s="3" t="s">
        <v>2376</v>
      </c>
      <c r="E968" s="8" t="s">
        <v>4378</v>
      </c>
    </row>
    <row r="969" spans="1:5" ht="38.5" x14ac:dyDescent="0.35">
      <c r="A969" s="3" t="s">
        <v>4379</v>
      </c>
      <c r="B969" s="3" t="s">
        <v>2019</v>
      </c>
      <c r="C969" s="3" t="s">
        <v>2375</v>
      </c>
      <c r="D969" s="3" t="s">
        <v>2376</v>
      </c>
      <c r="E969" s="8" t="s">
        <v>4380</v>
      </c>
    </row>
    <row r="970" spans="1:5" ht="26" x14ac:dyDescent="0.35">
      <c r="A970" s="3" t="s">
        <v>4379</v>
      </c>
      <c r="B970" s="3" t="s">
        <v>2019</v>
      </c>
      <c r="C970" s="3" t="s">
        <v>4381</v>
      </c>
      <c r="D970" s="3" t="s">
        <v>2423</v>
      </c>
      <c r="E970" s="8" t="s">
        <v>4378</v>
      </c>
    </row>
    <row r="971" spans="1:5" ht="26" x14ac:dyDescent="0.35">
      <c r="A971" s="3" t="s">
        <v>4382</v>
      </c>
      <c r="B971" s="3" t="s">
        <v>2023</v>
      </c>
      <c r="C971" s="3" t="s">
        <v>2375</v>
      </c>
      <c r="D971" s="3" t="s">
        <v>2376</v>
      </c>
      <c r="E971" s="8" t="s">
        <v>4378</v>
      </c>
    </row>
    <row r="972" spans="1:5" ht="51" x14ac:dyDescent="0.35">
      <c r="A972" s="3" t="s">
        <v>4383</v>
      </c>
      <c r="B972" s="3" t="s">
        <v>2027</v>
      </c>
      <c r="C972" s="3" t="s">
        <v>4245</v>
      </c>
      <c r="D972" s="3" t="s">
        <v>2546</v>
      </c>
      <c r="E972" s="8" t="s">
        <v>4384</v>
      </c>
    </row>
    <row r="973" spans="1:5" ht="51" x14ac:dyDescent="0.35">
      <c r="A973" s="3" t="s">
        <v>4383</v>
      </c>
      <c r="B973" s="3" t="s">
        <v>2027</v>
      </c>
      <c r="C973" s="3" t="s">
        <v>3498</v>
      </c>
      <c r="D973" s="3" t="s">
        <v>2550</v>
      </c>
      <c r="E973" s="8" t="s">
        <v>4384</v>
      </c>
    </row>
    <row r="974" spans="1:5" ht="51" x14ac:dyDescent="0.35">
      <c r="A974" s="3" t="s">
        <v>4383</v>
      </c>
      <c r="B974" s="3" t="s">
        <v>2027</v>
      </c>
      <c r="C974" s="3" t="s">
        <v>4001</v>
      </c>
      <c r="D974" s="3" t="s">
        <v>2552</v>
      </c>
      <c r="E974" s="8" t="s">
        <v>4384</v>
      </c>
    </row>
    <row r="975" spans="1:5" ht="51" x14ac:dyDescent="0.35">
      <c r="A975" s="3" t="s">
        <v>4383</v>
      </c>
      <c r="B975" s="3" t="s">
        <v>2027</v>
      </c>
      <c r="C975" s="3" t="s">
        <v>3428</v>
      </c>
      <c r="D975" s="3" t="s">
        <v>2555</v>
      </c>
      <c r="E975" s="8" t="s">
        <v>4384</v>
      </c>
    </row>
    <row r="976" spans="1:5" ht="38.5" x14ac:dyDescent="0.35">
      <c r="A976" s="3" t="s">
        <v>4385</v>
      </c>
      <c r="B976" s="3" t="s">
        <v>2029</v>
      </c>
      <c r="C976" s="3" t="s">
        <v>2375</v>
      </c>
      <c r="D976" s="3" t="s">
        <v>2376</v>
      </c>
      <c r="E976" s="8" t="s">
        <v>4386</v>
      </c>
    </row>
    <row r="977" spans="1:5" ht="38.5" x14ac:dyDescent="0.35">
      <c r="A977" s="3" t="s">
        <v>4387</v>
      </c>
      <c r="B977" s="3" t="s">
        <v>2031</v>
      </c>
      <c r="C977" s="3" t="s">
        <v>3515</v>
      </c>
      <c r="D977" s="3" t="s">
        <v>2401</v>
      </c>
      <c r="E977" s="8" t="s">
        <v>4388</v>
      </c>
    </row>
    <row r="978" spans="1:5" ht="38.5" x14ac:dyDescent="0.35">
      <c r="A978" s="3" t="s">
        <v>4387</v>
      </c>
      <c r="B978" s="3" t="s">
        <v>2031</v>
      </c>
      <c r="C978" s="3" t="s">
        <v>4245</v>
      </c>
      <c r="D978" s="3" t="s">
        <v>2546</v>
      </c>
      <c r="E978" s="8" t="s">
        <v>4389</v>
      </c>
    </row>
    <row r="979" spans="1:5" ht="26" x14ac:dyDescent="0.35">
      <c r="A979" s="3" t="s">
        <v>4390</v>
      </c>
      <c r="B979" s="3" t="s">
        <v>2039</v>
      </c>
      <c r="C979" s="3" t="s">
        <v>4245</v>
      </c>
      <c r="D979" s="3" t="s">
        <v>2546</v>
      </c>
      <c r="E979" s="8" t="s">
        <v>4391</v>
      </c>
    </row>
    <row r="980" spans="1:5" ht="38.5" x14ac:dyDescent="0.35">
      <c r="A980" s="3" t="s">
        <v>4390</v>
      </c>
      <c r="B980" s="3" t="s">
        <v>2039</v>
      </c>
      <c r="C980" s="3" t="s">
        <v>3498</v>
      </c>
      <c r="D980" s="3" t="s">
        <v>2550</v>
      </c>
      <c r="E980" s="8" t="s">
        <v>4392</v>
      </c>
    </row>
    <row r="981" spans="1:5" ht="26" x14ac:dyDescent="0.35">
      <c r="A981" s="3" t="s">
        <v>4390</v>
      </c>
      <c r="B981" s="3" t="s">
        <v>2039</v>
      </c>
      <c r="C981" s="3" t="s">
        <v>4001</v>
      </c>
      <c r="D981" s="3" t="s">
        <v>2552</v>
      </c>
      <c r="E981" s="8" t="s">
        <v>4393</v>
      </c>
    </row>
    <row r="982" spans="1:5" ht="26" x14ac:dyDescent="0.35">
      <c r="A982" s="3" t="s">
        <v>4390</v>
      </c>
      <c r="B982" s="3" t="s">
        <v>2039</v>
      </c>
      <c r="C982" s="3" t="s">
        <v>3428</v>
      </c>
      <c r="D982" s="3" t="s">
        <v>2555</v>
      </c>
      <c r="E982" s="8" t="s">
        <v>4393</v>
      </c>
    </row>
    <row r="983" spans="1:5" ht="26" x14ac:dyDescent="0.35">
      <c r="A983" s="3" t="s">
        <v>4394</v>
      </c>
      <c r="B983" s="3" t="s">
        <v>2041</v>
      </c>
      <c r="C983" s="3" t="s">
        <v>4230</v>
      </c>
      <c r="D983" s="3" t="s">
        <v>2500</v>
      </c>
      <c r="E983" s="8" t="s">
        <v>4395</v>
      </c>
    </row>
    <row r="984" spans="1:5" ht="26" x14ac:dyDescent="0.35">
      <c r="A984" s="3" t="s">
        <v>4394</v>
      </c>
      <c r="B984" s="3" t="s">
        <v>2041</v>
      </c>
      <c r="C984" s="3" t="s">
        <v>4234</v>
      </c>
      <c r="D984" s="3" t="s">
        <v>2512</v>
      </c>
      <c r="E984" s="8" t="s">
        <v>4396</v>
      </c>
    </row>
    <row r="985" spans="1:5" ht="38.5" x14ac:dyDescent="0.35">
      <c r="A985" s="3" t="s">
        <v>4394</v>
      </c>
      <c r="B985" s="3" t="s">
        <v>2041</v>
      </c>
      <c r="C985" s="3" t="s">
        <v>3498</v>
      </c>
      <c r="D985" s="3" t="s">
        <v>2550</v>
      </c>
      <c r="E985" s="8" t="s">
        <v>4392</v>
      </c>
    </row>
    <row r="986" spans="1:5" ht="26" x14ac:dyDescent="0.35">
      <c r="A986" s="3" t="s">
        <v>4394</v>
      </c>
      <c r="B986" s="3" t="s">
        <v>2041</v>
      </c>
      <c r="C986" s="3" t="s">
        <v>4001</v>
      </c>
      <c r="D986" s="3" t="s">
        <v>2552</v>
      </c>
      <c r="E986" s="8" t="s">
        <v>4393</v>
      </c>
    </row>
    <row r="987" spans="1:5" ht="26" x14ac:dyDescent="0.35">
      <c r="A987" s="3" t="s">
        <v>4394</v>
      </c>
      <c r="B987" s="3" t="s">
        <v>2041</v>
      </c>
      <c r="C987" s="3" t="s">
        <v>3428</v>
      </c>
      <c r="D987" s="3" t="s">
        <v>2555</v>
      </c>
      <c r="E987" s="8" t="s">
        <v>4393</v>
      </c>
    </row>
    <row r="988" spans="1:5" ht="38.5" x14ac:dyDescent="0.35">
      <c r="A988" s="3" t="s">
        <v>4397</v>
      </c>
      <c r="B988" s="3" t="s">
        <v>2045</v>
      </c>
      <c r="C988" s="3" t="s">
        <v>2375</v>
      </c>
      <c r="D988" s="3" t="s">
        <v>2376</v>
      </c>
      <c r="E988" s="8" t="s">
        <v>4398</v>
      </c>
    </row>
    <row r="989" spans="1:5" ht="26" x14ac:dyDescent="0.35">
      <c r="A989" s="3" t="s">
        <v>4399</v>
      </c>
      <c r="B989" s="3" t="s">
        <v>2047</v>
      </c>
      <c r="C989" s="3" t="s">
        <v>2375</v>
      </c>
      <c r="D989" s="3" t="s">
        <v>2376</v>
      </c>
      <c r="E989" s="8" t="s">
        <v>4400</v>
      </c>
    </row>
    <row r="990" spans="1:5" ht="38.5" x14ac:dyDescent="0.35">
      <c r="A990" s="3" t="s">
        <v>4401</v>
      </c>
      <c r="B990" s="3" t="s">
        <v>2049</v>
      </c>
      <c r="C990" s="3" t="s">
        <v>3999</v>
      </c>
      <c r="D990" s="3" t="s">
        <v>2492</v>
      </c>
      <c r="E990" s="8" t="s">
        <v>4402</v>
      </c>
    </row>
    <row r="991" spans="1:5" ht="38.5" x14ac:dyDescent="0.35">
      <c r="A991" s="3" t="s">
        <v>4401</v>
      </c>
      <c r="B991" s="3" t="s">
        <v>2049</v>
      </c>
      <c r="C991" s="3" t="s">
        <v>4233</v>
      </c>
      <c r="D991" s="3" t="s">
        <v>2508</v>
      </c>
      <c r="E991" s="8" t="s">
        <v>4403</v>
      </c>
    </row>
    <row r="992" spans="1:5" ht="38.5" x14ac:dyDescent="0.35">
      <c r="A992" s="3" t="s">
        <v>4401</v>
      </c>
      <c r="B992" s="3" t="s">
        <v>2049</v>
      </c>
      <c r="C992" s="3" t="s">
        <v>3498</v>
      </c>
      <c r="D992" s="3" t="s">
        <v>2550</v>
      </c>
      <c r="E992" s="8" t="s">
        <v>4392</v>
      </c>
    </row>
    <row r="993" spans="1:5" ht="26" x14ac:dyDescent="0.35">
      <c r="A993" s="3" t="s">
        <v>4404</v>
      </c>
      <c r="B993" s="3" t="s">
        <v>2053</v>
      </c>
      <c r="C993" s="3" t="s">
        <v>2375</v>
      </c>
      <c r="D993" s="3" t="s">
        <v>2376</v>
      </c>
      <c r="E993" s="8" t="s">
        <v>4405</v>
      </c>
    </row>
    <row r="994" spans="1:5" ht="26" x14ac:dyDescent="0.35">
      <c r="A994" s="3" t="s">
        <v>4406</v>
      </c>
      <c r="B994" s="3" t="s">
        <v>2055</v>
      </c>
      <c r="C994" s="3" t="s">
        <v>3999</v>
      </c>
      <c r="D994" s="3" t="s">
        <v>2492</v>
      </c>
      <c r="E994" s="8" t="s">
        <v>4407</v>
      </c>
    </row>
    <row r="995" spans="1:5" ht="26" x14ac:dyDescent="0.35">
      <c r="A995" s="3" t="s">
        <v>4406</v>
      </c>
      <c r="B995" s="3" t="s">
        <v>2055</v>
      </c>
      <c r="C995" s="3" t="s">
        <v>4229</v>
      </c>
      <c r="D995" s="3" t="s">
        <v>2498</v>
      </c>
      <c r="E995" s="8" t="s">
        <v>4408</v>
      </c>
    </row>
    <row r="996" spans="1:5" ht="26" x14ac:dyDescent="0.35">
      <c r="A996" s="3" t="s">
        <v>4406</v>
      </c>
      <c r="B996" s="3" t="s">
        <v>2055</v>
      </c>
      <c r="C996" s="3" t="s">
        <v>4230</v>
      </c>
      <c r="D996" s="3" t="s">
        <v>2500</v>
      </c>
      <c r="E996" s="8" t="s">
        <v>4409</v>
      </c>
    </row>
    <row r="997" spans="1:5" ht="26" x14ac:dyDescent="0.35">
      <c r="A997" s="3" t="s">
        <v>4406</v>
      </c>
      <c r="B997" s="3" t="s">
        <v>2055</v>
      </c>
      <c r="C997" s="3" t="s">
        <v>4231</v>
      </c>
      <c r="D997" s="3" t="s">
        <v>2502</v>
      </c>
      <c r="E997" s="8" t="s">
        <v>4410</v>
      </c>
    </row>
    <row r="998" spans="1:5" ht="26" x14ac:dyDescent="0.35">
      <c r="A998" s="3" t="s">
        <v>4406</v>
      </c>
      <c r="B998" s="3" t="s">
        <v>2055</v>
      </c>
      <c r="C998" s="3" t="s">
        <v>4411</v>
      </c>
      <c r="D998" s="3" t="s">
        <v>2504</v>
      </c>
      <c r="E998" s="8" t="s">
        <v>4412</v>
      </c>
    </row>
    <row r="999" spans="1:5" ht="26" x14ac:dyDescent="0.35">
      <c r="A999" s="3" t="s">
        <v>4406</v>
      </c>
      <c r="B999" s="3" t="s">
        <v>2055</v>
      </c>
      <c r="C999" s="3" t="s">
        <v>4232</v>
      </c>
      <c r="D999" s="3" t="s">
        <v>2506</v>
      </c>
      <c r="E999" s="8" t="s">
        <v>4413</v>
      </c>
    </row>
    <row r="1000" spans="1:5" ht="26" x14ac:dyDescent="0.35">
      <c r="A1000" s="3" t="s">
        <v>4406</v>
      </c>
      <c r="B1000" s="3" t="s">
        <v>2055</v>
      </c>
      <c r="C1000" s="3" t="s">
        <v>4233</v>
      </c>
      <c r="D1000" s="3" t="s">
        <v>2508</v>
      </c>
      <c r="E1000" s="8" t="s">
        <v>4414</v>
      </c>
    </row>
    <row r="1001" spans="1:5" ht="38.5" x14ac:dyDescent="0.35">
      <c r="A1001" s="3" t="s">
        <v>4415</v>
      </c>
      <c r="B1001" s="3" t="s">
        <v>2057</v>
      </c>
      <c r="C1001" s="3" t="s">
        <v>3999</v>
      </c>
      <c r="D1001" s="3" t="s">
        <v>2492</v>
      </c>
      <c r="E1001" s="8" t="s">
        <v>4416</v>
      </c>
    </row>
    <row r="1002" spans="1:5" ht="51" x14ac:dyDescent="0.35">
      <c r="A1002" s="3" t="s">
        <v>4417</v>
      </c>
      <c r="B1002" s="3" t="s">
        <v>2061</v>
      </c>
      <c r="C1002" s="3" t="s">
        <v>2375</v>
      </c>
      <c r="D1002" s="3" t="s">
        <v>2376</v>
      </c>
      <c r="E1002" s="8" t="s">
        <v>4418</v>
      </c>
    </row>
    <row r="1003" spans="1:5" ht="51" x14ac:dyDescent="0.35">
      <c r="A1003" s="3" t="s">
        <v>4417</v>
      </c>
      <c r="B1003" s="3" t="s">
        <v>2061</v>
      </c>
      <c r="C1003" s="3" t="s">
        <v>4244</v>
      </c>
      <c r="D1003" s="3" t="s">
        <v>2542</v>
      </c>
      <c r="E1003" s="8" t="s">
        <v>4418</v>
      </c>
    </row>
    <row r="1004" spans="1:5" ht="51" x14ac:dyDescent="0.35">
      <c r="A1004" s="3" t="s">
        <v>4417</v>
      </c>
      <c r="B1004" s="3" t="s">
        <v>2061</v>
      </c>
      <c r="C1004" s="3" t="s">
        <v>4251</v>
      </c>
      <c r="D1004" s="3" t="s">
        <v>2596</v>
      </c>
      <c r="E1004" s="8" t="s">
        <v>4418</v>
      </c>
    </row>
    <row r="1005" spans="1:5" ht="51" x14ac:dyDescent="0.35">
      <c r="A1005" s="3" t="s">
        <v>4417</v>
      </c>
      <c r="B1005" s="3" t="s">
        <v>2061</v>
      </c>
      <c r="C1005" s="3" t="s">
        <v>4253</v>
      </c>
      <c r="D1005" s="3" t="s">
        <v>2600</v>
      </c>
      <c r="E1005" s="8" t="s">
        <v>4418</v>
      </c>
    </row>
    <row r="1006" spans="1:5" ht="51" x14ac:dyDescent="0.35">
      <c r="A1006" s="3" t="s">
        <v>4417</v>
      </c>
      <c r="B1006" s="3" t="s">
        <v>2061</v>
      </c>
      <c r="C1006" s="3" t="s">
        <v>4268</v>
      </c>
      <c r="D1006" s="3" t="s">
        <v>2643</v>
      </c>
      <c r="E1006" s="8" t="s">
        <v>4418</v>
      </c>
    </row>
    <row r="1007" spans="1:5" ht="51" x14ac:dyDescent="0.35">
      <c r="A1007" s="3" t="s">
        <v>4417</v>
      </c>
      <c r="B1007" s="3" t="s">
        <v>2061</v>
      </c>
      <c r="C1007" s="3" t="s">
        <v>4036</v>
      </c>
      <c r="D1007" s="3" t="s">
        <v>2816</v>
      </c>
      <c r="E1007" s="8" t="s">
        <v>4418</v>
      </c>
    </row>
    <row r="1008" spans="1:5" ht="38.5" x14ac:dyDescent="0.35">
      <c r="A1008" s="3" t="s">
        <v>4419</v>
      </c>
      <c r="B1008" s="3" t="s">
        <v>2067</v>
      </c>
      <c r="C1008" s="3" t="s">
        <v>3732</v>
      </c>
      <c r="D1008" s="3" t="s">
        <v>2654</v>
      </c>
      <c r="E1008" s="8" t="s">
        <v>4420</v>
      </c>
    </row>
    <row r="1009" spans="1:5" ht="38.5" x14ac:dyDescent="0.35">
      <c r="A1009" s="3" t="s">
        <v>4419</v>
      </c>
      <c r="B1009" s="3" t="s">
        <v>2067</v>
      </c>
      <c r="C1009" s="3" t="s">
        <v>3930</v>
      </c>
      <c r="D1009" s="3" t="s">
        <v>3063</v>
      </c>
      <c r="E1009" s="8" t="s">
        <v>4420</v>
      </c>
    </row>
    <row r="1010" spans="1:5" ht="38.5" x14ac:dyDescent="0.35">
      <c r="A1010" s="3" t="s">
        <v>4421</v>
      </c>
      <c r="B1010" s="3" t="s">
        <v>2069</v>
      </c>
      <c r="C1010" s="3" t="s">
        <v>3732</v>
      </c>
      <c r="D1010" s="3" t="s">
        <v>2654</v>
      </c>
      <c r="E1010" s="8" t="s">
        <v>4422</v>
      </c>
    </row>
    <row r="1011" spans="1:5" ht="26" x14ac:dyDescent="0.35">
      <c r="A1011" s="3" t="s">
        <v>4423</v>
      </c>
      <c r="B1011" s="3" t="s">
        <v>2071</v>
      </c>
      <c r="C1011" s="3" t="s">
        <v>4251</v>
      </c>
      <c r="D1011" s="3" t="s">
        <v>2596</v>
      </c>
      <c r="E1011" s="8" t="s">
        <v>4424</v>
      </c>
    </row>
    <row r="1012" spans="1:5" ht="26" x14ac:dyDescent="0.35">
      <c r="A1012" s="3" t="s">
        <v>4423</v>
      </c>
      <c r="B1012" s="3" t="s">
        <v>2071</v>
      </c>
      <c r="C1012" s="3" t="s">
        <v>3732</v>
      </c>
      <c r="D1012" s="3" t="s">
        <v>2654</v>
      </c>
      <c r="E1012" s="8" t="s">
        <v>4425</v>
      </c>
    </row>
    <row r="1013" spans="1:5" ht="38.5" x14ac:dyDescent="0.35">
      <c r="A1013" s="3" t="s">
        <v>4426</v>
      </c>
      <c r="B1013" s="3" t="s">
        <v>2073</v>
      </c>
      <c r="C1013" s="3" t="s">
        <v>3999</v>
      </c>
      <c r="D1013" s="3" t="s">
        <v>2492</v>
      </c>
      <c r="E1013" s="8" t="s">
        <v>4427</v>
      </c>
    </row>
    <row r="1014" spans="1:5" ht="26" x14ac:dyDescent="0.35">
      <c r="A1014" s="3" t="s">
        <v>4426</v>
      </c>
      <c r="B1014" s="3" t="s">
        <v>2073</v>
      </c>
      <c r="C1014" s="3" t="s">
        <v>4232</v>
      </c>
      <c r="D1014" s="3" t="s">
        <v>2506</v>
      </c>
      <c r="E1014" s="8" t="s">
        <v>4308</v>
      </c>
    </row>
    <row r="1015" spans="1:5" ht="38.5" x14ac:dyDescent="0.35">
      <c r="A1015" s="3" t="s">
        <v>4426</v>
      </c>
      <c r="B1015" s="3" t="s">
        <v>2073</v>
      </c>
      <c r="C1015" s="3" t="s">
        <v>4234</v>
      </c>
      <c r="D1015" s="3" t="s">
        <v>2512</v>
      </c>
      <c r="E1015" s="8" t="s">
        <v>4428</v>
      </c>
    </row>
    <row r="1016" spans="1:5" ht="51" x14ac:dyDescent="0.35">
      <c r="A1016" s="3" t="s">
        <v>4429</v>
      </c>
      <c r="B1016" s="3" t="s">
        <v>2083</v>
      </c>
      <c r="C1016" s="3" t="s">
        <v>3723</v>
      </c>
      <c r="D1016" s="3" t="s">
        <v>2731</v>
      </c>
      <c r="E1016" s="8" t="s">
        <v>4430</v>
      </c>
    </row>
    <row r="1017" spans="1:5" ht="51" x14ac:dyDescent="0.35">
      <c r="A1017" s="3" t="s">
        <v>4429</v>
      </c>
      <c r="B1017" s="3" t="s">
        <v>2083</v>
      </c>
      <c r="C1017" s="3" t="s">
        <v>3859</v>
      </c>
      <c r="D1017" s="3" t="s">
        <v>3225</v>
      </c>
      <c r="E1017" s="8" t="s">
        <v>4431</v>
      </c>
    </row>
    <row r="1018" spans="1:5" ht="38.5" x14ac:dyDescent="0.35">
      <c r="A1018" s="3" t="s">
        <v>4432</v>
      </c>
      <c r="B1018" s="3" t="s">
        <v>2087</v>
      </c>
      <c r="C1018" s="3" t="s">
        <v>2375</v>
      </c>
      <c r="D1018" s="3" t="s">
        <v>2376</v>
      </c>
      <c r="E1018" s="8" t="s">
        <v>4433</v>
      </c>
    </row>
    <row r="1019" spans="1:5" ht="38.5" x14ac:dyDescent="0.35">
      <c r="A1019" s="3" t="s">
        <v>4434</v>
      </c>
      <c r="B1019" s="3" t="s">
        <v>2089</v>
      </c>
      <c r="C1019" s="3" t="s">
        <v>2375</v>
      </c>
      <c r="D1019" s="3" t="s">
        <v>2376</v>
      </c>
      <c r="E1019" s="8" t="s">
        <v>4435</v>
      </c>
    </row>
    <row r="1020" spans="1:5" ht="38.5" x14ac:dyDescent="0.35">
      <c r="A1020" s="3" t="s">
        <v>4436</v>
      </c>
      <c r="B1020" s="3" t="s">
        <v>2101</v>
      </c>
      <c r="C1020" s="3" t="s">
        <v>4082</v>
      </c>
      <c r="D1020" s="3" t="s">
        <v>2564</v>
      </c>
      <c r="E1020" s="8" t="s">
        <v>4437</v>
      </c>
    </row>
    <row r="1021" spans="1:5" ht="26" x14ac:dyDescent="0.35">
      <c r="A1021" s="3" t="s">
        <v>4438</v>
      </c>
      <c r="B1021" s="3" t="s">
        <v>2107</v>
      </c>
      <c r="C1021" s="3" t="s">
        <v>2375</v>
      </c>
      <c r="D1021" s="3" t="s">
        <v>2376</v>
      </c>
      <c r="E1021" s="8" t="s">
        <v>4439</v>
      </c>
    </row>
    <row r="1022" spans="1:5" ht="26" x14ac:dyDescent="0.35">
      <c r="A1022" s="3" t="s">
        <v>4438</v>
      </c>
      <c r="B1022" s="3" t="s">
        <v>2107</v>
      </c>
      <c r="C1022" s="3" t="s">
        <v>3682</v>
      </c>
      <c r="D1022" s="3" t="s">
        <v>2965</v>
      </c>
      <c r="E1022" s="8" t="s">
        <v>4440</v>
      </c>
    </row>
    <row r="1023" spans="1:5" ht="26" x14ac:dyDescent="0.35">
      <c r="A1023" s="3" t="s">
        <v>4441</v>
      </c>
      <c r="B1023" s="3" t="s">
        <v>2115</v>
      </c>
      <c r="C1023" s="3" t="s">
        <v>3295</v>
      </c>
      <c r="D1023" s="3" t="s">
        <v>2831</v>
      </c>
      <c r="E1023" s="8" t="s">
        <v>4442</v>
      </c>
    </row>
    <row r="1024" spans="1:5" ht="26" x14ac:dyDescent="0.35">
      <c r="A1024" s="3" t="s">
        <v>4443</v>
      </c>
      <c r="B1024" s="3" t="s">
        <v>2127</v>
      </c>
      <c r="C1024" s="3" t="s">
        <v>3339</v>
      </c>
      <c r="D1024" s="3" t="s">
        <v>3253</v>
      </c>
      <c r="E1024" s="8" t="s">
        <v>4444</v>
      </c>
    </row>
    <row r="1025" spans="1:5" ht="38.5" x14ac:dyDescent="0.35">
      <c r="A1025" s="3" t="s">
        <v>4445</v>
      </c>
      <c r="B1025" s="3" t="s">
        <v>2131</v>
      </c>
      <c r="C1025" s="3" t="s">
        <v>3916</v>
      </c>
      <c r="D1025" s="3" t="s">
        <v>2765</v>
      </c>
      <c r="E1025" s="8" t="s">
        <v>4446</v>
      </c>
    </row>
    <row r="1026" spans="1:5" ht="76" x14ac:dyDescent="0.35">
      <c r="A1026" s="3" t="s">
        <v>4447</v>
      </c>
      <c r="B1026" s="3" t="s">
        <v>2135</v>
      </c>
      <c r="C1026" s="3" t="s">
        <v>3717</v>
      </c>
      <c r="D1026" s="3" t="s">
        <v>3087</v>
      </c>
      <c r="E1026" s="8" t="s">
        <v>4448</v>
      </c>
    </row>
    <row r="1027" spans="1:5" ht="76" x14ac:dyDescent="0.35">
      <c r="A1027" s="3" t="s">
        <v>4447</v>
      </c>
      <c r="B1027" s="3" t="s">
        <v>2135</v>
      </c>
      <c r="C1027" s="3" t="s">
        <v>3321</v>
      </c>
      <c r="D1027" s="3" t="s">
        <v>3257</v>
      </c>
      <c r="E1027" s="8" t="s">
        <v>4448</v>
      </c>
    </row>
    <row r="1028" spans="1:5" ht="38.5" x14ac:dyDescent="0.35">
      <c r="A1028" s="3" t="s">
        <v>4449</v>
      </c>
      <c r="B1028" s="3" t="s">
        <v>2139</v>
      </c>
      <c r="C1028" s="3" t="s">
        <v>3649</v>
      </c>
      <c r="D1028" s="3" t="s">
        <v>2705</v>
      </c>
      <c r="E1028" s="8" t="s">
        <v>4450</v>
      </c>
    </row>
    <row r="1029" spans="1:5" ht="38.5" x14ac:dyDescent="0.35">
      <c r="A1029" s="3" t="s">
        <v>4449</v>
      </c>
      <c r="B1029" s="3" t="s">
        <v>2139</v>
      </c>
      <c r="C1029" s="3" t="s">
        <v>3984</v>
      </c>
      <c r="D1029" s="3" t="s">
        <v>2829</v>
      </c>
      <c r="E1029" s="8" t="s">
        <v>4451</v>
      </c>
    </row>
    <row r="1030" spans="1:5" ht="38.5" x14ac:dyDescent="0.35">
      <c r="A1030" s="3" t="s">
        <v>4449</v>
      </c>
      <c r="B1030" s="3" t="s">
        <v>2139</v>
      </c>
      <c r="C1030" s="3" t="s">
        <v>3812</v>
      </c>
      <c r="D1030" s="3" t="s">
        <v>3197</v>
      </c>
      <c r="E1030" s="8" t="s">
        <v>4452</v>
      </c>
    </row>
    <row r="1031" spans="1:5" ht="26" x14ac:dyDescent="0.35">
      <c r="A1031" s="3" t="s">
        <v>4453</v>
      </c>
      <c r="B1031" s="3" t="s">
        <v>2141</v>
      </c>
      <c r="C1031" s="3" t="s">
        <v>4152</v>
      </c>
      <c r="D1031" s="3" t="s">
        <v>2407</v>
      </c>
      <c r="E1031" s="8" t="s">
        <v>4454</v>
      </c>
    </row>
    <row r="1032" spans="1:5" ht="26" x14ac:dyDescent="0.35">
      <c r="A1032" s="3" t="s">
        <v>4453</v>
      </c>
      <c r="B1032" s="3" t="s">
        <v>2141</v>
      </c>
      <c r="C1032" s="3" t="s">
        <v>4150</v>
      </c>
      <c r="D1032" s="3" t="s">
        <v>2409</v>
      </c>
      <c r="E1032" s="8" t="s">
        <v>4454</v>
      </c>
    </row>
    <row r="1033" spans="1:5" ht="26" x14ac:dyDescent="0.35">
      <c r="A1033" s="3" t="s">
        <v>4453</v>
      </c>
      <c r="B1033" s="3" t="s">
        <v>2141</v>
      </c>
      <c r="C1033" s="3" t="s">
        <v>4068</v>
      </c>
      <c r="D1033" s="3" t="s">
        <v>2457</v>
      </c>
      <c r="E1033" s="8" t="s">
        <v>4455</v>
      </c>
    </row>
    <row r="1034" spans="1:5" ht="26" x14ac:dyDescent="0.35">
      <c r="A1034" s="3" t="s">
        <v>4453</v>
      </c>
      <c r="B1034" s="3" t="s">
        <v>2141</v>
      </c>
      <c r="C1034" s="3" t="s">
        <v>4072</v>
      </c>
      <c r="D1034" s="3" t="s">
        <v>2485</v>
      </c>
      <c r="E1034" s="8" t="s">
        <v>4455</v>
      </c>
    </row>
    <row r="1035" spans="1:5" ht="38.5" x14ac:dyDescent="0.35">
      <c r="A1035" s="3" t="s">
        <v>4456</v>
      </c>
      <c r="B1035" s="3" t="s">
        <v>2143</v>
      </c>
      <c r="C1035" s="3" t="s">
        <v>3291</v>
      </c>
      <c r="D1035" s="3" t="s">
        <v>2777</v>
      </c>
      <c r="E1035" s="8" t="s">
        <v>4457</v>
      </c>
    </row>
    <row r="1036" spans="1:5" ht="38.5" x14ac:dyDescent="0.35">
      <c r="A1036" s="3" t="s">
        <v>4456</v>
      </c>
      <c r="B1036" s="3" t="s">
        <v>2143</v>
      </c>
      <c r="C1036" s="3" t="s">
        <v>3293</v>
      </c>
      <c r="D1036" s="3" t="s">
        <v>2827</v>
      </c>
      <c r="E1036" s="8" t="s">
        <v>4457</v>
      </c>
    </row>
    <row r="1037" spans="1:5" ht="38.5" x14ac:dyDescent="0.35">
      <c r="A1037" s="3" t="s">
        <v>4456</v>
      </c>
      <c r="B1037" s="3" t="s">
        <v>2143</v>
      </c>
      <c r="C1037" s="3" t="s">
        <v>3984</v>
      </c>
      <c r="D1037" s="3" t="s">
        <v>2829</v>
      </c>
      <c r="E1037" s="8" t="s">
        <v>4457</v>
      </c>
    </row>
    <row r="1038" spans="1:5" ht="38.5" x14ac:dyDescent="0.35">
      <c r="A1038" s="3" t="s">
        <v>4458</v>
      </c>
      <c r="B1038" s="3" t="s">
        <v>2187</v>
      </c>
      <c r="C1038" s="3" t="s">
        <v>2375</v>
      </c>
      <c r="D1038" s="3" t="s">
        <v>2376</v>
      </c>
      <c r="E1038" s="8" t="s">
        <v>4459</v>
      </c>
    </row>
    <row r="1039" spans="1:5" ht="38.5" x14ac:dyDescent="0.35">
      <c r="A1039" s="3" t="s">
        <v>4460</v>
      </c>
      <c r="B1039" s="3" t="s">
        <v>2189</v>
      </c>
      <c r="C1039" s="3" t="s">
        <v>3859</v>
      </c>
      <c r="D1039" s="3" t="s">
        <v>3225</v>
      </c>
      <c r="E1039" s="8" t="s">
        <v>4461</v>
      </c>
    </row>
    <row r="1040" spans="1:5" ht="38.5" x14ac:dyDescent="0.35">
      <c r="A1040" s="3" t="s">
        <v>4462</v>
      </c>
      <c r="B1040" s="3" t="s">
        <v>2193</v>
      </c>
      <c r="C1040" s="3" t="s">
        <v>3273</v>
      </c>
      <c r="D1040" s="3" t="s">
        <v>2697</v>
      </c>
      <c r="E1040" s="8" t="s">
        <v>4195</v>
      </c>
    </row>
    <row r="1041" spans="1:5" ht="76" x14ac:dyDescent="0.35">
      <c r="A1041" s="3" t="s">
        <v>4462</v>
      </c>
      <c r="B1041" s="3" t="s">
        <v>2193</v>
      </c>
      <c r="C1041" s="3" t="s">
        <v>4162</v>
      </c>
      <c r="D1041" s="3" t="s">
        <v>3209</v>
      </c>
      <c r="E1041" s="8" t="s">
        <v>4193</v>
      </c>
    </row>
    <row r="1042" spans="1:5" ht="26" x14ac:dyDescent="0.35">
      <c r="A1042" s="3" t="s">
        <v>4463</v>
      </c>
      <c r="B1042" s="3" t="s">
        <v>2207</v>
      </c>
      <c r="C1042" s="3" t="s">
        <v>3288</v>
      </c>
      <c r="D1042" s="3" t="s">
        <v>2672</v>
      </c>
      <c r="E1042" s="8" t="s">
        <v>4464</v>
      </c>
    </row>
    <row r="1043" spans="1:5" ht="26" x14ac:dyDescent="0.35">
      <c r="A1043" s="3" t="s">
        <v>4463</v>
      </c>
      <c r="B1043" s="3" t="s">
        <v>2207</v>
      </c>
      <c r="C1043" s="3" t="s">
        <v>3295</v>
      </c>
      <c r="D1043" s="3" t="s">
        <v>2831</v>
      </c>
      <c r="E1043" s="8" t="s">
        <v>4464</v>
      </c>
    </row>
    <row r="1044" spans="1:5" ht="38.5" x14ac:dyDescent="0.35">
      <c r="A1044" s="3" t="s">
        <v>4465</v>
      </c>
      <c r="B1044" s="3" t="s">
        <v>2209</v>
      </c>
      <c r="C1044" s="3" t="s">
        <v>4002</v>
      </c>
      <c r="D1044" s="3" t="s">
        <v>2818</v>
      </c>
      <c r="E1044" s="8" t="s">
        <v>4466</v>
      </c>
    </row>
    <row r="1045" spans="1:5" ht="51" x14ac:dyDescent="0.35">
      <c r="A1045" s="3" t="s">
        <v>4467</v>
      </c>
      <c r="B1045" s="3" t="s">
        <v>2211</v>
      </c>
      <c r="C1045" s="3" t="s">
        <v>2375</v>
      </c>
      <c r="D1045" s="3" t="s">
        <v>2376</v>
      </c>
      <c r="E1045" s="8" t="s">
        <v>4468</v>
      </c>
    </row>
    <row r="1046" spans="1:5" ht="38.5" x14ac:dyDescent="0.35">
      <c r="A1046" s="3" t="s">
        <v>4469</v>
      </c>
      <c r="B1046" s="3" t="s">
        <v>2213</v>
      </c>
      <c r="C1046" s="3" t="s">
        <v>2375</v>
      </c>
      <c r="D1046" s="3" t="s">
        <v>2376</v>
      </c>
      <c r="E1046" s="8" t="s">
        <v>4470</v>
      </c>
    </row>
    <row r="1047" spans="1:5" ht="26" x14ac:dyDescent="0.35">
      <c r="A1047" s="3" t="s">
        <v>4471</v>
      </c>
      <c r="B1047" s="3" t="s">
        <v>2215</v>
      </c>
      <c r="C1047" s="3" t="s">
        <v>4150</v>
      </c>
      <c r="D1047" s="3" t="s">
        <v>2409</v>
      </c>
      <c r="E1047" s="8" t="s">
        <v>4149</v>
      </c>
    </row>
    <row r="1048" spans="1:5" ht="26" x14ac:dyDescent="0.35">
      <c r="A1048" s="3" t="s">
        <v>4471</v>
      </c>
      <c r="B1048" s="3" t="s">
        <v>2215</v>
      </c>
      <c r="C1048" s="3" t="s">
        <v>3295</v>
      </c>
      <c r="D1048" s="3" t="s">
        <v>2831</v>
      </c>
      <c r="E1048" s="8" t="s">
        <v>4472</v>
      </c>
    </row>
    <row r="1049" spans="1:5" ht="38.5" x14ac:dyDescent="0.35">
      <c r="A1049" s="3" t="s">
        <v>4473</v>
      </c>
      <c r="B1049" s="3" t="s">
        <v>2219</v>
      </c>
      <c r="C1049" s="3" t="s">
        <v>3273</v>
      </c>
      <c r="D1049" s="3" t="s">
        <v>2697</v>
      </c>
      <c r="E1049" s="8" t="s">
        <v>4195</v>
      </c>
    </row>
    <row r="1050" spans="1:5" ht="38.5" x14ac:dyDescent="0.35">
      <c r="A1050" s="3" t="s">
        <v>4474</v>
      </c>
      <c r="B1050" s="3" t="s">
        <v>2221</v>
      </c>
      <c r="C1050" s="3" t="s">
        <v>3999</v>
      </c>
      <c r="D1050" s="3" t="s">
        <v>2492</v>
      </c>
      <c r="E1050" s="8" t="s">
        <v>4475</v>
      </c>
    </row>
    <row r="1051" spans="1:5" ht="26" x14ac:dyDescent="0.35">
      <c r="A1051" s="3" t="s">
        <v>4474</v>
      </c>
      <c r="B1051" s="3" t="s">
        <v>2221</v>
      </c>
      <c r="C1051" s="3" t="s">
        <v>3295</v>
      </c>
      <c r="D1051" s="3" t="s">
        <v>2831</v>
      </c>
      <c r="E1051" s="8" t="s">
        <v>4476</v>
      </c>
    </row>
    <row r="1052" spans="1:5" ht="38.5" x14ac:dyDescent="0.35">
      <c r="A1052" s="3" t="s">
        <v>4477</v>
      </c>
      <c r="B1052" s="3" t="s">
        <v>2225</v>
      </c>
      <c r="C1052" s="3" t="s">
        <v>3999</v>
      </c>
      <c r="D1052" s="3" t="s">
        <v>2492</v>
      </c>
      <c r="E1052" s="8" t="s">
        <v>4478</v>
      </c>
    </row>
    <row r="1053" spans="1:5" ht="51" x14ac:dyDescent="0.35">
      <c r="A1053" s="3" t="s">
        <v>4477</v>
      </c>
      <c r="B1053" s="3" t="s">
        <v>2225</v>
      </c>
      <c r="C1053" s="3" t="s">
        <v>3649</v>
      </c>
      <c r="D1053" s="3" t="s">
        <v>2705</v>
      </c>
      <c r="E1053" s="8" t="s">
        <v>4479</v>
      </c>
    </row>
    <row r="1054" spans="1:5" ht="26" x14ac:dyDescent="0.35">
      <c r="A1054" s="3" t="s">
        <v>4477</v>
      </c>
      <c r="B1054" s="3" t="s">
        <v>2225</v>
      </c>
      <c r="C1054" s="3" t="s">
        <v>3295</v>
      </c>
      <c r="D1054" s="3" t="s">
        <v>2831</v>
      </c>
      <c r="E1054" s="8" t="s">
        <v>4480</v>
      </c>
    </row>
    <row r="1055" spans="1:5" ht="51" x14ac:dyDescent="0.35">
      <c r="A1055" s="3" t="s">
        <v>4481</v>
      </c>
      <c r="B1055" s="3" t="s">
        <v>2227</v>
      </c>
      <c r="C1055" s="3" t="s">
        <v>3290</v>
      </c>
      <c r="D1055" s="3" t="s">
        <v>2684</v>
      </c>
      <c r="E1055" s="8" t="s">
        <v>4482</v>
      </c>
    </row>
    <row r="1056" spans="1:5" ht="51" x14ac:dyDescent="0.35">
      <c r="A1056" s="3" t="s">
        <v>4481</v>
      </c>
      <c r="B1056" s="3" t="s">
        <v>2227</v>
      </c>
      <c r="C1056" s="3" t="s">
        <v>3649</v>
      </c>
      <c r="D1056" s="3" t="s">
        <v>2705</v>
      </c>
      <c r="E1056" s="8" t="s">
        <v>4483</v>
      </c>
    </row>
    <row r="1057" spans="1:5" ht="38.5" x14ac:dyDescent="0.35">
      <c r="A1057" s="3" t="s">
        <v>4481</v>
      </c>
      <c r="B1057" s="3" t="s">
        <v>2227</v>
      </c>
      <c r="C1057" s="3" t="s">
        <v>3651</v>
      </c>
      <c r="D1057" s="3" t="s">
        <v>2710</v>
      </c>
      <c r="E1057" s="8" t="s">
        <v>4484</v>
      </c>
    </row>
    <row r="1058" spans="1:5" ht="38.5" x14ac:dyDescent="0.35">
      <c r="A1058" s="3" t="s">
        <v>4481</v>
      </c>
      <c r="B1058" s="3" t="s">
        <v>2227</v>
      </c>
      <c r="C1058" s="3" t="s">
        <v>3879</v>
      </c>
      <c r="D1058" s="3" t="s">
        <v>2717</v>
      </c>
      <c r="E1058" s="8" t="s">
        <v>4485</v>
      </c>
    </row>
    <row r="1059" spans="1:5" ht="38.5" x14ac:dyDescent="0.35">
      <c r="A1059" s="3" t="s">
        <v>4481</v>
      </c>
      <c r="B1059" s="3" t="s">
        <v>2227</v>
      </c>
      <c r="C1059" s="3" t="s">
        <v>4486</v>
      </c>
      <c r="D1059" s="3" t="s">
        <v>2723</v>
      </c>
      <c r="E1059" s="8" t="s">
        <v>4487</v>
      </c>
    </row>
    <row r="1060" spans="1:5" ht="38.5" x14ac:dyDescent="0.35">
      <c r="A1060" s="3" t="s">
        <v>4481</v>
      </c>
      <c r="B1060" s="3" t="s">
        <v>2227</v>
      </c>
      <c r="C1060" s="3" t="s">
        <v>3295</v>
      </c>
      <c r="D1060" s="3" t="s">
        <v>2831</v>
      </c>
      <c r="E1060" s="8" t="s">
        <v>4488</v>
      </c>
    </row>
    <row r="1061" spans="1:5" ht="38.5" x14ac:dyDescent="0.35">
      <c r="A1061" s="3" t="s">
        <v>4489</v>
      </c>
      <c r="B1061" s="3" t="s">
        <v>2231</v>
      </c>
      <c r="C1061" s="3" t="s">
        <v>4490</v>
      </c>
      <c r="D1061" s="3" t="s">
        <v>2797</v>
      </c>
      <c r="E1061" s="8" t="s">
        <v>4491</v>
      </c>
    </row>
    <row r="1062" spans="1:5" ht="38.5" x14ac:dyDescent="0.35">
      <c r="A1062" s="3" t="s">
        <v>4492</v>
      </c>
      <c r="B1062" s="3" t="s">
        <v>2235</v>
      </c>
      <c r="C1062" s="3" t="s">
        <v>3515</v>
      </c>
      <c r="D1062" s="3" t="s">
        <v>2401</v>
      </c>
      <c r="E1062" s="8" t="s">
        <v>4493</v>
      </c>
    </row>
    <row r="1063" spans="1:5" ht="38.5" x14ac:dyDescent="0.35">
      <c r="A1063" s="3" t="s">
        <v>4492</v>
      </c>
      <c r="B1063" s="3" t="s">
        <v>2235</v>
      </c>
      <c r="C1063" s="3" t="s">
        <v>3517</v>
      </c>
      <c r="D1063" s="3" t="s">
        <v>2411</v>
      </c>
      <c r="E1063" s="8" t="s">
        <v>4493</v>
      </c>
    </row>
    <row r="1064" spans="1:5" ht="51" x14ac:dyDescent="0.35">
      <c r="A1064" s="3" t="s">
        <v>4494</v>
      </c>
      <c r="B1064" s="3" t="s">
        <v>2237</v>
      </c>
      <c r="C1064" s="3" t="s">
        <v>4495</v>
      </c>
      <c r="D1064" s="3" t="s">
        <v>2987</v>
      </c>
      <c r="E1064" s="8" t="s">
        <v>4496</v>
      </c>
    </row>
    <row r="1065" spans="1:5" ht="51" x14ac:dyDescent="0.35">
      <c r="A1065" s="3" t="s">
        <v>4494</v>
      </c>
      <c r="B1065" s="3" t="s">
        <v>2237</v>
      </c>
      <c r="C1065" s="3" t="s">
        <v>4137</v>
      </c>
      <c r="D1065" s="3" t="s">
        <v>2989</v>
      </c>
      <c r="E1065" s="8" t="s">
        <v>4496</v>
      </c>
    </row>
    <row r="1066" spans="1:5" ht="51" x14ac:dyDescent="0.35">
      <c r="A1066" s="3" t="s">
        <v>4494</v>
      </c>
      <c r="B1066" s="3" t="s">
        <v>2237</v>
      </c>
      <c r="C1066" s="3" t="s">
        <v>3321</v>
      </c>
      <c r="D1066" s="3" t="s">
        <v>3257</v>
      </c>
      <c r="E1066" s="8" t="s">
        <v>4496</v>
      </c>
    </row>
    <row r="1067" spans="1:5" ht="38.5" x14ac:dyDescent="0.35">
      <c r="A1067" s="3" t="s">
        <v>4497</v>
      </c>
      <c r="B1067" s="3" t="s">
        <v>2241</v>
      </c>
      <c r="C1067" s="3" t="s">
        <v>3295</v>
      </c>
      <c r="D1067" s="3" t="s">
        <v>2831</v>
      </c>
      <c r="E1067" s="8" t="s">
        <v>4498</v>
      </c>
    </row>
    <row r="1068" spans="1:5" x14ac:dyDescent="0.35">
      <c r="A1068" s="6" t="s">
        <v>55</v>
      </c>
      <c r="B1068" s="6"/>
      <c r="C1068" s="6"/>
      <c r="D1068" s="6"/>
      <c r="E1068" s="6"/>
    </row>
  </sheetData>
  <pageMargins left="0.75" right="0.75" top="1" bottom="1" header="0.5" footer="0.5"/>
  <ignoredErrors>
    <ignoredError sqref="D4: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defaultRowHeight="14.5" x14ac:dyDescent="0.35"/>
  <cols>
    <col min="1" max="1" width="60" customWidth="1"/>
    <col min="2" max="9" width="15" customWidth="1"/>
  </cols>
  <sheetData>
    <row r="1" spans="1:9" ht="15" thickBot="1" x14ac:dyDescent="0.4">
      <c r="A1" s="1" t="s">
        <v>4917</v>
      </c>
    </row>
    <row r="2" spans="1:9" ht="40.5" thickTop="1" thickBot="1" x14ac:dyDescent="0.4">
      <c r="A2" s="2" t="s">
        <v>0</v>
      </c>
      <c r="B2" s="2" t="s">
        <v>1</v>
      </c>
      <c r="C2" s="2" t="s">
        <v>4499</v>
      </c>
      <c r="D2" s="2" t="s">
        <v>2357</v>
      </c>
      <c r="E2" s="2" t="s">
        <v>2365</v>
      </c>
      <c r="F2" s="2" t="s">
        <v>2361</v>
      </c>
      <c r="G2" s="2" t="s">
        <v>2353</v>
      </c>
      <c r="H2" s="2" t="s">
        <v>2359</v>
      </c>
      <c r="I2" s="2" t="s">
        <v>2367</v>
      </c>
    </row>
    <row r="3" spans="1:9" ht="15" thickTop="1" x14ac:dyDescent="0.35">
      <c r="A3" s="3" t="s">
        <v>6</v>
      </c>
      <c r="B3" s="3" t="s">
        <v>7</v>
      </c>
      <c r="C3" s="4">
        <v>7.7</v>
      </c>
      <c r="D3" s="4">
        <v>23.1</v>
      </c>
      <c r="E3" s="4">
        <v>19.5</v>
      </c>
      <c r="F3" s="4">
        <v>9.5</v>
      </c>
      <c r="G3" s="4">
        <v>24.5</v>
      </c>
      <c r="H3" s="4">
        <v>11.2</v>
      </c>
      <c r="I3" s="4">
        <v>4.5999999999999996</v>
      </c>
    </row>
    <row r="4" spans="1:9" x14ac:dyDescent="0.35">
      <c r="A4" s="3" t="s">
        <v>4928</v>
      </c>
      <c r="B4" s="3" t="s">
        <v>64</v>
      </c>
      <c r="C4" s="4">
        <v>1.7</v>
      </c>
      <c r="D4" s="4">
        <v>8</v>
      </c>
      <c r="E4" s="4">
        <v>13.8</v>
      </c>
      <c r="F4" s="4">
        <v>4.8</v>
      </c>
      <c r="G4" s="4">
        <v>40.200000000000003</v>
      </c>
      <c r="H4" s="4">
        <v>24.8</v>
      </c>
      <c r="I4" s="4">
        <v>6.7</v>
      </c>
    </row>
    <row r="5" spans="1:9" x14ac:dyDescent="0.35">
      <c r="A5" s="3" t="s">
        <v>4500</v>
      </c>
      <c r="B5" s="3" t="s">
        <v>67</v>
      </c>
      <c r="C5" s="4">
        <v>2.9</v>
      </c>
      <c r="D5" s="4">
        <v>17.100000000000001</v>
      </c>
      <c r="E5" s="4">
        <v>23.7</v>
      </c>
      <c r="F5" s="4">
        <v>10.4</v>
      </c>
      <c r="G5" s="4">
        <v>33</v>
      </c>
      <c r="H5" s="4">
        <v>11.3</v>
      </c>
      <c r="I5" s="4">
        <v>1.6</v>
      </c>
    </row>
    <row r="6" spans="1:9" x14ac:dyDescent="0.35">
      <c r="A6" s="3" t="s">
        <v>4929</v>
      </c>
      <c r="B6" s="3" t="s">
        <v>69</v>
      </c>
      <c r="C6" s="4">
        <v>1.7</v>
      </c>
      <c r="D6" s="4">
        <v>8</v>
      </c>
      <c r="E6" s="4">
        <v>13.8</v>
      </c>
      <c r="F6" s="4">
        <v>4.8</v>
      </c>
      <c r="G6" s="4">
        <v>40.200000000000003</v>
      </c>
      <c r="H6" s="4">
        <v>24.8</v>
      </c>
      <c r="I6" s="4">
        <v>6.7</v>
      </c>
    </row>
    <row r="7" spans="1:9" x14ac:dyDescent="0.35">
      <c r="A7" s="3" t="s">
        <v>3272</v>
      </c>
      <c r="B7" s="3" t="s">
        <v>73</v>
      </c>
      <c r="C7" s="4">
        <v>1.4</v>
      </c>
      <c r="D7" s="4">
        <v>3.8</v>
      </c>
      <c r="E7" s="4">
        <v>8.1999999999999993</v>
      </c>
      <c r="F7" s="4">
        <v>4.5999999999999996</v>
      </c>
      <c r="G7" s="4">
        <v>65.599999999999994</v>
      </c>
      <c r="H7" s="4">
        <v>14.6</v>
      </c>
      <c r="I7" s="4">
        <v>1.9</v>
      </c>
    </row>
    <row r="8" spans="1:9" x14ac:dyDescent="0.35">
      <c r="A8" s="3" t="s">
        <v>3275</v>
      </c>
      <c r="B8" s="3" t="s">
        <v>77</v>
      </c>
      <c r="C8" s="4">
        <v>0.8</v>
      </c>
      <c r="D8" s="4">
        <v>3.7</v>
      </c>
      <c r="E8" s="4">
        <v>8.5</v>
      </c>
      <c r="F8" s="4">
        <v>4.7</v>
      </c>
      <c r="G8" s="4">
        <v>56.7</v>
      </c>
      <c r="H8" s="4">
        <v>23.6</v>
      </c>
      <c r="I8" s="4">
        <v>2</v>
      </c>
    </row>
    <row r="9" spans="1:9" x14ac:dyDescent="0.35">
      <c r="A9" s="3" t="s">
        <v>3279</v>
      </c>
      <c r="B9" s="3" t="s">
        <v>79</v>
      </c>
      <c r="C9" s="4">
        <v>1.2</v>
      </c>
      <c r="D9" s="4">
        <v>10.7</v>
      </c>
      <c r="E9" s="4">
        <v>19.100000000000001</v>
      </c>
      <c r="F9" s="4">
        <v>8.5</v>
      </c>
      <c r="G9" s="4">
        <v>47.2</v>
      </c>
      <c r="H9" s="4">
        <v>12</v>
      </c>
      <c r="I9" s="4">
        <v>1.3</v>
      </c>
    </row>
    <row r="10" spans="1:9" x14ac:dyDescent="0.35">
      <c r="A10" s="3" t="s">
        <v>4930</v>
      </c>
      <c r="B10" s="3" t="s">
        <v>83</v>
      </c>
      <c r="C10" s="4">
        <v>0.2</v>
      </c>
      <c r="D10" s="4">
        <v>4.2</v>
      </c>
      <c r="E10" s="4">
        <v>5.0999999999999996</v>
      </c>
      <c r="F10" s="4">
        <v>3</v>
      </c>
      <c r="G10" s="4">
        <v>54.3</v>
      </c>
      <c r="H10" s="4">
        <v>28.7</v>
      </c>
      <c r="I10" s="4">
        <v>4.5</v>
      </c>
    </row>
    <row r="11" spans="1:9" x14ac:dyDescent="0.35">
      <c r="A11" s="3" t="s">
        <v>4931</v>
      </c>
      <c r="B11" s="3" t="s">
        <v>85</v>
      </c>
      <c r="C11" s="4">
        <v>0.2</v>
      </c>
      <c r="D11" s="4">
        <v>4.2</v>
      </c>
      <c r="E11" s="4">
        <v>5.0999999999999996</v>
      </c>
      <c r="F11" s="4">
        <v>3</v>
      </c>
      <c r="G11" s="4">
        <v>54.3</v>
      </c>
      <c r="H11" s="4">
        <v>28.7</v>
      </c>
      <c r="I11" s="4">
        <v>4.5</v>
      </c>
    </row>
    <row r="12" spans="1:9" x14ac:dyDescent="0.35">
      <c r="A12" s="3" t="s">
        <v>4504</v>
      </c>
      <c r="B12" s="3" t="s">
        <v>91</v>
      </c>
      <c r="C12" s="4">
        <v>0.8</v>
      </c>
      <c r="D12" s="4">
        <v>12.3</v>
      </c>
      <c r="E12" s="4">
        <v>19.399999999999999</v>
      </c>
      <c r="F12" s="4">
        <v>12.5</v>
      </c>
      <c r="G12" s="4">
        <v>36.5</v>
      </c>
      <c r="H12" s="4">
        <v>16.3</v>
      </c>
      <c r="I12" s="4">
        <v>2.2000000000000002</v>
      </c>
    </row>
    <row r="13" spans="1:9" x14ac:dyDescent="0.35">
      <c r="A13" s="3" t="s">
        <v>4505</v>
      </c>
      <c r="B13" s="3" t="s">
        <v>93</v>
      </c>
      <c r="C13" s="4">
        <v>2.6</v>
      </c>
      <c r="D13" s="4">
        <v>22</v>
      </c>
      <c r="E13" s="4">
        <v>25.4</v>
      </c>
      <c r="F13" s="4">
        <v>11.5</v>
      </c>
      <c r="G13" s="4">
        <v>28.9</v>
      </c>
      <c r="H13" s="4">
        <v>8.1</v>
      </c>
      <c r="I13" s="4">
        <v>1.5</v>
      </c>
    </row>
    <row r="14" spans="1:9" x14ac:dyDescent="0.35">
      <c r="A14" s="3" t="s">
        <v>3281</v>
      </c>
      <c r="B14" s="3" t="s">
        <v>95</v>
      </c>
      <c r="C14" s="4">
        <v>0.5</v>
      </c>
      <c r="D14" s="4">
        <v>4.2</v>
      </c>
      <c r="E14" s="4">
        <v>13.2</v>
      </c>
      <c r="F14" s="4">
        <v>7.9</v>
      </c>
      <c r="G14" s="4">
        <v>45.3</v>
      </c>
      <c r="H14" s="4">
        <v>26</v>
      </c>
      <c r="I14" s="4">
        <v>2.9</v>
      </c>
    </row>
    <row r="15" spans="1:9" x14ac:dyDescent="0.35">
      <c r="A15" s="3" t="s">
        <v>3283</v>
      </c>
      <c r="B15" s="3" t="s">
        <v>97</v>
      </c>
      <c r="C15" s="4">
        <v>1.1000000000000001</v>
      </c>
      <c r="D15" s="4">
        <v>10.3</v>
      </c>
      <c r="E15" s="4">
        <v>17.2</v>
      </c>
      <c r="F15" s="4">
        <v>7.7</v>
      </c>
      <c r="G15" s="4">
        <v>41.8</v>
      </c>
      <c r="H15" s="4">
        <v>19.5</v>
      </c>
      <c r="I15" s="4">
        <v>2.2000000000000002</v>
      </c>
    </row>
    <row r="16" spans="1:9" x14ac:dyDescent="0.35">
      <c r="A16" s="3" t="s">
        <v>4506</v>
      </c>
      <c r="B16" s="3" t="s">
        <v>99</v>
      </c>
      <c r="C16" s="4">
        <v>3.8</v>
      </c>
      <c r="D16" s="4">
        <v>19.399999999999999</v>
      </c>
      <c r="E16" s="4">
        <v>20.7</v>
      </c>
      <c r="F16" s="4">
        <v>9.3000000000000007</v>
      </c>
      <c r="G16" s="4">
        <v>33.299999999999997</v>
      </c>
      <c r="H16" s="4">
        <v>11.8</v>
      </c>
      <c r="I16" s="4">
        <v>1.7</v>
      </c>
    </row>
    <row r="17" spans="1:9" x14ac:dyDescent="0.35">
      <c r="A17" s="3" t="s">
        <v>4507</v>
      </c>
      <c r="B17" s="3" t="s">
        <v>101</v>
      </c>
      <c r="C17" s="4">
        <v>1.5</v>
      </c>
      <c r="D17" s="4">
        <v>10.7</v>
      </c>
      <c r="E17" s="4">
        <v>17.2</v>
      </c>
      <c r="F17" s="4">
        <v>7.8</v>
      </c>
      <c r="G17" s="4">
        <v>41.8</v>
      </c>
      <c r="H17" s="4">
        <v>17.8</v>
      </c>
      <c r="I17" s="4">
        <v>3.2</v>
      </c>
    </row>
    <row r="18" spans="1:9" x14ac:dyDescent="0.35">
      <c r="A18" s="3" t="s">
        <v>3287</v>
      </c>
      <c r="B18" s="3" t="s">
        <v>103</v>
      </c>
      <c r="C18" s="4">
        <v>5.2</v>
      </c>
      <c r="D18" s="4">
        <v>27.9</v>
      </c>
      <c r="E18" s="4">
        <v>25.3</v>
      </c>
      <c r="F18" s="4">
        <v>10</v>
      </c>
      <c r="G18" s="4">
        <v>23.7</v>
      </c>
      <c r="H18" s="4">
        <v>7.4</v>
      </c>
      <c r="I18" s="4">
        <v>0.6</v>
      </c>
    </row>
    <row r="19" spans="1:9" x14ac:dyDescent="0.35">
      <c r="A19" s="3" t="s">
        <v>3297</v>
      </c>
      <c r="B19" s="3" t="s">
        <v>105</v>
      </c>
      <c r="C19" s="4">
        <v>0.4</v>
      </c>
      <c r="D19" s="4">
        <v>10.4</v>
      </c>
      <c r="E19" s="4">
        <v>12.5</v>
      </c>
      <c r="F19" s="4">
        <v>2.7</v>
      </c>
      <c r="G19" s="4">
        <v>54.1</v>
      </c>
      <c r="H19" s="4">
        <v>17.600000000000001</v>
      </c>
      <c r="I19" s="4">
        <v>2.2000000000000002</v>
      </c>
    </row>
    <row r="20" spans="1:9" x14ac:dyDescent="0.35">
      <c r="A20" s="3" t="s">
        <v>4508</v>
      </c>
      <c r="B20" s="3" t="s">
        <v>107</v>
      </c>
      <c r="C20" s="4">
        <v>0.9</v>
      </c>
      <c r="D20" s="4">
        <v>6.4</v>
      </c>
      <c r="E20" s="4">
        <v>13.4</v>
      </c>
      <c r="F20" s="4">
        <v>7.4</v>
      </c>
      <c r="G20" s="4">
        <v>43.6</v>
      </c>
      <c r="H20" s="4">
        <v>25.1</v>
      </c>
      <c r="I20" s="4">
        <v>3.2</v>
      </c>
    </row>
    <row r="21" spans="1:9" x14ac:dyDescent="0.35">
      <c r="A21" s="3" t="s">
        <v>4509</v>
      </c>
      <c r="B21" s="3" t="s">
        <v>109</v>
      </c>
      <c r="C21" s="4">
        <v>1.6</v>
      </c>
      <c r="D21" s="4">
        <v>7.7</v>
      </c>
      <c r="E21" s="4">
        <v>16.3</v>
      </c>
      <c r="F21" s="4">
        <v>8</v>
      </c>
      <c r="G21" s="4">
        <v>37.9</v>
      </c>
      <c r="H21" s="4">
        <v>24.1</v>
      </c>
      <c r="I21" s="4">
        <v>4.4000000000000004</v>
      </c>
    </row>
    <row r="22" spans="1:9" x14ac:dyDescent="0.35">
      <c r="A22" s="3" t="s">
        <v>4510</v>
      </c>
      <c r="B22" s="3" t="s">
        <v>113</v>
      </c>
      <c r="C22" s="4">
        <v>10.9</v>
      </c>
      <c r="D22" s="4">
        <v>33.799999999999997</v>
      </c>
      <c r="E22" s="4">
        <v>19.3</v>
      </c>
      <c r="F22" s="4">
        <v>10.7</v>
      </c>
      <c r="G22" s="4">
        <v>20.9</v>
      </c>
      <c r="H22" s="4">
        <v>3.4</v>
      </c>
      <c r="I22" s="4">
        <v>1.1000000000000001</v>
      </c>
    </row>
    <row r="23" spans="1:9" x14ac:dyDescent="0.35">
      <c r="A23" s="3" t="s">
        <v>3301</v>
      </c>
      <c r="B23" s="3" t="s">
        <v>115</v>
      </c>
      <c r="C23" s="4">
        <v>7.3</v>
      </c>
      <c r="D23" s="4">
        <v>27.9</v>
      </c>
      <c r="E23" s="4">
        <v>22.5</v>
      </c>
      <c r="F23" s="4">
        <v>8.6999999999999993</v>
      </c>
      <c r="G23" s="4">
        <v>26.8</v>
      </c>
      <c r="H23" s="4">
        <v>5.9</v>
      </c>
      <c r="I23" s="4">
        <v>0.9</v>
      </c>
    </row>
    <row r="24" spans="1:9" x14ac:dyDescent="0.35">
      <c r="A24" s="3" t="s">
        <v>4932</v>
      </c>
      <c r="B24" s="3" t="s">
        <v>119</v>
      </c>
      <c r="C24" s="4">
        <v>0.8</v>
      </c>
      <c r="D24" s="4">
        <v>4.5999999999999996</v>
      </c>
      <c r="E24" s="4">
        <v>7.1</v>
      </c>
      <c r="F24" s="4">
        <v>4.8</v>
      </c>
      <c r="G24" s="4">
        <v>24.6</v>
      </c>
      <c r="H24" s="4">
        <v>44.2</v>
      </c>
      <c r="I24" s="4">
        <v>13.8</v>
      </c>
    </row>
    <row r="25" spans="1:9" x14ac:dyDescent="0.35">
      <c r="A25" s="3" t="s">
        <v>4933</v>
      </c>
      <c r="B25" s="3" t="s">
        <v>121</v>
      </c>
      <c r="C25" s="4">
        <v>0.8</v>
      </c>
      <c r="D25" s="4">
        <v>4.5999999999999996</v>
      </c>
      <c r="E25" s="4">
        <v>7.1</v>
      </c>
      <c r="F25" s="4">
        <v>4.8</v>
      </c>
      <c r="G25" s="4">
        <v>24.6</v>
      </c>
      <c r="H25" s="4">
        <v>44.2</v>
      </c>
      <c r="I25" s="4">
        <v>13.8</v>
      </c>
    </row>
    <row r="26" spans="1:9" x14ac:dyDescent="0.35">
      <c r="A26" s="3" t="s">
        <v>4934</v>
      </c>
      <c r="B26" s="3" t="s">
        <v>123</v>
      </c>
      <c r="C26" s="4">
        <v>0.8</v>
      </c>
      <c r="D26" s="4">
        <v>4.5999999999999996</v>
      </c>
      <c r="E26" s="4">
        <v>7.1</v>
      </c>
      <c r="F26" s="4">
        <v>4.8</v>
      </c>
      <c r="G26" s="4">
        <v>24.6</v>
      </c>
      <c r="H26" s="4">
        <v>44.2</v>
      </c>
      <c r="I26" s="4">
        <v>13.8</v>
      </c>
    </row>
    <row r="27" spans="1:9" x14ac:dyDescent="0.35">
      <c r="A27" s="3" t="s">
        <v>4935</v>
      </c>
      <c r="B27" s="3" t="s">
        <v>125</v>
      </c>
      <c r="C27" s="4">
        <v>0.8</v>
      </c>
      <c r="D27" s="4">
        <v>4.5999999999999996</v>
      </c>
      <c r="E27" s="4">
        <v>7.1</v>
      </c>
      <c r="F27" s="4">
        <v>4.8</v>
      </c>
      <c r="G27" s="4">
        <v>24.6</v>
      </c>
      <c r="H27" s="4">
        <v>44.2</v>
      </c>
      <c r="I27" s="4">
        <v>13.8</v>
      </c>
    </row>
    <row r="28" spans="1:9" x14ac:dyDescent="0.35">
      <c r="A28" s="3" t="s">
        <v>4515</v>
      </c>
      <c r="B28" s="3" t="s">
        <v>127</v>
      </c>
      <c r="C28" s="4">
        <v>0.4</v>
      </c>
      <c r="D28" s="4">
        <v>4.4000000000000004</v>
      </c>
      <c r="E28" s="4">
        <v>7</v>
      </c>
      <c r="F28" s="4">
        <v>4.7</v>
      </c>
      <c r="G28" s="4">
        <v>47.7</v>
      </c>
      <c r="H28" s="4">
        <v>30.2</v>
      </c>
      <c r="I28" s="4">
        <v>5.5</v>
      </c>
    </row>
    <row r="29" spans="1:9" x14ac:dyDescent="0.35">
      <c r="A29" s="3" t="s">
        <v>3304</v>
      </c>
      <c r="B29" s="3" t="s">
        <v>129</v>
      </c>
      <c r="C29" s="4">
        <v>9.6</v>
      </c>
      <c r="D29" s="4">
        <v>28.6</v>
      </c>
      <c r="E29" s="4">
        <v>25.7</v>
      </c>
      <c r="F29" s="4">
        <v>9.9</v>
      </c>
      <c r="G29" s="4">
        <v>21.9</v>
      </c>
      <c r="H29" s="4">
        <v>3.6</v>
      </c>
      <c r="I29" s="4">
        <v>0.7</v>
      </c>
    </row>
    <row r="30" spans="1:9" x14ac:dyDescent="0.35">
      <c r="A30" s="3" t="s">
        <v>4936</v>
      </c>
      <c r="B30" s="3" t="s">
        <v>133</v>
      </c>
      <c r="C30" s="4">
        <v>2.7</v>
      </c>
      <c r="D30" s="4">
        <v>16.100000000000001</v>
      </c>
      <c r="E30" s="4">
        <v>25.5</v>
      </c>
      <c r="F30" s="4">
        <v>9.1</v>
      </c>
      <c r="G30" s="4">
        <v>33.4</v>
      </c>
      <c r="H30" s="4">
        <v>12.4</v>
      </c>
      <c r="I30" s="4">
        <v>0.8</v>
      </c>
    </row>
    <row r="31" spans="1:9" x14ac:dyDescent="0.35">
      <c r="A31" s="3" t="s">
        <v>4937</v>
      </c>
      <c r="B31" s="3" t="s">
        <v>135</v>
      </c>
      <c r="C31" s="4">
        <v>2.7</v>
      </c>
      <c r="D31" s="4">
        <v>16.100000000000001</v>
      </c>
      <c r="E31" s="4">
        <v>25.5</v>
      </c>
      <c r="F31" s="4">
        <v>9.1</v>
      </c>
      <c r="G31" s="4">
        <v>33.4</v>
      </c>
      <c r="H31" s="4">
        <v>12.4</v>
      </c>
      <c r="I31" s="4">
        <v>0.8</v>
      </c>
    </row>
    <row r="32" spans="1:9" x14ac:dyDescent="0.35">
      <c r="A32" s="3" t="s">
        <v>4518</v>
      </c>
      <c r="B32" s="3" t="s">
        <v>137</v>
      </c>
      <c r="C32" s="4">
        <v>4.4000000000000004</v>
      </c>
      <c r="D32" s="4">
        <v>16.899999999999999</v>
      </c>
      <c r="E32" s="4">
        <v>23.2</v>
      </c>
      <c r="F32" s="4">
        <v>10.4</v>
      </c>
      <c r="G32" s="4">
        <v>35.200000000000003</v>
      </c>
      <c r="H32" s="4">
        <v>8.4</v>
      </c>
      <c r="I32" s="4">
        <v>1.4</v>
      </c>
    </row>
    <row r="33" spans="1:9" x14ac:dyDescent="0.35">
      <c r="A33" s="3" t="s">
        <v>3307</v>
      </c>
      <c r="B33" s="3" t="s">
        <v>139</v>
      </c>
      <c r="C33" s="4">
        <v>1.2</v>
      </c>
      <c r="D33" s="4">
        <v>8.3000000000000007</v>
      </c>
      <c r="E33" s="4">
        <v>14.4</v>
      </c>
      <c r="F33" s="4">
        <v>11.1</v>
      </c>
      <c r="G33" s="4">
        <v>32.799999999999997</v>
      </c>
      <c r="H33" s="4">
        <v>25.5</v>
      </c>
      <c r="I33" s="4">
        <v>6.7</v>
      </c>
    </row>
    <row r="34" spans="1:9" x14ac:dyDescent="0.35">
      <c r="A34" s="3" t="s">
        <v>4519</v>
      </c>
      <c r="B34" s="3" t="s">
        <v>141</v>
      </c>
      <c r="C34" s="4">
        <v>0.2</v>
      </c>
      <c r="D34" s="4">
        <v>1.8</v>
      </c>
      <c r="E34" s="4">
        <v>3</v>
      </c>
      <c r="F34" s="4">
        <v>3.7</v>
      </c>
      <c r="G34" s="4">
        <v>36.9</v>
      </c>
      <c r="H34" s="4">
        <v>33.9</v>
      </c>
      <c r="I34" s="4">
        <v>20.5</v>
      </c>
    </row>
    <row r="35" spans="1:9" x14ac:dyDescent="0.35">
      <c r="A35" s="3" t="s">
        <v>4938</v>
      </c>
      <c r="B35" s="3" t="s">
        <v>143</v>
      </c>
      <c r="C35" s="4">
        <v>3.5</v>
      </c>
      <c r="D35" s="4">
        <v>15.1</v>
      </c>
      <c r="E35" s="4">
        <v>17.5</v>
      </c>
      <c r="F35" s="4">
        <v>7.6</v>
      </c>
      <c r="G35" s="4">
        <v>35.1</v>
      </c>
      <c r="H35" s="4">
        <v>17.8</v>
      </c>
      <c r="I35" s="4">
        <v>3.5</v>
      </c>
    </row>
    <row r="36" spans="1:9" x14ac:dyDescent="0.35">
      <c r="A36" s="3" t="s">
        <v>4521</v>
      </c>
      <c r="B36" s="3" t="s">
        <v>145</v>
      </c>
      <c r="C36" s="4">
        <v>4.0999999999999996</v>
      </c>
      <c r="D36" s="4">
        <v>18.3</v>
      </c>
      <c r="E36" s="4">
        <v>24.2</v>
      </c>
      <c r="F36" s="4">
        <v>9.8000000000000007</v>
      </c>
      <c r="G36" s="4">
        <v>32.1</v>
      </c>
      <c r="H36" s="4">
        <v>9.1999999999999993</v>
      </c>
      <c r="I36" s="4">
        <v>2.2999999999999998</v>
      </c>
    </row>
    <row r="37" spans="1:9" x14ac:dyDescent="0.35">
      <c r="A37" s="3" t="s">
        <v>4522</v>
      </c>
      <c r="B37" s="3" t="s">
        <v>147</v>
      </c>
      <c r="C37" s="4">
        <v>1.1000000000000001</v>
      </c>
      <c r="D37" s="4">
        <v>6.6</v>
      </c>
      <c r="E37" s="4">
        <v>11.9</v>
      </c>
      <c r="F37" s="4">
        <v>5.7</v>
      </c>
      <c r="G37" s="4">
        <v>40.5</v>
      </c>
      <c r="H37" s="4">
        <v>28.8</v>
      </c>
      <c r="I37" s="4">
        <v>5.4</v>
      </c>
    </row>
    <row r="38" spans="1:9" x14ac:dyDescent="0.35">
      <c r="A38" s="3" t="s">
        <v>4523</v>
      </c>
      <c r="B38" s="3" t="s">
        <v>149</v>
      </c>
      <c r="C38" s="4">
        <v>1.6</v>
      </c>
      <c r="D38" s="4">
        <v>6.6</v>
      </c>
      <c r="E38" s="4">
        <v>15.1</v>
      </c>
      <c r="F38" s="4">
        <v>10.3</v>
      </c>
      <c r="G38" s="4">
        <v>38.299999999999997</v>
      </c>
      <c r="H38" s="4">
        <v>26.1</v>
      </c>
      <c r="I38" s="4">
        <v>2</v>
      </c>
    </row>
    <row r="39" spans="1:9" x14ac:dyDescent="0.35">
      <c r="A39" s="3" t="s">
        <v>4939</v>
      </c>
      <c r="B39" s="3" t="s">
        <v>153</v>
      </c>
      <c r="C39" s="4">
        <v>3.5</v>
      </c>
      <c r="D39" s="4">
        <v>15.1</v>
      </c>
      <c r="E39" s="4">
        <v>17.5</v>
      </c>
      <c r="F39" s="4">
        <v>7.6</v>
      </c>
      <c r="G39" s="4">
        <v>35.1</v>
      </c>
      <c r="H39" s="4">
        <v>17.8</v>
      </c>
      <c r="I39" s="4">
        <v>3.5</v>
      </c>
    </row>
    <row r="40" spans="1:9" x14ac:dyDescent="0.35">
      <c r="A40" s="3" t="s">
        <v>4940</v>
      </c>
      <c r="B40" s="3" t="s">
        <v>155</v>
      </c>
      <c r="C40" s="4">
        <v>3.5</v>
      </c>
      <c r="D40" s="4">
        <v>15.1</v>
      </c>
      <c r="E40" s="4">
        <v>17.5</v>
      </c>
      <c r="F40" s="4">
        <v>7.6</v>
      </c>
      <c r="G40" s="4">
        <v>35.1</v>
      </c>
      <c r="H40" s="4">
        <v>17.8</v>
      </c>
      <c r="I40" s="4">
        <v>3.5</v>
      </c>
    </row>
    <row r="41" spans="1:9" x14ac:dyDescent="0.35">
      <c r="A41" s="3" t="s">
        <v>4941</v>
      </c>
      <c r="B41" s="3" t="s">
        <v>157</v>
      </c>
      <c r="C41" s="4">
        <v>3.5</v>
      </c>
      <c r="D41" s="4">
        <v>15.1</v>
      </c>
      <c r="E41" s="4">
        <v>17.5</v>
      </c>
      <c r="F41" s="4">
        <v>7.6</v>
      </c>
      <c r="G41" s="4">
        <v>35.1</v>
      </c>
      <c r="H41" s="4">
        <v>17.8</v>
      </c>
      <c r="I41" s="4">
        <v>3.5</v>
      </c>
    </row>
    <row r="42" spans="1:9" x14ac:dyDescent="0.35">
      <c r="A42" s="3" t="s">
        <v>4527</v>
      </c>
      <c r="B42" s="3" t="s">
        <v>161</v>
      </c>
      <c r="C42" s="4">
        <v>2.2999999999999998</v>
      </c>
      <c r="D42" s="4">
        <v>9.9</v>
      </c>
      <c r="E42" s="4">
        <v>16.600000000000001</v>
      </c>
      <c r="F42" s="4">
        <v>4.5</v>
      </c>
      <c r="G42" s="4">
        <v>49.5</v>
      </c>
      <c r="H42" s="4">
        <v>12.4</v>
      </c>
      <c r="I42" s="4">
        <v>4.7</v>
      </c>
    </row>
    <row r="43" spans="1:9" x14ac:dyDescent="0.35">
      <c r="A43" s="3" t="s">
        <v>4942</v>
      </c>
      <c r="B43" s="3" t="s">
        <v>163</v>
      </c>
      <c r="C43" s="4">
        <v>2.8</v>
      </c>
      <c r="D43" s="4">
        <v>21</v>
      </c>
      <c r="E43" s="4">
        <v>22.7</v>
      </c>
      <c r="F43" s="4">
        <v>9.6999999999999993</v>
      </c>
      <c r="G43" s="4">
        <v>34.200000000000003</v>
      </c>
      <c r="H43" s="4">
        <v>8.5</v>
      </c>
      <c r="I43" s="4">
        <v>1.1000000000000001</v>
      </c>
    </row>
    <row r="44" spans="1:9" x14ac:dyDescent="0.35">
      <c r="A44" s="3" t="s">
        <v>4943</v>
      </c>
      <c r="B44" s="3" t="s">
        <v>167</v>
      </c>
      <c r="C44" s="4">
        <v>1.2</v>
      </c>
      <c r="D44" s="4">
        <v>13.9</v>
      </c>
      <c r="E44" s="4">
        <v>22.5</v>
      </c>
      <c r="F44" s="4">
        <v>11.6</v>
      </c>
      <c r="G44" s="4">
        <v>41.4</v>
      </c>
      <c r="H44" s="4">
        <v>7.7</v>
      </c>
      <c r="I44" s="4">
        <v>1.8</v>
      </c>
    </row>
    <row r="45" spans="1:9" x14ac:dyDescent="0.35">
      <c r="A45" s="3" t="s">
        <v>4944</v>
      </c>
      <c r="B45" s="3" t="s">
        <v>169</v>
      </c>
      <c r="C45" s="4">
        <v>1.2</v>
      </c>
      <c r="D45" s="4">
        <v>13.9</v>
      </c>
      <c r="E45" s="4">
        <v>22.5</v>
      </c>
      <c r="F45" s="4">
        <v>11.6</v>
      </c>
      <c r="G45" s="4">
        <v>41.4</v>
      </c>
      <c r="H45" s="4">
        <v>7.7</v>
      </c>
      <c r="I45" s="4">
        <v>1.8</v>
      </c>
    </row>
    <row r="46" spans="1:9" x14ac:dyDescent="0.35">
      <c r="A46" s="3" t="s">
        <v>4528</v>
      </c>
      <c r="B46" s="3" t="s">
        <v>171</v>
      </c>
      <c r="C46" s="4">
        <v>1.3</v>
      </c>
      <c r="D46" s="4">
        <v>8.8000000000000007</v>
      </c>
      <c r="E46" s="4">
        <v>17.5</v>
      </c>
      <c r="F46" s="4">
        <v>8.1999999999999993</v>
      </c>
      <c r="G46" s="4">
        <v>40.5</v>
      </c>
      <c r="H46" s="4">
        <v>17.600000000000001</v>
      </c>
      <c r="I46" s="4">
        <v>6.1</v>
      </c>
    </row>
    <row r="47" spans="1:9" x14ac:dyDescent="0.35">
      <c r="A47" s="3" t="s">
        <v>3326</v>
      </c>
      <c r="B47" s="3" t="s">
        <v>173</v>
      </c>
      <c r="C47" s="4">
        <v>2.9</v>
      </c>
      <c r="D47" s="4">
        <v>20.6</v>
      </c>
      <c r="E47" s="4">
        <v>27.2</v>
      </c>
      <c r="F47" s="4">
        <v>10.5</v>
      </c>
      <c r="G47" s="4">
        <v>32.5</v>
      </c>
      <c r="H47" s="4">
        <v>5.5</v>
      </c>
      <c r="I47" s="4">
        <v>0.8</v>
      </c>
    </row>
    <row r="48" spans="1:9" x14ac:dyDescent="0.35">
      <c r="A48" s="3" t="s">
        <v>4945</v>
      </c>
      <c r="B48" s="3" t="s">
        <v>177</v>
      </c>
      <c r="C48" s="4">
        <v>1.2</v>
      </c>
      <c r="D48" s="4">
        <v>8.6999999999999993</v>
      </c>
      <c r="E48" s="4">
        <v>16.399999999999999</v>
      </c>
      <c r="F48" s="4">
        <v>8.5</v>
      </c>
      <c r="G48" s="4">
        <v>45.4</v>
      </c>
      <c r="H48" s="4">
        <v>17.8</v>
      </c>
      <c r="I48" s="4">
        <v>2</v>
      </c>
    </row>
    <row r="49" spans="1:9" x14ac:dyDescent="0.35">
      <c r="A49" s="3" t="s">
        <v>4946</v>
      </c>
      <c r="B49" s="3" t="s">
        <v>179</v>
      </c>
      <c r="C49" s="4">
        <v>1.2</v>
      </c>
      <c r="D49" s="4">
        <v>8.6999999999999993</v>
      </c>
      <c r="E49" s="4">
        <v>16.399999999999999</v>
      </c>
      <c r="F49" s="4">
        <v>8.5</v>
      </c>
      <c r="G49" s="4">
        <v>45.4</v>
      </c>
      <c r="H49" s="4">
        <v>17.8</v>
      </c>
      <c r="I49" s="4">
        <v>2</v>
      </c>
    </row>
    <row r="50" spans="1:9" x14ac:dyDescent="0.35">
      <c r="A50" s="3" t="s">
        <v>4947</v>
      </c>
      <c r="B50" s="3" t="s">
        <v>181</v>
      </c>
      <c r="C50" s="4">
        <v>1.2</v>
      </c>
      <c r="D50" s="4">
        <v>8.6999999999999993</v>
      </c>
      <c r="E50" s="4">
        <v>16.399999999999999</v>
      </c>
      <c r="F50" s="4">
        <v>8.5</v>
      </c>
      <c r="G50" s="4">
        <v>45.4</v>
      </c>
      <c r="H50" s="4">
        <v>17.8</v>
      </c>
      <c r="I50" s="4">
        <v>2</v>
      </c>
    </row>
    <row r="51" spans="1:9" x14ac:dyDescent="0.35">
      <c r="A51" s="3" t="s">
        <v>3335</v>
      </c>
      <c r="B51" s="3" t="s">
        <v>185</v>
      </c>
      <c r="C51" s="4">
        <v>3.1</v>
      </c>
      <c r="D51" s="4">
        <v>15.5</v>
      </c>
      <c r="E51" s="4">
        <v>23.5</v>
      </c>
      <c r="F51" s="4">
        <v>11.7</v>
      </c>
      <c r="G51" s="4">
        <v>34.700000000000003</v>
      </c>
      <c r="H51" s="4">
        <v>10.8</v>
      </c>
      <c r="I51" s="4">
        <v>0.7</v>
      </c>
    </row>
    <row r="52" spans="1:9" x14ac:dyDescent="0.35">
      <c r="A52" s="3" t="s">
        <v>3341</v>
      </c>
      <c r="B52" s="3" t="s">
        <v>187</v>
      </c>
      <c r="C52" s="4">
        <v>0.9</v>
      </c>
      <c r="D52" s="4">
        <v>7</v>
      </c>
      <c r="E52" s="4">
        <v>13.1</v>
      </c>
      <c r="F52" s="4">
        <v>6.4</v>
      </c>
      <c r="G52" s="4">
        <v>46.7</v>
      </c>
      <c r="H52" s="4">
        <v>23.4</v>
      </c>
      <c r="I52" s="4">
        <v>2.5</v>
      </c>
    </row>
    <row r="53" spans="1:9" x14ac:dyDescent="0.35">
      <c r="A53" s="3" t="s">
        <v>3344</v>
      </c>
      <c r="B53" s="3" t="s">
        <v>189</v>
      </c>
      <c r="C53" s="4">
        <v>0.9</v>
      </c>
      <c r="D53" s="4">
        <v>4.5999999999999996</v>
      </c>
      <c r="E53" s="4">
        <v>10.9</v>
      </c>
      <c r="F53" s="4">
        <v>4.9000000000000004</v>
      </c>
      <c r="G53" s="4">
        <v>43.8</v>
      </c>
      <c r="H53" s="4">
        <v>29.1</v>
      </c>
      <c r="I53" s="4">
        <v>5.9</v>
      </c>
    </row>
    <row r="54" spans="1:9" x14ac:dyDescent="0.35">
      <c r="A54" s="3" t="s">
        <v>4530</v>
      </c>
      <c r="B54" s="3" t="s">
        <v>191</v>
      </c>
      <c r="C54" s="4">
        <v>1.4</v>
      </c>
      <c r="D54" s="4">
        <v>8.9</v>
      </c>
      <c r="E54" s="4">
        <v>16.399999999999999</v>
      </c>
      <c r="F54" s="4">
        <v>8</v>
      </c>
      <c r="G54" s="4">
        <v>51.9</v>
      </c>
      <c r="H54" s="4">
        <v>12.4</v>
      </c>
      <c r="I54" s="4">
        <v>1.2</v>
      </c>
    </row>
    <row r="55" spans="1:9" x14ac:dyDescent="0.35">
      <c r="A55" s="3" t="s">
        <v>4531</v>
      </c>
      <c r="B55" s="3" t="s">
        <v>193</v>
      </c>
      <c r="C55" s="4">
        <v>0.3</v>
      </c>
      <c r="D55" s="4">
        <v>2.9</v>
      </c>
      <c r="E55" s="4">
        <v>7</v>
      </c>
      <c r="F55" s="4">
        <v>2.1</v>
      </c>
      <c r="G55" s="4">
        <v>48.7</v>
      </c>
      <c r="H55" s="4">
        <v>34.6</v>
      </c>
      <c r="I55" s="4">
        <v>4.4000000000000004</v>
      </c>
    </row>
    <row r="56" spans="1:9" x14ac:dyDescent="0.35">
      <c r="A56" s="3" t="s">
        <v>4532</v>
      </c>
      <c r="B56" s="3" t="s">
        <v>195</v>
      </c>
      <c r="C56" s="4">
        <v>1</v>
      </c>
      <c r="D56" s="4">
        <v>12.6</v>
      </c>
      <c r="E56" s="4">
        <v>19.100000000000001</v>
      </c>
      <c r="F56" s="4">
        <v>11.6</v>
      </c>
      <c r="G56" s="4">
        <v>40.799999999999997</v>
      </c>
      <c r="H56" s="4">
        <v>13.3</v>
      </c>
      <c r="I56" s="4">
        <v>1.6</v>
      </c>
    </row>
    <row r="57" spans="1:9" x14ac:dyDescent="0.35">
      <c r="A57" s="3" t="s">
        <v>3347</v>
      </c>
      <c r="B57" s="3" t="s">
        <v>197</v>
      </c>
      <c r="C57" s="4">
        <v>2.2000000000000002</v>
      </c>
      <c r="D57" s="4">
        <v>13.3</v>
      </c>
      <c r="E57" s="4">
        <v>20.6</v>
      </c>
      <c r="F57" s="4">
        <v>9.5</v>
      </c>
      <c r="G57" s="4">
        <v>35</v>
      </c>
      <c r="H57" s="4">
        <v>17</v>
      </c>
      <c r="I57" s="4">
        <v>2.5</v>
      </c>
    </row>
    <row r="58" spans="1:9" x14ac:dyDescent="0.35">
      <c r="A58" s="3" t="s">
        <v>3349</v>
      </c>
      <c r="B58" s="3" t="s">
        <v>199</v>
      </c>
      <c r="C58" s="4">
        <v>0.8</v>
      </c>
      <c r="D58" s="4">
        <v>4.8</v>
      </c>
      <c r="E58" s="4">
        <v>9.8000000000000007</v>
      </c>
      <c r="F58" s="4">
        <v>5.4</v>
      </c>
      <c r="G58" s="4">
        <v>55.4</v>
      </c>
      <c r="H58" s="4">
        <v>21.2</v>
      </c>
      <c r="I58" s="4">
        <v>2.6</v>
      </c>
    </row>
    <row r="59" spans="1:9" x14ac:dyDescent="0.35">
      <c r="A59" s="3" t="s">
        <v>3353</v>
      </c>
      <c r="B59" s="3" t="s">
        <v>201</v>
      </c>
      <c r="C59" s="4">
        <v>1.2</v>
      </c>
      <c r="D59" s="4">
        <v>9.6999999999999993</v>
      </c>
      <c r="E59" s="4">
        <v>15.4</v>
      </c>
      <c r="F59" s="4">
        <v>9.3000000000000007</v>
      </c>
      <c r="G59" s="4">
        <v>41.7</v>
      </c>
      <c r="H59" s="4">
        <v>19.100000000000001</v>
      </c>
      <c r="I59" s="4">
        <v>3.5</v>
      </c>
    </row>
    <row r="60" spans="1:9" x14ac:dyDescent="0.35">
      <c r="A60" s="3" t="s">
        <v>4533</v>
      </c>
      <c r="B60" s="3" t="s">
        <v>205</v>
      </c>
      <c r="C60" s="4">
        <v>0</v>
      </c>
      <c r="D60" s="4">
        <v>2.4</v>
      </c>
      <c r="E60" s="4">
        <v>4</v>
      </c>
      <c r="F60" s="4">
        <v>7.2</v>
      </c>
      <c r="G60" s="4">
        <v>58.3</v>
      </c>
      <c r="H60" s="4">
        <v>24.7</v>
      </c>
      <c r="I60" s="4">
        <v>3.3</v>
      </c>
    </row>
    <row r="61" spans="1:9" x14ac:dyDescent="0.35">
      <c r="A61" s="3" t="s">
        <v>4534</v>
      </c>
      <c r="B61" s="3" t="s">
        <v>207</v>
      </c>
      <c r="C61" s="4">
        <v>0.4</v>
      </c>
      <c r="D61" s="4">
        <v>11</v>
      </c>
      <c r="E61" s="4">
        <v>23.1</v>
      </c>
      <c r="F61" s="4">
        <v>9.6999999999999993</v>
      </c>
      <c r="G61" s="4">
        <v>44.7</v>
      </c>
      <c r="H61" s="4">
        <v>9</v>
      </c>
      <c r="I61" s="4">
        <v>2</v>
      </c>
    </row>
    <row r="62" spans="1:9" x14ac:dyDescent="0.35">
      <c r="A62" s="3" t="s">
        <v>4535</v>
      </c>
      <c r="B62" s="3" t="s">
        <v>209</v>
      </c>
      <c r="C62" s="4">
        <v>0.3</v>
      </c>
      <c r="D62" s="4">
        <v>5.9</v>
      </c>
      <c r="E62" s="4">
        <v>11.6</v>
      </c>
      <c r="F62" s="4">
        <v>6.7</v>
      </c>
      <c r="G62" s="4">
        <v>42.5</v>
      </c>
      <c r="H62" s="4">
        <v>31.1</v>
      </c>
      <c r="I62" s="4">
        <v>2</v>
      </c>
    </row>
    <row r="63" spans="1:9" x14ac:dyDescent="0.35">
      <c r="A63" s="3" t="s">
        <v>3355</v>
      </c>
      <c r="B63" s="3" t="s">
        <v>211</v>
      </c>
      <c r="C63" s="4">
        <v>0.1</v>
      </c>
      <c r="D63" s="4">
        <v>7.9</v>
      </c>
      <c r="E63" s="4">
        <v>15.8</v>
      </c>
      <c r="F63" s="4">
        <v>9.3000000000000007</v>
      </c>
      <c r="G63" s="4">
        <v>50.5</v>
      </c>
      <c r="H63" s="4">
        <v>14.8</v>
      </c>
      <c r="I63" s="4">
        <v>1.6</v>
      </c>
    </row>
    <row r="64" spans="1:9" x14ac:dyDescent="0.35">
      <c r="A64" s="3" t="s">
        <v>3357</v>
      </c>
      <c r="B64" s="3" t="s">
        <v>215</v>
      </c>
      <c r="C64" s="4">
        <v>0.4</v>
      </c>
      <c r="D64" s="4">
        <v>2.7</v>
      </c>
      <c r="E64" s="4">
        <v>5.5</v>
      </c>
      <c r="F64" s="4">
        <v>2.7</v>
      </c>
      <c r="G64" s="4">
        <v>52.6</v>
      </c>
      <c r="H64" s="4">
        <v>32.799999999999997</v>
      </c>
      <c r="I64" s="4">
        <v>3.2</v>
      </c>
    </row>
    <row r="65" spans="1:9" x14ac:dyDescent="0.35">
      <c r="A65" s="3" t="s">
        <v>3360</v>
      </c>
      <c r="B65" s="3" t="s">
        <v>217</v>
      </c>
      <c r="C65" s="4">
        <v>0.5</v>
      </c>
      <c r="D65" s="4">
        <v>4.3</v>
      </c>
      <c r="E65" s="4">
        <v>9.9</v>
      </c>
      <c r="F65" s="4">
        <v>4.4000000000000004</v>
      </c>
      <c r="G65" s="4">
        <v>53.3</v>
      </c>
      <c r="H65" s="4">
        <v>22.2</v>
      </c>
      <c r="I65" s="4">
        <v>5.4</v>
      </c>
    </row>
    <row r="66" spans="1:9" x14ac:dyDescent="0.35">
      <c r="A66" s="3" t="s">
        <v>3363</v>
      </c>
      <c r="B66" s="3" t="s">
        <v>219</v>
      </c>
      <c r="C66" s="4">
        <v>0.9</v>
      </c>
      <c r="D66" s="4">
        <v>11.2</v>
      </c>
      <c r="E66" s="4">
        <v>18.5</v>
      </c>
      <c r="F66" s="4">
        <v>8.1</v>
      </c>
      <c r="G66" s="4">
        <v>50</v>
      </c>
      <c r="H66" s="4">
        <v>9.3000000000000007</v>
      </c>
      <c r="I66" s="4">
        <v>2</v>
      </c>
    </row>
    <row r="67" spans="1:9" x14ac:dyDescent="0.35">
      <c r="A67" s="3" t="s">
        <v>4948</v>
      </c>
      <c r="B67" s="3" t="s">
        <v>221</v>
      </c>
      <c r="C67" s="4">
        <v>0.6</v>
      </c>
      <c r="D67" s="4">
        <v>7.6</v>
      </c>
      <c r="E67" s="4">
        <v>13.2</v>
      </c>
      <c r="F67" s="4">
        <v>6.4</v>
      </c>
      <c r="G67" s="4">
        <v>44.2</v>
      </c>
      <c r="H67" s="4">
        <v>24.4</v>
      </c>
      <c r="I67" s="4">
        <v>3.7</v>
      </c>
    </row>
    <row r="68" spans="1:9" x14ac:dyDescent="0.35">
      <c r="A68" s="3" t="s">
        <v>3367</v>
      </c>
      <c r="B68" s="3" t="s">
        <v>223</v>
      </c>
      <c r="C68" s="4">
        <v>0.1</v>
      </c>
      <c r="D68" s="4">
        <v>5.3</v>
      </c>
      <c r="E68" s="4">
        <v>10</v>
      </c>
      <c r="F68" s="4">
        <v>9.4</v>
      </c>
      <c r="G68" s="4">
        <v>50.1</v>
      </c>
      <c r="H68" s="4">
        <v>19</v>
      </c>
      <c r="I68" s="4">
        <v>6.1</v>
      </c>
    </row>
    <row r="69" spans="1:9" x14ac:dyDescent="0.35">
      <c r="A69" s="3" t="s">
        <v>4949</v>
      </c>
      <c r="B69" s="3" t="s">
        <v>227</v>
      </c>
      <c r="C69" s="4">
        <v>1.1000000000000001</v>
      </c>
      <c r="D69" s="4">
        <v>13.4</v>
      </c>
      <c r="E69" s="4">
        <v>22.5</v>
      </c>
      <c r="F69" s="4">
        <v>10.4</v>
      </c>
      <c r="G69" s="4">
        <v>42</v>
      </c>
      <c r="H69" s="4">
        <v>9.6999999999999993</v>
      </c>
      <c r="I69" s="4">
        <v>0.9</v>
      </c>
    </row>
    <row r="70" spans="1:9" x14ac:dyDescent="0.35">
      <c r="A70" s="3" t="s">
        <v>4950</v>
      </c>
      <c r="B70" s="3" t="s">
        <v>229</v>
      </c>
      <c r="C70" s="4">
        <v>1.1000000000000001</v>
      </c>
      <c r="D70" s="4">
        <v>13.4</v>
      </c>
      <c r="E70" s="4">
        <v>22.5</v>
      </c>
      <c r="F70" s="4">
        <v>10.4</v>
      </c>
      <c r="G70" s="4">
        <v>42</v>
      </c>
      <c r="H70" s="4">
        <v>9.6999999999999993</v>
      </c>
      <c r="I70" s="4">
        <v>0.9</v>
      </c>
    </row>
    <row r="71" spans="1:9" x14ac:dyDescent="0.35">
      <c r="A71" s="3" t="s">
        <v>4538</v>
      </c>
      <c r="B71" s="3" t="s">
        <v>233</v>
      </c>
      <c r="C71" s="4">
        <v>0.6</v>
      </c>
      <c r="D71" s="4">
        <v>16.8</v>
      </c>
      <c r="E71" s="4">
        <v>22.2</v>
      </c>
      <c r="F71" s="4">
        <v>9.6</v>
      </c>
      <c r="G71" s="4">
        <v>38.700000000000003</v>
      </c>
      <c r="H71" s="4">
        <v>10.4</v>
      </c>
      <c r="I71" s="4">
        <v>1.6</v>
      </c>
    </row>
    <row r="72" spans="1:9" x14ac:dyDescent="0.35">
      <c r="A72" s="3" t="s">
        <v>4539</v>
      </c>
      <c r="B72" s="3" t="s">
        <v>235</v>
      </c>
      <c r="C72" s="4">
        <v>2.6</v>
      </c>
      <c r="D72" s="4">
        <v>11.7</v>
      </c>
      <c r="E72" s="4">
        <v>21.4</v>
      </c>
      <c r="F72" s="4">
        <v>9.9</v>
      </c>
      <c r="G72" s="4">
        <v>33.200000000000003</v>
      </c>
      <c r="H72" s="4">
        <v>16</v>
      </c>
      <c r="I72" s="4">
        <v>5.2</v>
      </c>
    </row>
    <row r="73" spans="1:9" x14ac:dyDescent="0.35">
      <c r="A73" s="3" t="s">
        <v>4951</v>
      </c>
      <c r="B73" s="3" t="s">
        <v>237</v>
      </c>
      <c r="C73" s="4">
        <v>0.6</v>
      </c>
      <c r="D73" s="4">
        <v>7.6</v>
      </c>
      <c r="E73" s="4">
        <v>13.2</v>
      </c>
      <c r="F73" s="4">
        <v>6.4</v>
      </c>
      <c r="G73" s="4">
        <v>44.2</v>
      </c>
      <c r="H73" s="4">
        <v>24.4</v>
      </c>
      <c r="I73" s="4">
        <v>3.7</v>
      </c>
    </row>
    <row r="74" spans="1:9" x14ac:dyDescent="0.35">
      <c r="A74" s="3" t="s">
        <v>3372</v>
      </c>
      <c r="B74" s="3" t="s">
        <v>243</v>
      </c>
      <c r="C74" s="4">
        <v>0.5</v>
      </c>
      <c r="D74" s="4">
        <v>4.9000000000000004</v>
      </c>
      <c r="E74" s="4">
        <v>12.6</v>
      </c>
      <c r="F74" s="4">
        <v>7.6</v>
      </c>
      <c r="G74" s="4">
        <v>48.4</v>
      </c>
      <c r="H74" s="4">
        <v>23.4</v>
      </c>
      <c r="I74" s="4">
        <v>2.5</v>
      </c>
    </row>
    <row r="75" spans="1:9" x14ac:dyDescent="0.35">
      <c r="A75" s="3" t="s">
        <v>3380</v>
      </c>
      <c r="B75" s="3" t="s">
        <v>245</v>
      </c>
      <c r="C75" s="4">
        <v>0.7</v>
      </c>
      <c r="D75" s="4">
        <v>3.6</v>
      </c>
      <c r="E75" s="4">
        <v>16.100000000000001</v>
      </c>
      <c r="F75" s="4">
        <v>10.4</v>
      </c>
      <c r="G75" s="4">
        <v>42.3</v>
      </c>
      <c r="H75" s="4">
        <v>25</v>
      </c>
      <c r="I75" s="4">
        <v>1.8</v>
      </c>
    </row>
    <row r="76" spans="1:9" x14ac:dyDescent="0.35">
      <c r="A76" s="3" t="s">
        <v>3382</v>
      </c>
      <c r="B76" s="3" t="s">
        <v>247</v>
      </c>
      <c r="C76" s="4">
        <v>0</v>
      </c>
      <c r="D76" s="4">
        <v>0.6</v>
      </c>
      <c r="E76" s="4">
        <v>2.7</v>
      </c>
      <c r="F76" s="4">
        <v>1.8</v>
      </c>
      <c r="G76" s="4">
        <v>39.1</v>
      </c>
      <c r="H76" s="4">
        <v>33.799999999999997</v>
      </c>
      <c r="I76" s="4">
        <v>22</v>
      </c>
    </row>
    <row r="77" spans="1:9" x14ac:dyDescent="0.35">
      <c r="A77" s="3" t="s">
        <v>4952</v>
      </c>
      <c r="B77" s="3" t="s">
        <v>251</v>
      </c>
      <c r="C77" s="4">
        <v>1.2</v>
      </c>
      <c r="D77" s="4">
        <v>10.3</v>
      </c>
      <c r="E77" s="4">
        <v>23.5</v>
      </c>
      <c r="F77" s="4">
        <v>15.7</v>
      </c>
      <c r="G77" s="4">
        <v>37.6</v>
      </c>
      <c r="H77" s="4">
        <v>10.5</v>
      </c>
      <c r="I77" s="4">
        <v>1.2</v>
      </c>
    </row>
    <row r="78" spans="1:9" x14ac:dyDescent="0.35">
      <c r="A78" s="3" t="s">
        <v>4953</v>
      </c>
      <c r="B78" s="3" t="s">
        <v>253</v>
      </c>
      <c r="C78" s="4">
        <v>1.2</v>
      </c>
      <c r="D78" s="4">
        <v>10.3</v>
      </c>
      <c r="E78" s="4">
        <v>23.5</v>
      </c>
      <c r="F78" s="4">
        <v>15.7</v>
      </c>
      <c r="G78" s="4">
        <v>37.6</v>
      </c>
      <c r="H78" s="4">
        <v>10.5</v>
      </c>
      <c r="I78" s="4">
        <v>1.2</v>
      </c>
    </row>
    <row r="79" spans="1:9" x14ac:dyDescent="0.35">
      <c r="A79" s="3" t="s">
        <v>3390</v>
      </c>
      <c r="B79" s="3" t="s">
        <v>257</v>
      </c>
      <c r="C79" s="4">
        <v>0.5</v>
      </c>
      <c r="D79" s="4">
        <v>6.2</v>
      </c>
      <c r="E79" s="4">
        <v>20.9</v>
      </c>
      <c r="F79" s="4">
        <v>15.8</v>
      </c>
      <c r="G79" s="4">
        <v>41.5</v>
      </c>
      <c r="H79" s="4">
        <v>14</v>
      </c>
      <c r="I79" s="4">
        <v>1.1000000000000001</v>
      </c>
    </row>
    <row r="80" spans="1:9" x14ac:dyDescent="0.35">
      <c r="A80" s="3" t="s">
        <v>4954</v>
      </c>
      <c r="B80" s="3" t="s">
        <v>259</v>
      </c>
      <c r="C80" s="4">
        <v>1</v>
      </c>
      <c r="D80" s="4">
        <v>7.2</v>
      </c>
      <c r="E80" s="4">
        <v>11.8</v>
      </c>
      <c r="F80" s="4">
        <v>6.7</v>
      </c>
      <c r="G80" s="4">
        <v>45.4</v>
      </c>
      <c r="H80" s="4">
        <v>25.8</v>
      </c>
      <c r="I80" s="4">
        <v>2.1</v>
      </c>
    </row>
    <row r="81" spans="1:9" x14ac:dyDescent="0.35">
      <c r="A81" s="3" t="s">
        <v>4955</v>
      </c>
      <c r="B81" s="3" t="s">
        <v>261</v>
      </c>
      <c r="C81" s="4">
        <v>1</v>
      </c>
      <c r="D81" s="4">
        <v>7.2</v>
      </c>
      <c r="E81" s="4">
        <v>11.8</v>
      </c>
      <c r="F81" s="4">
        <v>6.7</v>
      </c>
      <c r="G81" s="4">
        <v>45.4</v>
      </c>
      <c r="H81" s="4">
        <v>25.8</v>
      </c>
      <c r="I81" s="4">
        <v>2.1</v>
      </c>
    </row>
    <row r="82" spans="1:9" x14ac:dyDescent="0.35">
      <c r="A82" s="3" t="s">
        <v>3394</v>
      </c>
      <c r="B82" s="3" t="s">
        <v>263</v>
      </c>
      <c r="C82" s="4">
        <v>0.9</v>
      </c>
      <c r="D82" s="4">
        <v>7.4</v>
      </c>
      <c r="E82" s="4">
        <v>20.7</v>
      </c>
      <c r="F82" s="4">
        <v>16.2</v>
      </c>
      <c r="G82" s="4">
        <v>40.700000000000003</v>
      </c>
      <c r="H82" s="4">
        <v>13</v>
      </c>
      <c r="I82" s="4">
        <v>1.2</v>
      </c>
    </row>
    <row r="83" spans="1:9" x14ac:dyDescent="0.35">
      <c r="A83" s="3" t="s">
        <v>3396</v>
      </c>
      <c r="B83" s="3" t="s">
        <v>267</v>
      </c>
      <c r="C83" s="4">
        <v>1.1000000000000001</v>
      </c>
      <c r="D83" s="4">
        <v>5.2</v>
      </c>
      <c r="E83" s="4">
        <v>13.1</v>
      </c>
      <c r="F83" s="4">
        <v>7.6</v>
      </c>
      <c r="G83" s="4">
        <v>50.6</v>
      </c>
      <c r="H83" s="4">
        <v>19.5</v>
      </c>
      <c r="I83" s="4">
        <v>2.8</v>
      </c>
    </row>
    <row r="84" spans="1:9" x14ac:dyDescent="0.35">
      <c r="A84" s="3" t="s">
        <v>3399</v>
      </c>
      <c r="B84" s="3" t="s">
        <v>269</v>
      </c>
      <c r="C84" s="4">
        <v>0.5</v>
      </c>
      <c r="D84" s="4">
        <v>1.8</v>
      </c>
      <c r="E84" s="4">
        <v>7</v>
      </c>
      <c r="F84" s="4">
        <v>4.0999999999999996</v>
      </c>
      <c r="G84" s="4">
        <v>51.4</v>
      </c>
      <c r="H84" s="4">
        <v>31.1</v>
      </c>
      <c r="I84" s="4">
        <v>4.0999999999999996</v>
      </c>
    </row>
    <row r="85" spans="1:9" x14ac:dyDescent="0.35">
      <c r="A85" s="3" t="s">
        <v>3403</v>
      </c>
      <c r="B85" s="3" t="s">
        <v>271</v>
      </c>
      <c r="C85" s="4">
        <v>1.1000000000000001</v>
      </c>
      <c r="D85" s="4">
        <v>4</v>
      </c>
      <c r="E85" s="4">
        <v>13.4</v>
      </c>
      <c r="F85" s="4">
        <v>8.1999999999999993</v>
      </c>
      <c r="G85" s="4">
        <v>50.1</v>
      </c>
      <c r="H85" s="4">
        <v>20.7</v>
      </c>
      <c r="I85" s="4">
        <v>2.5</v>
      </c>
    </row>
    <row r="86" spans="1:9" x14ac:dyDescent="0.35">
      <c r="A86" s="3" t="s">
        <v>3405</v>
      </c>
      <c r="B86" s="3" t="s">
        <v>273</v>
      </c>
      <c r="C86" s="4">
        <v>0.9</v>
      </c>
      <c r="D86" s="4">
        <v>4.3</v>
      </c>
      <c r="E86" s="4">
        <v>14.8</v>
      </c>
      <c r="F86" s="4">
        <v>8.1999999999999993</v>
      </c>
      <c r="G86" s="4">
        <v>56.3</v>
      </c>
      <c r="H86" s="4">
        <v>14.3</v>
      </c>
      <c r="I86" s="4">
        <v>1.3</v>
      </c>
    </row>
    <row r="87" spans="1:9" x14ac:dyDescent="0.35">
      <c r="A87" s="3" t="s">
        <v>3407</v>
      </c>
      <c r="B87" s="3" t="s">
        <v>275</v>
      </c>
      <c r="C87" s="4">
        <v>0.5</v>
      </c>
      <c r="D87" s="4">
        <v>5.4</v>
      </c>
      <c r="E87" s="4">
        <v>13.2</v>
      </c>
      <c r="F87" s="4">
        <v>9.6</v>
      </c>
      <c r="G87" s="4">
        <v>53.6</v>
      </c>
      <c r="H87" s="4">
        <v>16.5</v>
      </c>
      <c r="I87" s="4">
        <v>1.2</v>
      </c>
    </row>
    <row r="88" spans="1:9" x14ac:dyDescent="0.35">
      <c r="A88" s="3" t="s">
        <v>3409</v>
      </c>
      <c r="B88" s="3" t="s">
        <v>277</v>
      </c>
      <c r="C88" s="4">
        <v>1.3</v>
      </c>
      <c r="D88" s="4">
        <v>9.8000000000000007</v>
      </c>
      <c r="E88" s="4">
        <v>21</v>
      </c>
      <c r="F88" s="4">
        <v>13.9</v>
      </c>
      <c r="G88" s="4">
        <v>38.6</v>
      </c>
      <c r="H88" s="4">
        <v>14</v>
      </c>
      <c r="I88" s="4">
        <v>1.4</v>
      </c>
    </row>
    <row r="89" spans="1:9" x14ac:dyDescent="0.35">
      <c r="A89" s="3" t="s">
        <v>3411</v>
      </c>
      <c r="B89" s="3" t="s">
        <v>281</v>
      </c>
      <c r="C89" s="4">
        <v>0</v>
      </c>
      <c r="D89" s="4">
        <v>0</v>
      </c>
      <c r="E89" s="4">
        <v>0.8</v>
      </c>
      <c r="F89" s="4">
        <v>0.2</v>
      </c>
      <c r="G89" s="4">
        <v>65.5</v>
      </c>
      <c r="H89" s="4">
        <v>22.3</v>
      </c>
      <c r="I89" s="4">
        <v>11.2</v>
      </c>
    </row>
    <row r="90" spans="1:9" x14ac:dyDescent="0.35">
      <c r="A90" s="3" t="s">
        <v>4956</v>
      </c>
      <c r="B90" s="3" t="s">
        <v>283</v>
      </c>
      <c r="C90" s="4">
        <v>0.5</v>
      </c>
      <c r="D90" s="4">
        <v>2.9</v>
      </c>
      <c r="E90" s="4">
        <v>6.4</v>
      </c>
      <c r="F90" s="4">
        <v>3.4</v>
      </c>
      <c r="G90" s="4">
        <v>38.700000000000003</v>
      </c>
      <c r="H90" s="4">
        <v>35.700000000000003</v>
      </c>
      <c r="I90" s="4">
        <v>12.4</v>
      </c>
    </row>
    <row r="91" spans="1:9" x14ac:dyDescent="0.35">
      <c r="A91" s="3" t="s">
        <v>3413</v>
      </c>
      <c r="B91" s="3" t="s">
        <v>285</v>
      </c>
      <c r="C91" s="4">
        <v>0.8</v>
      </c>
      <c r="D91" s="4">
        <v>6.3</v>
      </c>
      <c r="E91" s="4">
        <v>13.2</v>
      </c>
      <c r="F91" s="4">
        <v>6.6</v>
      </c>
      <c r="G91" s="4">
        <v>40.299999999999997</v>
      </c>
      <c r="H91" s="4">
        <v>28.6</v>
      </c>
      <c r="I91" s="4">
        <v>4.2</v>
      </c>
    </row>
    <row r="92" spans="1:9" x14ac:dyDescent="0.35">
      <c r="A92" s="3" t="s">
        <v>4957</v>
      </c>
      <c r="B92" s="3" t="s">
        <v>287</v>
      </c>
      <c r="C92" s="4">
        <v>0.5</v>
      </c>
      <c r="D92" s="4">
        <v>2.9</v>
      </c>
      <c r="E92" s="4">
        <v>6.4</v>
      </c>
      <c r="F92" s="4">
        <v>3.4</v>
      </c>
      <c r="G92" s="4">
        <v>38.700000000000003</v>
      </c>
      <c r="H92" s="4">
        <v>35.700000000000003</v>
      </c>
      <c r="I92" s="4">
        <v>12.4</v>
      </c>
    </row>
    <row r="93" spans="1:9" x14ac:dyDescent="0.35">
      <c r="A93" s="3" t="s">
        <v>4958</v>
      </c>
      <c r="B93" s="3" t="s">
        <v>289</v>
      </c>
      <c r="C93" s="4">
        <v>0.5</v>
      </c>
      <c r="D93" s="4">
        <v>2.9</v>
      </c>
      <c r="E93" s="4">
        <v>6.4</v>
      </c>
      <c r="F93" s="4">
        <v>3.4</v>
      </c>
      <c r="G93" s="4">
        <v>38.700000000000003</v>
      </c>
      <c r="H93" s="4">
        <v>35.700000000000003</v>
      </c>
      <c r="I93" s="4">
        <v>12.4</v>
      </c>
    </row>
    <row r="94" spans="1:9" x14ac:dyDescent="0.35">
      <c r="A94" s="3" t="s">
        <v>4959</v>
      </c>
      <c r="B94" s="3" t="s">
        <v>291</v>
      </c>
      <c r="C94" s="4">
        <v>0.5</v>
      </c>
      <c r="D94" s="4">
        <v>2.9</v>
      </c>
      <c r="E94" s="4">
        <v>6.4</v>
      </c>
      <c r="F94" s="4">
        <v>3.4</v>
      </c>
      <c r="G94" s="4">
        <v>38.700000000000003</v>
      </c>
      <c r="H94" s="4">
        <v>35.700000000000003</v>
      </c>
      <c r="I94" s="4">
        <v>12.4</v>
      </c>
    </row>
    <row r="95" spans="1:9" x14ac:dyDescent="0.35">
      <c r="A95" s="3" t="s">
        <v>3419</v>
      </c>
      <c r="B95" s="3" t="s">
        <v>297</v>
      </c>
      <c r="C95" s="4">
        <v>0.4</v>
      </c>
      <c r="D95" s="4">
        <v>1.4</v>
      </c>
      <c r="E95" s="4">
        <v>3.5</v>
      </c>
      <c r="F95" s="4">
        <v>2.6</v>
      </c>
      <c r="G95" s="4">
        <v>46.6</v>
      </c>
      <c r="H95" s="4">
        <v>37.9</v>
      </c>
      <c r="I95" s="4">
        <v>7.7</v>
      </c>
    </row>
    <row r="96" spans="1:9" x14ac:dyDescent="0.35">
      <c r="A96" s="3" t="s">
        <v>4543</v>
      </c>
      <c r="B96" s="3" t="s">
        <v>299</v>
      </c>
      <c r="C96" s="4">
        <v>1.9</v>
      </c>
      <c r="D96" s="4">
        <v>5.4</v>
      </c>
      <c r="E96" s="4">
        <v>5.4</v>
      </c>
      <c r="F96" s="4">
        <v>2.8</v>
      </c>
      <c r="G96" s="4">
        <v>59.4</v>
      </c>
      <c r="H96" s="4">
        <v>21.8</v>
      </c>
      <c r="I96" s="4">
        <v>3.3</v>
      </c>
    </row>
    <row r="97" spans="1:9" x14ac:dyDescent="0.35">
      <c r="A97" s="3" t="s">
        <v>4960</v>
      </c>
      <c r="B97" s="3" t="s">
        <v>303</v>
      </c>
      <c r="C97" s="4">
        <v>0.6</v>
      </c>
      <c r="D97" s="4">
        <v>4.5</v>
      </c>
      <c r="E97" s="4">
        <v>8.6</v>
      </c>
      <c r="F97" s="4">
        <v>10.199999999999999</v>
      </c>
      <c r="G97" s="4">
        <v>63.5</v>
      </c>
      <c r="H97" s="4">
        <v>9.6</v>
      </c>
      <c r="I97" s="4">
        <v>3</v>
      </c>
    </row>
    <row r="98" spans="1:9" x14ac:dyDescent="0.35">
      <c r="A98" s="3" t="s">
        <v>4961</v>
      </c>
      <c r="B98" s="3" t="s">
        <v>305</v>
      </c>
      <c r="C98" s="4">
        <v>0.6</v>
      </c>
      <c r="D98" s="4">
        <v>4.5</v>
      </c>
      <c r="E98" s="4">
        <v>8.6</v>
      </c>
      <c r="F98" s="4">
        <v>10.199999999999999</v>
      </c>
      <c r="G98" s="4">
        <v>63.5</v>
      </c>
      <c r="H98" s="4">
        <v>9.6</v>
      </c>
      <c r="I98" s="4">
        <v>3</v>
      </c>
    </row>
    <row r="99" spans="1:9" x14ac:dyDescent="0.35">
      <c r="A99" s="3" t="s">
        <v>3422</v>
      </c>
      <c r="B99" s="3" t="s">
        <v>309</v>
      </c>
      <c r="C99" s="4">
        <v>0.4</v>
      </c>
      <c r="D99" s="4">
        <v>1.7</v>
      </c>
      <c r="E99" s="4">
        <v>4.2</v>
      </c>
      <c r="F99" s="4">
        <v>4</v>
      </c>
      <c r="G99" s="4">
        <v>50.1</v>
      </c>
      <c r="H99" s="4">
        <v>32.5</v>
      </c>
      <c r="I99" s="4">
        <v>7.1</v>
      </c>
    </row>
    <row r="100" spans="1:9" x14ac:dyDescent="0.35">
      <c r="A100" s="3" t="s">
        <v>4962</v>
      </c>
      <c r="B100" s="3" t="s">
        <v>311</v>
      </c>
      <c r="C100" s="4">
        <v>0.4</v>
      </c>
      <c r="D100" s="4">
        <v>4.4000000000000004</v>
      </c>
      <c r="E100" s="4">
        <v>4.5999999999999996</v>
      </c>
      <c r="F100" s="4">
        <v>11.3</v>
      </c>
      <c r="G100" s="4">
        <v>43.3</v>
      </c>
      <c r="H100" s="4">
        <v>27.5</v>
      </c>
      <c r="I100" s="4">
        <v>8.5</v>
      </c>
    </row>
    <row r="101" spans="1:9" x14ac:dyDescent="0.35">
      <c r="A101" s="3" t="s">
        <v>4963</v>
      </c>
      <c r="B101" s="3" t="s">
        <v>313</v>
      </c>
      <c r="C101" s="4">
        <v>0.4</v>
      </c>
      <c r="D101" s="4">
        <v>4.4000000000000004</v>
      </c>
      <c r="E101" s="4">
        <v>4.5999999999999996</v>
      </c>
      <c r="F101" s="4">
        <v>11.3</v>
      </c>
      <c r="G101" s="4">
        <v>43.3</v>
      </c>
      <c r="H101" s="4">
        <v>27.5</v>
      </c>
      <c r="I101" s="4">
        <v>8.5</v>
      </c>
    </row>
    <row r="102" spans="1:9" x14ac:dyDescent="0.35">
      <c r="A102" s="3" t="s">
        <v>3427</v>
      </c>
      <c r="B102" s="3" t="s">
        <v>315</v>
      </c>
      <c r="C102" s="4">
        <v>1</v>
      </c>
      <c r="D102" s="4">
        <v>3.9</v>
      </c>
      <c r="E102" s="4">
        <v>3.9</v>
      </c>
      <c r="F102" s="4">
        <v>4.0999999999999996</v>
      </c>
      <c r="G102" s="4">
        <v>58.7</v>
      </c>
      <c r="H102" s="4">
        <v>22.3</v>
      </c>
      <c r="I102" s="4">
        <v>6</v>
      </c>
    </row>
    <row r="103" spans="1:9" x14ac:dyDescent="0.35">
      <c r="A103" s="3" t="s">
        <v>3430</v>
      </c>
      <c r="B103" s="3" t="s">
        <v>317</v>
      </c>
      <c r="C103" s="4">
        <v>0.7</v>
      </c>
      <c r="D103" s="4">
        <v>2.5</v>
      </c>
      <c r="E103" s="4">
        <v>4.3</v>
      </c>
      <c r="F103" s="4">
        <v>3.5</v>
      </c>
      <c r="G103" s="4">
        <v>58.7</v>
      </c>
      <c r="H103" s="4">
        <v>26</v>
      </c>
      <c r="I103" s="4">
        <v>4.4000000000000004</v>
      </c>
    </row>
    <row r="104" spans="1:9" x14ac:dyDescent="0.35">
      <c r="A104" s="3" t="s">
        <v>3433</v>
      </c>
      <c r="B104" s="3" t="s">
        <v>319</v>
      </c>
      <c r="C104" s="4">
        <v>0.8</v>
      </c>
      <c r="D104" s="4">
        <v>3.5</v>
      </c>
      <c r="E104" s="4">
        <v>9.1</v>
      </c>
      <c r="F104" s="4">
        <v>8.3000000000000007</v>
      </c>
      <c r="G104" s="4">
        <v>48.5</v>
      </c>
      <c r="H104" s="4">
        <v>25.3</v>
      </c>
      <c r="I104" s="4">
        <v>4.5</v>
      </c>
    </row>
    <row r="105" spans="1:9" x14ac:dyDescent="0.35">
      <c r="A105" s="3" t="s">
        <v>4964</v>
      </c>
      <c r="B105" s="3" t="s">
        <v>323</v>
      </c>
      <c r="C105" s="4">
        <v>0.5</v>
      </c>
      <c r="D105" s="4">
        <v>3.1</v>
      </c>
      <c r="E105" s="4">
        <v>6.2</v>
      </c>
      <c r="F105" s="4">
        <v>6.3</v>
      </c>
      <c r="G105" s="4">
        <v>50.2</v>
      </c>
      <c r="H105" s="4">
        <v>26.5</v>
      </c>
      <c r="I105" s="4">
        <v>7.1</v>
      </c>
    </row>
    <row r="106" spans="1:9" x14ac:dyDescent="0.35">
      <c r="A106" s="3" t="s">
        <v>4965</v>
      </c>
      <c r="B106" s="3" t="s">
        <v>325</v>
      </c>
      <c r="C106" s="4">
        <v>0.5</v>
      </c>
      <c r="D106" s="4">
        <v>3.1</v>
      </c>
      <c r="E106" s="4">
        <v>6.2</v>
      </c>
      <c r="F106" s="4">
        <v>6.3</v>
      </c>
      <c r="G106" s="4">
        <v>50.2</v>
      </c>
      <c r="H106" s="4">
        <v>26.5</v>
      </c>
      <c r="I106" s="4">
        <v>7.1</v>
      </c>
    </row>
    <row r="107" spans="1:9" x14ac:dyDescent="0.35">
      <c r="A107" s="3" t="s">
        <v>3448</v>
      </c>
      <c r="B107" s="3" t="s">
        <v>327</v>
      </c>
      <c r="C107" s="4">
        <v>0.3</v>
      </c>
      <c r="D107" s="4">
        <v>4.8</v>
      </c>
      <c r="E107" s="4">
        <v>2.6</v>
      </c>
      <c r="F107" s="4">
        <v>2.2999999999999998</v>
      </c>
      <c r="G107" s="4">
        <v>47.6</v>
      </c>
      <c r="H107" s="4">
        <v>38.5</v>
      </c>
      <c r="I107" s="4">
        <v>4</v>
      </c>
    </row>
    <row r="108" spans="1:9" x14ac:dyDescent="0.35">
      <c r="A108" s="3" t="s">
        <v>4966</v>
      </c>
      <c r="B108" s="3" t="s">
        <v>331</v>
      </c>
      <c r="C108" s="4">
        <v>0.9</v>
      </c>
      <c r="D108" s="4">
        <v>6.5</v>
      </c>
      <c r="E108" s="4">
        <v>11.2</v>
      </c>
      <c r="F108" s="4">
        <v>7.9</v>
      </c>
      <c r="G108" s="4">
        <v>51.6</v>
      </c>
      <c r="H108" s="4">
        <v>19.399999999999999</v>
      </c>
      <c r="I108" s="4">
        <v>2.6</v>
      </c>
    </row>
    <row r="109" spans="1:9" x14ac:dyDescent="0.35">
      <c r="A109" s="3" t="s">
        <v>4967</v>
      </c>
      <c r="B109" s="3" t="s">
        <v>333</v>
      </c>
      <c r="C109" s="4">
        <v>0.9</v>
      </c>
      <c r="D109" s="4">
        <v>6.5</v>
      </c>
      <c r="E109" s="4">
        <v>11.2</v>
      </c>
      <c r="F109" s="4">
        <v>7.9</v>
      </c>
      <c r="G109" s="4">
        <v>51.6</v>
      </c>
      <c r="H109" s="4">
        <v>19.399999999999999</v>
      </c>
      <c r="I109" s="4">
        <v>2.6</v>
      </c>
    </row>
    <row r="110" spans="1:9" x14ac:dyDescent="0.35">
      <c r="A110" s="3" t="s">
        <v>3452</v>
      </c>
      <c r="B110" s="3" t="s">
        <v>335</v>
      </c>
      <c r="C110" s="4">
        <v>3.3</v>
      </c>
      <c r="D110" s="4">
        <v>10.9</v>
      </c>
      <c r="E110" s="4">
        <v>7.8</v>
      </c>
      <c r="F110" s="4">
        <v>4.9000000000000004</v>
      </c>
      <c r="G110" s="4">
        <v>49.2</v>
      </c>
      <c r="H110" s="4">
        <v>21.8</v>
      </c>
      <c r="I110" s="4">
        <v>2</v>
      </c>
    </row>
    <row r="111" spans="1:9" x14ac:dyDescent="0.35">
      <c r="A111" s="3" t="s">
        <v>3455</v>
      </c>
      <c r="B111" s="3" t="s">
        <v>337</v>
      </c>
      <c r="C111" s="4">
        <v>0.6</v>
      </c>
      <c r="D111" s="4">
        <v>4.4000000000000004</v>
      </c>
      <c r="E111" s="4">
        <v>9.1</v>
      </c>
      <c r="F111" s="4">
        <v>8.6</v>
      </c>
      <c r="G111" s="4">
        <v>51.5</v>
      </c>
      <c r="H111" s="4">
        <v>17.2</v>
      </c>
      <c r="I111" s="4">
        <v>8.6</v>
      </c>
    </row>
    <row r="112" spans="1:9" x14ac:dyDescent="0.35">
      <c r="A112" s="3" t="s">
        <v>3461</v>
      </c>
      <c r="B112" s="3" t="s">
        <v>339</v>
      </c>
      <c r="C112" s="4">
        <v>0.6</v>
      </c>
      <c r="D112" s="4">
        <v>3.7</v>
      </c>
      <c r="E112" s="4">
        <v>6.3</v>
      </c>
      <c r="F112" s="4">
        <v>7.4</v>
      </c>
      <c r="G112" s="4">
        <v>57.4</v>
      </c>
      <c r="H112" s="4">
        <v>20.8</v>
      </c>
      <c r="I112" s="4">
        <v>3.8</v>
      </c>
    </row>
    <row r="113" spans="1:9" x14ac:dyDescent="0.35">
      <c r="A113" s="3" t="s">
        <v>4968</v>
      </c>
      <c r="B113" s="3" t="s">
        <v>341</v>
      </c>
      <c r="C113" s="4">
        <v>1.7</v>
      </c>
      <c r="D113" s="4">
        <v>5.5</v>
      </c>
      <c r="E113" s="4">
        <v>3.9</v>
      </c>
      <c r="F113" s="4">
        <v>3.8</v>
      </c>
      <c r="G113" s="4">
        <v>54.1</v>
      </c>
      <c r="H113" s="4">
        <v>23.4</v>
      </c>
      <c r="I113" s="4">
        <v>7.6</v>
      </c>
    </row>
    <row r="114" spans="1:9" x14ac:dyDescent="0.35">
      <c r="A114" s="3" t="s">
        <v>4969</v>
      </c>
      <c r="B114" s="3" t="s">
        <v>343</v>
      </c>
      <c r="C114" s="4">
        <v>0.6</v>
      </c>
      <c r="D114" s="4">
        <v>3.5</v>
      </c>
      <c r="E114" s="4">
        <v>6.9</v>
      </c>
      <c r="F114" s="4">
        <v>6.4</v>
      </c>
      <c r="G114" s="4">
        <v>49.5</v>
      </c>
      <c r="H114" s="4">
        <v>25.6</v>
      </c>
      <c r="I114" s="4">
        <v>7.5</v>
      </c>
    </row>
    <row r="115" spans="1:9" x14ac:dyDescent="0.35">
      <c r="A115" s="3" t="s">
        <v>4970</v>
      </c>
      <c r="B115" s="3" t="s">
        <v>345</v>
      </c>
      <c r="C115" s="4">
        <v>1.7</v>
      </c>
      <c r="D115" s="4">
        <v>5.5</v>
      </c>
      <c r="E115" s="4">
        <v>3.9</v>
      </c>
      <c r="F115" s="4">
        <v>3.8</v>
      </c>
      <c r="G115" s="4">
        <v>54.1</v>
      </c>
      <c r="H115" s="4">
        <v>23.4</v>
      </c>
      <c r="I115" s="4">
        <v>7.6</v>
      </c>
    </row>
    <row r="116" spans="1:9" x14ac:dyDescent="0.35">
      <c r="A116" s="3" t="s">
        <v>4971</v>
      </c>
      <c r="B116" s="3" t="s">
        <v>347</v>
      </c>
      <c r="C116" s="4">
        <v>0.6</v>
      </c>
      <c r="D116" s="4">
        <v>3.5</v>
      </c>
      <c r="E116" s="4">
        <v>6.9</v>
      </c>
      <c r="F116" s="4">
        <v>6.4</v>
      </c>
      <c r="G116" s="4">
        <v>49.5</v>
      </c>
      <c r="H116" s="4">
        <v>25.6</v>
      </c>
      <c r="I116" s="4">
        <v>7.5</v>
      </c>
    </row>
    <row r="117" spans="1:9" x14ac:dyDescent="0.35">
      <c r="A117" s="3" t="s">
        <v>3463</v>
      </c>
      <c r="B117" s="3" t="s">
        <v>353</v>
      </c>
      <c r="C117" s="4">
        <v>1.5</v>
      </c>
      <c r="D117" s="4">
        <v>9.8000000000000007</v>
      </c>
      <c r="E117" s="4">
        <v>24.3</v>
      </c>
      <c r="F117" s="4">
        <v>34</v>
      </c>
      <c r="G117" s="4">
        <v>24.1</v>
      </c>
      <c r="H117" s="4">
        <v>5.0999999999999996</v>
      </c>
      <c r="I117" s="4">
        <v>1.1000000000000001</v>
      </c>
    </row>
    <row r="118" spans="1:9" x14ac:dyDescent="0.35">
      <c r="A118" s="3" t="s">
        <v>4972</v>
      </c>
      <c r="B118" s="3" t="s">
        <v>355</v>
      </c>
      <c r="C118" s="4">
        <v>2.1</v>
      </c>
      <c r="D118" s="4">
        <v>12</v>
      </c>
      <c r="E118" s="4">
        <v>22.7</v>
      </c>
      <c r="F118" s="4">
        <v>35</v>
      </c>
      <c r="G118" s="4">
        <v>23</v>
      </c>
      <c r="H118" s="4">
        <v>4.0999999999999996</v>
      </c>
      <c r="I118" s="4">
        <v>1</v>
      </c>
    </row>
    <row r="119" spans="1:9" x14ac:dyDescent="0.35">
      <c r="A119" s="3" t="s">
        <v>4973</v>
      </c>
      <c r="B119" s="3" t="s">
        <v>357</v>
      </c>
      <c r="C119" s="4">
        <v>2.1</v>
      </c>
      <c r="D119" s="4">
        <v>12</v>
      </c>
      <c r="E119" s="4">
        <v>22.7</v>
      </c>
      <c r="F119" s="4">
        <v>35</v>
      </c>
      <c r="G119" s="4">
        <v>23</v>
      </c>
      <c r="H119" s="4">
        <v>4.0999999999999996</v>
      </c>
      <c r="I119" s="4">
        <v>1</v>
      </c>
    </row>
    <row r="120" spans="1:9" x14ac:dyDescent="0.35">
      <c r="A120" s="3" t="s">
        <v>4974</v>
      </c>
      <c r="B120" s="3" t="s">
        <v>359</v>
      </c>
      <c r="C120" s="4">
        <v>2.1</v>
      </c>
      <c r="D120" s="4">
        <v>12</v>
      </c>
      <c r="E120" s="4">
        <v>22.7</v>
      </c>
      <c r="F120" s="4">
        <v>35</v>
      </c>
      <c r="G120" s="4">
        <v>23</v>
      </c>
      <c r="H120" s="4">
        <v>4.0999999999999996</v>
      </c>
      <c r="I120" s="4">
        <v>1</v>
      </c>
    </row>
    <row r="121" spans="1:9" x14ac:dyDescent="0.35">
      <c r="A121" s="3" t="s">
        <v>4975</v>
      </c>
      <c r="B121" s="3" t="s">
        <v>363</v>
      </c>
      <c r="C121" s="4">
        <v>4.0999999999999996</v>
      </c>
      <c r="D121" s="4">
        <v>24</v>
      </c>
      <c r="E121" s="4">
        <v>30</v>
      </c>
      <c r="F121" s="4">
        <v>20.100000000000001</v>
      </c>
      <c r="G121" s="4">
        <v>17.7</v>
      </c>
      <c r="H121" s="4">
        <v>3.3</v>
      </c>
      <c r="I121" s="4">
        <v>0.9</v>
      </c>
    </row>
    <row r="122" spans="1:9" x14ac:dyDescent="0.35">
      <c r="A122" s="3" t="s">
        <v>4976</v>
      </c>
      <c r="B122" s="3" t="s">
        <v>365</v>
      </c>
      <c r="C122" s="4">
        <v>4.0999999999999996</v>
      </c>
      <c r="D122" s="4">
        <v>24</v>
      </c>
      <c r="E122" s="4">
        <v>30</v>
      </c>
      <c r="F122" s="4">
        <v>20.100000000000001</v>
      </c>
      <c r="G122" s="4">
        <v>17.7</v>
      </c>
      <c r="H122" s="4">
        <v>3.3</v>
      </c>
      <c r="I122" s="4">
        <v>0.9</v>
      </c>
    </row>
    <row r="123" spans="1:9" x14ac:dyDescent="0.35">
      <c r="A123" s="3" t="s">
        <v>3475</v>
      </c>
      <c r="B123" s="3" t="s">
        <v>367</v>
      </c>
      <c r="C123" s="4">
        <v>2.6</v>
      </c>
      <c r="D123" s="4">
        <v>18.399999999999999</v>
      </c>
      <c r="E123" s="4">
        <v>30.5</v>
      </c>
      <c r="F123" s="4">
        <v>30</v>
      </c>
      <c r="G123" s="4">
        <v>16.3</v>
      </c>
      <c r="H123" s="4">
        <v>2.1</v>
      </c>
      <c r="I123" s="4">
        <v>0.2</v>
      </c>
    </row>
    <row r="124" spans="1:9" x14ac:dyDescent="0.35">
      <c r="A124" s="3" t="s">
        <v>4977</v>
      </c>
      <c r="B124" s="3" t="s">
        <v>369</v>
      </c>
      <c r="C124" s="4">
        <v>4.0999999999999996</v>
      </c>
      <c r="D124" s="4">
        <v>24</v>
      </c>
      <c r="E124" s="4">
        <v>30</v>
      </c>
      <c r="F124" s="4">
        <v>20.100000000000001</v>
      </c>
      <c r="G124" s="4">
        <v>17.7</v>
      </c>
      <c r="H124" s="4">
        <v>3.3</v>
      </c>
      <c r="I124" s="4">
        <v>0.9</v>
      </c>
    </row>
    <row r="125" spans="1:9" x14ac:dyDescent="0.35">
      <c r="A125" s="3" t="s">
        <v>4978</v>
      </c>
      <c r="B125" s="3" t="s">
        <v>371</v>
      </c>
      <c r="C125" s="4">
        <v>4.0999999999999996</v>
      </c>
      <c r="D125" s="4">
        <v>24</v>
      </c>
      <c r="E125" s="4">
        <v>30</v>
      </c>
      <c r="F125" s="4">
        <v>20.100000000000001</v>
      </c>
      <c r="G125" s="4">
        <v>17.7</v>
      </c>
      <c r="H125" s="4">
        <v>3.3</v>
      </c>
      <c r="I125" s="4">
        <v>0.9</v>
      </c>
    </row>
    <row r="126" spans="1:9" x14ac:dyDescent="0.35">
      <c r="A126" s="3" t="s">
        <v>4979</v>
      </c>
      <c r="B126" s="3" t="s">
        <v>373</v>
      </c>
      <c r="C126" s="4">
        <v>4.0999999999999996</v>
      </c>
      <c r="D126" s="4">
        <v>24</v>
      </c>
      <c r="E126" s="4">
        <v>30</v>
      </c>
      <c r="F126" s="4">
        <v>20.100000000000001</v>
      </c>
      <c r="G126" s="4">
        <v>17.7</v>
      </c>
      <c r="H126" s="4">
        <v>3.3</v>
      </c>
      <c r="I126" s="4">
        <v>0.9</v>
      </c>
    </row>
    <row r="127" spans="1:9" x14ac:dyDescent="0.35">
      <c r="A127" s="3" t="s">
        <v>4980</v>
      </c>
      <c r="B127" s="3" t="s">
        <v>375</v>
      </c>
      <c r="C127" s="4">
        <v>4.0999999999999996</v>
      </c>
      <c r="D127" s="4">
        <v>24</v>
      </c>
      <c r="E127" s="4">
        <v>30</v>
      </c>
      <c r="F127" s="4">
        <v>20.100000000000001</v>
      </c>
      <c r="G127" s="4">
        <v>17.7</v>
      </c>
      <c r="H127" s="4">
        <v>3.3</v>
      </c>
      <c r="I127" s="4">
        <v>0.9</v>
      </c>
    </row>
    <row r="128" spans="1:9" x14ac:dyDescent="0.35">
      <c r="A128" s="3" t="s">
        <v>4981</v>
      </c>
      <c r="B128" s="3" t="s">
        <v>377</v>
      </c>
      <c r="C128" s="4">
        <v>4.0999999999999996</v>
      </c>
      <c r="D128" s="4">
        <v>24</v>
      </c>
      <c r="E128" s="4">
        <v>30</v>
      </c>
      <c r="F128" s="4">
        <v>20.100000000000001</v>
      </c>
      <c r="G128" s="4">
        <v>17.7</v>
      </c>
      <c r="H128" s="4">
        <v>3.3</v>
      </c>
      <c r="I128" s="4">
        <v>0.9</v>
      </c>
    </row>
    <row r="129" spans="1:9" x14ac:dyDescent="0.35">
      <c r="A129" s="3" t="s">
        <v>4982</v>
      </c>
      <c r="B129" s="3" t="s">
        <v>379</v>
      </c>
      <c r="C129" s="4">
        <v>4.0999999999999996</v>
      </c>
      <c r="D129" s="4">
        <v>24</v>
      </c>
      <c r="E129" s="4">
        <v>30</v>
      </c>
      <c r="F129" s="4">
        <v>20.100000000000001</v>
      </c>
      <c r="G129" s="4">
        <v>17.7</v>
      </c>
      <c r="H129" s="4">
        <v>3.3</v>
      </c>
      <c r="I129" s="4">
        <v>0.9</v>
      </c>
    </row>
    <row r="130" spans="1:9" x14ac:dyDescent="0.35">
      <c r="A130" s="3" t="s">
        <v>4555</v>
      </c>
      <c r="B130" s="3" t="s">
        <v>381</v>
      </c>
      <c r="C130" s="4">
        <v>4.9000000000000004</v>
      </c>
      <c r="D130" s="4">
        <v>28.5</v>
      </c>
      <c r="E130" s="4">
        <v>32.9</v>
      </c>
      <c r="F130" s="4">
        <v>22.3</v>
      </c>
      <c r="G130" s="4">
        <v>9</v>
      </c>
      <c r="H130" s="4">
        <v>1.9</v>
      </c>
      <c r="I130" s="4">
        <v>0.5</v>
      </c>
    </row>
    <row r="131" spans="1:9" x14ac:dyDescent="0.35">
      <c r="A131" s="3" t="s">
        <v>4983</v>
      </c>
      <c r="B131" s="3" t="s">
        <v>387</v>
      </c>
      <c r="C131" s="4">
        <v>0</v>
      </c>
      <c r="D131" s="4">
        <v>0</v>
      </c>
      <c r="E131" s="4">
        <v>0</v>
      </c>
      <c r="F131" s="4">
        <v>0</v>
      </c>
      <c r="G131" s="4">
        <v>59.6</v>
      </c>
      <c r="H131" s="4">
        <v>25.2</v>
      </c>
      <c r="I131" s="4">
        <v>15.2</v>
      </c>
    </row>
    <row r="132" spans="1:9" x14ac:dyDescent="0.35">
      <c r="A132" s="3" t="s">
        <v>4984</v>
      </c>
      <c r="B132" s="3" t="s">
        <v>389</v>
      </c>
      <c r="C132" s="4">
        <v>0</v>
      </c>
      <c r="D132" s="4">
        <v>0</v>
      </c>
      <c r="E132" s="4">
        <v>0</v>
      </c>
      <c r="F132" s="4">
        <v>0</v>
      </c>
      <c r="G132" s="4">
        <v>59.6</v>
      </c>
      <c r="H132" s="4">
        <v>25.2</v>
      </c>
      <c r="I132" s="4">
        <v>15.2</v>
      </c>
    </row>
    <row r="133" spans="1:9" x14ac:dyDescent="0.35">
      <c r="A133" s="3" t="s">
        <v>4985</v>
      </c>
      <c r="B133" s="3" t="s">
        <v>391</v>
      </c>
      <c r="C133" s="4">
        <v>0</v>
      </c>
      <c r="D133" s="4">
        <v>0</v>
      </c>
      <c r="E133" s="4">
        <v>0</v>
      </c>
      <c r="F133" s="4">
        <v>0</v>
      </c>
      <c r="G133" s="4">
        <v>59.6</v>
      </c>
      <c r="H133" s="4">
        <v>25.2</v>
      </c>
      <c r="I133" s="4">
        <v>15.2</v>
      </c>
    </row>
    <row r="134" spans="1:9" x14ac:dyDescent="0.35">
      <c r="A134" s="3" t="s">
        <v>4986</v>
      </c>
      <c r="B134" s="3" t="s">
        <v>395</v>
      </c>
      <c r="C134" s="4">
        <v>0</v>
      </c>
      <c r="D134" s="4">
        <v>0</v>
      </c>
      <c r="E134" s="4">
        <v>0</v>
      </c>
      <c r="F134" s="4">
        <v>0</v>
      </c>
      <c r="G134" s="4">
        <v>45.3</v>
      </c>
      <c r="H134" s="4">
        <v>32.299999999999997</v>
      </c>
      <c r="I134" s="4">
        <v>22.4</v>
      </c>
    </row>
    <row r="135" spans="1:9" x14ac:dyDescent="0.35">
      <c r="A135" s="3" t="s">
        <v>4987</v>
      </c>
      <c r="B135" s="3" t="s">
        <v>397</v>
      </c>
      <c r="C135" s="4">
        <v>0</v>
      </c>
      <c r="D135" s="4">
        <v>0</v>
      </c>
      <c r="E135" s="4">
        <v>0</v>
      </c>
      <c r="F135" s="4">
        <v>0</v>
      </c>
      <c r="G135" s="4">
        <v>45.3</v>
      </c>
      <c r="H135" s="4">
        <v>32.299999999999997</v>
      </c>
      <c r="I135" s="4">
        <v>22.4</v>
      </c>
    </row>
    <row r="136" spans="1:9" x14ac:dyDescent="0.35">
      <c r="A136" s="3" t="s">
        <v>4988</v>
      </c>
      <c r="B136" s="3" t="s">
        <v>399</v>
      </c>
      <c r="C136" s="4">
        <v>0</v>
      </c>
      <c r="D136" s="4">
        <v>0</v>
      </c>
      <c r="E136" s="4">
        <v>0</v>
      </c>
      <c r="F136" s="4">
        <v>0</v>
      </c>
      <c r="G136" s="4">
        <v>45.3</v>
      </c>
      <c r="H136" s="4">
        <v>32.299999999999997</v>
      </c>
      <c r="I136" s="4">
        <v>22.4</v>
      </c>
    </row>
    <row r="137" spans="1:9" x14ac:dyDescent="0.35">
      <c r="A137" s="3" t="s">
        <v>4989</v>
      </c>
      <c r="B137" s="3" t="s">
        <v>401</v>
      </c>
      <c r="C137" s="4">
        <v>0</v>
      </c>
      <c r="D137" s="4">
        <v>0</v>
      </c>
      <c r="E137" s="4">
        <v>0</v>
      </c>
      <c r="F137" s="4">
        <v>0</v>
      </c>
      <c r="G137" s="4">
        <v>45.3</v>
      </c>
      <c r="H137" s="4">
        <v>32.299999999999997</v>
      </c>
      <c r="I137" s="4">
        <v>22.4</v>
      </c>
    </row>
    <row r="138" spans="1:9" x14ac:dyDescent="0.35">
      <c r="A138" s="3" t="s">
        <v>4990</v>
      </c>
      <c r="B138" s="3" t="s">
        <v>405</v>
      </c>
      <c r="C138" s="4">
        <v>0</v>
      </c>
      <c r="D138" s="4">
        <v>0</v>
      </c>
      <c r="E138" s="4">
        <v>0</v>
      </c>
      <c r="F138" s="4">
        <v>0</v>
      </c>
      <c r="G138" s="4">
        <v>75.7</v>
      </c>
      <c r="H138" s="4">
        <v>21</v>
      </c>
      <c r="I138" s="4">
        <v>3.3</v>
      </c>
    </row>
    <row r="139" spans="1:9" x14ac:dyDescent="0.35">
      <c r="A139" s="3" t="s">
        <v>4991</v>
      </c>
      <c r="B139" s="3" t="s">
        <v>407</v>
      </c>
      <c r="C139" s="4">
        <v>0</v>
      </c>
      <c r="D139" s="4">
        <v>0</v>
      </c>
      <c r="E139" s="4">
        <v>0</v>
      </c>
      <c r="F139" s="4">
        <v>0</v>
      </c>
      <c r="G139" s="4">
        <v>75.7</v>
      </c>
      <c r="H139" s="4">
        <v>21</v>
      </c>
      <c r="I139" s="4">
        <v>3.3</v>
      </c>
    </row>
    <row r="140" spans="1:9" x14ac:dyDescent="0.35">
      <c r="A140" s="3" t="s">
        <v>4992</v>
      </c>
      <c r="B140" s="3" t="s">
        <v>411</v>
      </c>
      <c r="C140" s="4">
        <v>0.4</v>
      </c>
      <c r="D140" s="4">
        <v>0.3</v>
      </c>
      <c r="E140" s="4">
        <v>0.6</v>
      </c>
      <c r="F140" s="4">
        <v>0.5</v>
      </c>
      <c r="G140" s="4">
        <v>24.2</v>
      </c>
      <c r="H140" s="4">
        <v>25.9</v>
      </c>
      <c r="I140" s="4">
        <v>48</v>
      </c>
    </row>
    <row r="141" spans="1:9" x14ac:dyDescent="0.35">
      <c r="A141" s="3" t="s">
        <v>4993</v>
      </c>
      <c r="B141" s="3" t="s">
        <v>413</v>
      </c>
      <c r="C141" s="4">
        <v>0.4</v>
      </c>
      <c r="D141" s="4">
        <v>0.3</v>
      </c>
      <c r="E141" s="4">
        <v>0.6</v>
      </c>
      <c r="F141" s="4">
        <v>0.5</v>
      </c>
      <c r="G141" s="4">
        <v>24.2</v>
      </c>
      <c r="H141" s="4">
        <v>25.9</v>
      </c>
      <c r="I141" s="4">
        <v>48</v>
      </c>
    </row>
    <row r="142" spans="1:9" x14ac:dyDescent="0.35">
      <c r="A142" s="3" t="s">
        <v>4994</v>
      </c>
      <c r="B142" s="3" t="s">
        <v>415</v>
      </c>
      <c r="C142" s="4">
        <v>0.4</v>
      </c>
      <c r="D142" s="4">
        <v>0.3</v>
      </c>
      <c r="E142" s="4">
        <v>0.6</v>
      </c>
      <c r="F142" s="4">
        <v>0.5</v>
      </c>
      <c r="G142" s="4">
        <v>24.2</v>
      </c>
      <c r="H142" s="4">
        <v>25.9</v>
      </c>
      <c r="I142" s="4">
        <v>48</v>
      </c>
    </row>
    <row r="143" spans="1:9" x14ac:dyDescent="0.35">
      <c r="A143" s="3" t="s">
        <v>4995</v>
      </c>
      <c r="B143" s="3" t="s">
        <v>421</v>
      </c>
      <c r="C143" s="4">
        <v>0</v>
      </c>
      <c r="D143" s="4">
        <v>0</v>
      </c>
      <c r="E143" s="4">
        <v>0</v>
      </c>
      <c r="F143" s="4">
        <v>0</v>
      </c>
      <c r="G143" s="4">
        <v>23.1</v>
      </c>
      <c r="H143" s="4">
        <v>22.5</v>
      </c>
      <c r="I143" s="4">
        <v>54.4</v>
      </c>
    </row>
    <row r="144" spans="1:9" x14ac:dyDescent="0.35">
      <c r="A144" s="3" t="s">
        <v>4996</v>
      </c>
      <c r="B144" s="3" t="s">
        <v>423</v>
      </c>
      <c r="C144" s="4">
        <v>0</v>
      </c>
      <c r="D144" s="4">
        <v>0</v>
      </c>
      <c r="E144" s="4">
        <v>0</v>
      </c>
      <c r="F144" s="4">
        <v>0</v>
      </c>
      <c r="G144" s="4">
        <v>23.1</v>
      </c>
      <c r="H144" s="4">
        <v>22.5</v>
      </c>
      <c r="I144" s="4">
        <v>54.4</v>
      </c>
    </row>
    <row r="145" spans="1:9" x14ac:dyDescent="0.35">
      <c r="A145" s="3" t="s">
        <v>4567</v>
      </c>
      <c r="B145" s="3" t="s">
        <v>425</v>
      </c>
      <c r="C145" s="4">
        <v>0</v>
      </c>
      <c r="D145" s="4">
        <v>0.4</v>
      </c>
      <c r="E145" s="4">
        <v>5.0999999999999996</v>
      </c>
      <c r="F145" s="4">
        <v>2.7</v>
      </c>
      <c r="G145" s="4">
        <v>56.5</v>
      </c>
      <c r="H145" s="4">
        <v>24.5</v>
      </c>
      <c r="I145" s="4">
        <v>10.8</v>
      </c>
    </row>
    <row r="146" spans="1:9" x14ac:dyDescent="0.35">
      <c r="A146" s="3" t="s">
        <v>4997</v>
      </c>
      <c r="B146" s="3" t="s">
        <v>429</v>
      </c>
      <c r="C146" s="4">
        <v>0.2</v>
      </c>
      <c r="D146" s="4">
        <v>1.8</v>
      </c>
      <c r="E146" s="4">
        <v>2.4</v>
      </c>
      <c r="F146" s="4">
        <v>2.2000000000000002</v>
      </c>
      <c r="G146" s="4">
        <v>51.2</v>
      </c>
      <c r="H146" s="4">
        <v>21.7</v>
      </c>
      <c r="I146" s="4">
        <v>20.6</v>
      </c>
    </row>
    <row r="147" spans="1:9" x14ac:dyDescent="0.35">
      <c r="A147" s="3" t="s">
        <v>4998</v>
      </c>
      <c r="B147" s="3" t="s">
        <v>431</v>
      </c>
      <c r="C147" s="4">
        <v>0.2</v>
      </c>
      <c r="D147" s="4">
        <v>1.8</v>
      </c>
      <c r="E147" s="4">
        <v>2.4</v>
      </c>
      <c r="F147" s="4">
        <v>2.2000000000000002</v>
      </c>
      <c r="G147" s="4">
        <v>51.2</v>
      </c>
      <c r="H147" s="4">
        <v>21.7</v>
      </c>
      <c r="I147" s="4">
        <v>20.6</v>
      </c>
    </row>
    <row r="148" spans="1:9" x14ac:dyDescent="0.35">
      <c r="A148" s="3" t="s">
        <v>3500</v>
      </c>
      <c r="B148" s="3" t="s">
        <v>435</v>
      </c>
      <c r="C148" s="4">
        <v>0</v>
      </c>
      <c r="D148" s="4">
        <v>0</v>
      </c>
      <c r="E148" s="4">
        <v>0</v>
      </c>
      <c r="F148" s="4">
        <v>0</v>
      </c>
      <c r="G148" s="4">
        <v>61.4</v>
      </c>
      <c r="H148" s="4">
        <v>31.5</v>
      </c>
      <c r="I148" s="4">
        <v>7.1</v>
      </c>
    </row>
    <row r="149" spans="1:9" x14ac:dyDescent="0.35">
      <c r="A149" s="3" t="s">
        <v>4999</v>
      </c>
      <c r="B149" s="3" t="s">
        <v>437</v>
      </c>
      <c r="C149" s="4">
        <v>0</v>
      </c>
      <c r="D149" s="4">
        <v>0</v>
      </c>
      <c r="E149" s="4">
        <v>0</v>
      </c>
      <c r="F149" s="4">
        <v>0</v>
      </c>
      <c r="G149" s="4">
        <v>47.2</v>
      </c>
      <c r="H149" s="4">
        <v>40.700000000000003</v>
      </c>
      <c r="I149" s="4">
        <v>12.1</v>
      </c>
    </row>
    <row r="150" spans="1:9" x14ac:dyDescent="0.35">
      <c r="A150" s="3" t="s">
        <v>5000</v>
      </c>
      <c r="B150" s="3" t="s">
        <v>439</v>
      </c>
      <c r="C150" s="4">
        <v>0</v>
      </c>
      <c r="D150" s="4">
        <v>0</v>
      </c>
      <c r="E150" s="4">
        <v>0</v>
      </c>
      <c r="F150" s="4">
        <v>0</v>
      </c>
      <c r="G150" s="4">
        <v>47.2</v>
      </c>
      <c r="H150" s="4">
        <v>40.700000000000003</v>
      </c>
      <c r="I150" s="4">
        <v>12.1</v>
      </c>
    </row>
    <row r="151" spans="1:9" x14ac:dyDescent="0.35">
      <c r="A151" s="3" t="s">
        <v>4570</v>
      </c>
      <c r="B151" s="3" t="s">
        <v>441</v>
      </c>
      <c r="C151" s="4">
        <v>0</v>
      </c>
      <c r="D151" s="4">
        <v>0</v>
      </c>
      <c r="E151" s="4">
        <v>0</v>
      </c>
      <c r="F151" s="4">
        <v>0</v>
      </c>
      <c r="G151" s="4">
        <v>27</v>
      </c>
      <c r="H151" s="4">
        <v>22.8</v>
      </c>
      <c r="I151" s="4">
        <v>50.1</v>
      </c>
    </row>
    <row r="152" spans="1:9" x14ac:dyDescent="0.35">
      <c r="A152" s="3" t="s">
        <v>3505</v>
      </c>
      <c r="B152" s="3" t="s">
        <v>445</v>
      </c>
      <c r="C152" s="4">
        <v>0</v>
      </c>
      <c r="D152" s="4">
        <v>0</v>
      </c>
      <c r="E152" s="4">
        <v>0</v>
      </c>
      <c r="F152" s="4">
        <v>0</v>
      </c>
      <c r="G152" s="4">
        <v>19.7</v>
      </c>
      <c r="H152" s="4">
        <v>43.4</v>
      </c>
      <c r="I152" s="4">
        <v>37</v>
      </c>
    </row>
    <row r="153" spans="1:9" x14ac:dyDescent="0.35">
      <c r="A153" s="3" t="s">
        <v>5001</v>
      </c>
      <c r="B153" s="3" t="s">
        <v>447</v>
      </c>
      <c r="C153" s="4">
        <v>0.6</v>
      </c>
      <c r="D153" s="4">
        <v>1.3</v>
      </c>
      <c r="E153" s="4">
        <v>3.4</v>
      </c>
      <c r="F153" s="4">
        <v>3.5</v>
      </c>
      <c r="G153" s="4">
        <v>34</v>
      </c>
      <c r="H153" s="4">
        <v>41.5</v>
      </c>
      <c r="I153" s="4">
        <v>15.7</v>
      </c>
    </row>
    <row r="154" spans="1:9" x14ac:dyDescent="0.35">
      <c r="A154" s="3" t="s">
        <v>5002</v>
      </c>
      <c r="B154" s="3" t="s">
        <v>451</v>
      </c>
      <c r="C154" s="4">
        <v>0</v>
      </c>
      <c r="D154" s="4">
        <v>0</v>
      </c>
      <c r="E154" s="4">
        <v>0</v>
      </c>
      <c r="F154" s="4">
        <v>0</v>
      </c>
      <c r="G154" s="4">
        <v>7.9</v>
      </c>
      <c r="H154" s="4">
        <v>39.700000000000003</v>
      </c>
      <c r="I154" s="4">
        <v>52.4</v>
      </c>
    </row>
    <row r="155" spans="1:9" x14ac:dyDescent="0.35">
      <c r="A155" s="3" t="s">
        <v>3509</v>
      </c>
      <c r="B155" s="3" t="s">
        <v>453</v>
      </c>
      <c r="C155" s="4">
        <v>0</v>
      </c>
      <c r="D155" s="4">
        <v>0</v>
      </c>
      <c r="E155" s="4">
        <v>0</v>
      </c>
      <c r="F155" s="4">
        <v>0</v>
      </c>
      <c r="G155" s="4">
        <v>10.3</v>
      </c>
      <c r="H155" s="4">
        <v>15.7</v>
      </c>
      <c r="I155" s="4">
        <v>74</v>
      </c>
    </row>
    <row r="156" spans="1:9" x14ac:dyDescent="0.35">
      <c r="A156" s="3" t="s">
        <v>3511</v>
      </c>
      <c r="B156" s="3" t="s">
        <v>455</v>
      </c>
      <c r="C156" s="4">
        <v>0</v>
      </c>
      <c r="D156" s="4">
        <v>0</v>
      </c>
      <c r="E156" s="4">
        <v>0</v>
      </c>
      <c r="F156" s="4">
        <v>0</v>
      </c>
      <c r="G156" s="4">
        <v>8.1999999999999993</v>
      </c>
      <c r="H156" s="4">
        <v>54.3</v>
      </c>
      <c r="I156" s="4">
        <v>37.5</v>
      </c>
    </row>
    <row r="157" spans="1:9" x14ac:dyDescent="0.35">
      <c r="A157" s="3" t="s">
        <v>5003</v>
      </c>
      <c r="B157" s="3" t="s">
        <v>457</v>
      </c>
      <c r="C157" s="4">
        <v>0</v>
      </c>
      <c r="D157" s="4">
        <v>0</v>
      </c>
      <c r="E157" s="4">
        <v>0</v>
      </c>
      <c r="F157" s="4">
        <v>0</v>
      </c>
      <c r="G157" s="4">
        <v>7.9</v>
      </c>
      <c r="H157" s="4">
        <v>39.700000000000003</v>
      </c>
      <c r="I157" s="4">
        <v>52.4</v>
      </c>
    </row>
    <row r="158" spans="1:9" x14ac:dyDescent="0.35">
      <c r="A158" s="3" t="s">
        <v>5004</v>
      </c>
      <c r="B158" s="3" t="s">
        <v>459</v>
      </c>
      <c r="C158" s="4">
        <v>0.6</v>
      </c>
      <c r="D158" s="4">
        <v>1.3</v>
      </c>
      <c r="E158" s="4">
        <v>3.4</v>
      </c>
      <c r="F158" s="4">
        <v>3.5</v>
      </c>
      <c r="G158" s="4">
        <v>34</v>
      </c>
      <c r="H158" s="4">
        <v>41.5</v>
      </c>
      <c r="I158" s="4">
        <v>15.7</v>
      </c>
    </row>
    <row r="159" spans="1:9" x14ac:dyDescent="0.35">
      <c r="A159" s="3" t="s">
        <v>4574</v>
      </c>
      <c r="B159" s="3" t="s">
        <v>461</v>
      </c>
      <c r="C159" s="4">
        <v>0</v>
      </c>
      <c r="D159" s="4">
        <v>0</v>
      </c>
      <c r="E159" s="4">
        <v>0</v>
      </c>
      <c r="F159" s="4">
        <v>0</v>
      </c>
      <c r="G159" s="4">
        <v>45.2</v>
      </c>
      <c r="H159" s="4">
        <v>50.7</v>
      </c>
      <c r="I159" s="4">
        <v>4.0999999999999996</v>
      </c>
    </row>
    <row r="160" spans="1:9" x14ac:dyDescent="0.35">
      <c r="A160" s="3" t="s">
        <v>5005</v>
      </c>
      <c r="B160" s="3" t="s">
        <v>465</v>
      </c>
      <c r="C160" s="4">
        <v>0.6</v>
      </c>
      <c r="D160" s="4">
        <v>1.3</v>
      </c>
      <c r="E160" s="4">
        <v>3.4</v>
      </c>
      <c r="F160" s="4">
        <v>3.5</v>
      </c>
      <c r="G160" s="4">
        <v>34</v>
      </c>
      <c r="H160" s="4">
        <v>41.5</v>
      </c>
      <c r="I160" s="4">
        <v>15.7</v>
      </c>
    </row>
    <row r="161" spans="1:9" x14ac:dyDescent="0.35">
      <c r="A161" s="3" t="s">
        <v>5006</v>
      </c>
      <c r="B161" s="3" t="s">
        <v>467</v>
      </c>
      <c r="C161" s="4">
        <v>0.6</v>
      </c>
      <c r="D161" s="4">
        <v>1.3</v>
      </c>
      <c r="E161" s="4">
        <v>3.4</v>
      </c>
      <c r="F161" s="4">
        <v>3.5</v>
      </c>
      <c r="G161" s="4">
        <v>34</v>
      </c>
      <c r="H161" s="4">
        <v>41.5</v>
      </c>
      <c r="I161" s="4">
        <v>15.7</v>
      </c>
    </row>
    <row r="162" spans="1:9" x14ac:dyDescent="0.35">
      <c r="A162" s="3" t="s">
        <v>5007</v>
      </c>
      <c r="B162" s="3" t="s">
        <v>469</v>
      </c>
      <c r="C162" s="4">
        <v>0.6</v>
      </c>
      <c r="D162" s="4">
        <v>1.3</v>
      </c>
      <c r="E162" s="4">
        <v>3.4</v>
      </c>
      <c r="F162" s="4">
        <v>3.5</v>
      </c>
      <c r="G162" s="4">
        <v>34</v>
      </c>
      <c r="H162" s="4">
        <v>41.5</v>
      </c>
      <c r="I162" s="4">
        <v>15.7</v>
      </c>
    </row>
    <row r="163" spans="1:9" x14ac:dyDescent="0.35">
      <c r="A163" s="3" t="s">
        <v>5008</v>
      </c>
      <c r="B163" s="3" t="s">
        <v>471</v>
      </c>
      <c r="C163" s="4">
        <v>0.6</v>
      </c>
      <c r="D163" s="4">
        <v>1.3</v>
      </c>
      <c r="E163" s="4">
        <v>3.4</v>
      </c>
      <c r="F163" s="4">
        <v>3.5</v>
      </c>
      <c r="G163" s="4">
        <v>34</v>
      </c>
      <c r="H163" s="4">
        <v>41.5</v>
      </c>
      <c r="I163" s="4">
        <v>15.7</v>
      </c>
    </row>
    <row r="164" spans="1:9" x14ac:dyDescent="0.35">
      <c r="A164" s="3" t="s">
        <v>5009</v>
      </c>
      <c r="B164" s="3" t="s">
        <v>473</v>
      </c>
      <c r="C164" s="4">
        <v>0.6</v>
      </c>
      <c r="D164" s="4">
        <v>1.3</v>
      </c>
      <c r="E164" s="4">
        <v>3.4</v>
      </c>
      <c r="F164" s="4">
        <v>3.5</v>
      </c>
      <c r="G164" s="4">
        <v>34</v>
      </c>
      <c r="H164" s="4">
        <v>41.5</v>
      </c>
      <c r="I164" s="4">
        <v>15.7</v>
      </c>
    </row>
    <row r="165" spans="1:9" x14ac:dyDescent="0.35">
      <c r="A165" s="3" t="s">
        <v>5010</v>
      </c>
      <c r="B165" s="3" t="s">
        <v>479</v>
      </c>
      <c r="C165" s="4">
        <v>5.3</v>
      </c>
      <c r="D165" s="4">
        <v>26.2</v>
      </c>
      <c r="E165" s="4">
        <v>26</v>
      </c>
      <c r="F165" s="4">
        <v>15.5</v>
      </c>
      <c r="G165" s="4">
        <v>21.6</v>
      </c>
      <c r="H165" s="4">
        <v>4.5999999999999996</v>
      </c>
      <c r="I165" s="4">
        <v>0.9</v>
      </c>
    </row>
    <row r="166" spans="1:9" x14ac:dyDescent="0.35">
      <c r="A166" s="3" t="s">
        <v>5011</v>
      </c>
      <c r="B166" s="3" t="s">
        <v>481</v>
      </c>
      <c r="C166" s="4">
        <v>5.3</v>
      </c>
      <c r="D166" s="4">
        <v>26.2</v>
      </c>
      <c r="E166" s="4">
        <v>26</v>
      </c>
      <c r="F166" s="4">
        <v>15.5</v>
      </c>
      <c r="G166" s="4">
        <v>21.6</v>
      </c>
      <c r="H166" s="4">
        <v>4.5999999999999996</v>
      </c>
      <c r="I166" s="4">
        <v>0.9</v>
      </c>
    </row>
    <row r="167" spans="1:9" x14ac:dyDescent="0.35">
      <c r="A167" s="3" t="s">
        <v>4581</v>
      </c>
      <c r="B167" s="3" t="s">
        <v>483</v>
      </c>
      <c r="C167" s="4">
        <v>3.5</v>
      </c>
      <c r="D167" s="4">
        <v>23.4</v>
      </c>
      <c r="E167" s="4">
        <v>15.4</v>
      </c>
      <c r="F167" s="4">
        <v>10.3</v>
      </c>
      <c r="G167" s="4">
        <v>34.799999999999997</v>
      </c>
      <c r="H167" s="4">
        <v>7.5</v>
      </c>
      <c r="I167" s="4">
        <v>5.0999999999999996</v>
      </c>
    </row>
    <row r="168" spans="1:9" x14ac:dyDescent="0.35">
      <c r="A168" s="3" t="s">
        <v>4582</v>
      </c>
      <c r="B168" s="3" t="s">
        <v>485</v>
      </c>
      <c r="C168" s="4">
        <v>4.5</v>
      </c>
      <c r="D168" s="4">
        <v>21.7</v>
      </c>
      <c r="E168" s="4">
        <v>23.3</v>
      </c>
      <c r="F168" s="4">
        <v>12.6</v>
      </c>
      <c r="G168" s="4">
        <v>31.3</v>
      </c>
      <c r="H168" s="4">
        <v>4.4000000000000004</v>
      </c>
      <c r="I168" s="4">
        <v>2.2999999999999998</v>
      </c>
    </row>
    <row r="169" spans="1:9" x14ac:dyDescent="0.35">
      <c r="A169" s="3" t="s">
        <v>5012</v>
      </c>
      <c r="B169" s="3" t="s">
        <v>489</v>
      </c>
      <c r="C169" s="4">
        <v>1.8</v>
      </c>
      <c r="D169" s="4">
        <v>18.899999999999999</v>
      </c>
      <c r="E169" s="4">
        <v>21.1</v>
      </c>
      <c r="F169" s="4">
        <v>13.1</v>
      </c>
      <c r="G169" s="4">
        <v>34.4</v>
      </c>
      <c r="H169" s="4">
        <v>8.6999999999999993</v>
      </c>
      <c r="I169" s="4">
        <v>2.1</v>
      </c>
    </row>
    <row r="170" spans="1:9" x14ac:dyDescent="0.35">
      <c r="A170" s="3" t="s">
        <v>5013</v>
      </c>
      <c r="B170" s="3" t="s">
        <v>491</v>
      </c>
      <c r="C170" s="4">
        <v>1.8</v>
      </c>
      <c r="D170" s="4">
        <v>18.899999999999999</v>
      </c>
      <c r="E170" s="4">
        <v>21.1</v>
      </c>
      <c r="F170" s="4">
        <v>13.1</v>
      </c>
      <c r="G170" s="4">
        <v>34.4</v>
      </c>
      <c r="H170" s="4">
        <v>8.6999999999999993</v>
      </c>
      <c r="I170" s="4">
        <v>2.1</v>
      </c>
    </row>
    <row r="171" spans="1:9" x14ac:dyDescent="0.35">
      <c r="A171" s="3" t="s">
        <v>5014</v>
      </c>
      <c r="B171" s="3" t="s">
        <v>493</v>
      </c>
      <c r="C171" s="4">
        <v>1.8</v>
      </c>
      <c r="D171" s="4">
        <v>18.899999999999999</v>
      </c>
      <c r="E171" s="4">
        <v>21.1</v>
      </c>
      <c r="F171" s="4">
        <v>13.1</v>
      </c>
      <c r="G171" s="4">
        <v>34.4</v>
      </c>
      <c r="H171" s="4">
        <v>8.6999999999999993</v>
      </c>
      <c r="I171" s="4">
        <v>2.1</v>
      </c>
    </row>
    <row r="172" spans="1:9" x14ac:dyDescent="0.35">
      <c r="A172" s="3" t="s">
        <v>5015</v>
      </c>
      <c r="B172" s="3" t="s">
        <v>495</v>
      </c>
      <c r="C172" s="4">
        <v>1.8</v>
      </c>
      <c r="D172" s="4">
        <v>18.899999999999999</v>
      </c>
      <c r="E172" s="4">
        <v>21.1</v>
      </c>
      <c r="F172" s="4">
        <v>13.1</v>
      </c>
      <c r="G172" s="4">
        <v>34.4</v>
      </c>
      <c r="H172" s="4">
        <v>8.6999999999999993</v>
      </c>
      <c r="I172" s="4">
        <v>2.1</v>
      </c>
    </row>
    <row r="173" spans="1:9" x14ac:dyDescent="0.35">
      <c r="A173" s="3" t="s">
        <v>5016</v>
      </c>
      <c r="B173" s="3" t="s">
        <v>497</v>
      </c>
      <c r="C173" s="4">
        <v>3.8</v>
      </c>
      <c r="D173" s="4">
        <v>13.8</v>
      </c>
      <c r="E173" s="4">
        <v>20.399999999999999</v>
      </c>
      <c r="F173" s="4">
        <v>13.6</v>
      </c>
      <c r="G173" s="4">
        <v>34.6</v>
      </c>
      <c r="H173" s="4">
        <v>11.3</v>
      </c>
      <c r="I173" s="4">
        <v>2.6</v>
      </c>
    </row>
    <row r="174" spans="1:9" x14ac:dyDescent="0.35">
      <c r="A174" s="3" t="s">
        <v>5017</v>
      </c>
      <c r="B174" s="3" t="s">
        <v>499</v>
      </c>
      <c r="C174" s="4">
        <v>3.8</v>
      </c>
      <c r="D174" s="4">
        <v>13.8</v>
      </c>
      <c r="E174" s="4">
        <v>20.399999999999999</v>
      </c>
      <c r="F174" s="4">
        <v>13.6</v>
      </c>
      <c r="G174" s="4">
        <v>34.6</v>
      </c>
      <c r="H174" s="4">
        <v>11.3</v>
      </c>
      <c r="I174" s="4">
        <v>2.6</v>
      </c>
    </row>
    <row r="175" spans="1:9" x14ac:dyDescent="0.35">
      <c r="A175" s="3" t="s">
        <v>5018</v>
      </c>
      <c r="B175" s="3" t="s">
        <v>503</v>
      </c>
      <c r="C175" s="4">
        <v>3.8</v>
      </c>
      <c r="D175" s="4">
        <v>13.8</v>
      </c>
      <c r="E175" s="4">
        <v>20.399999999999999</v>
      </c>
      <c r="F175" s="4">
        <v>13.6</v>
      </c>
      <c r="G175" s="4">
        <v>34.6</v>
      </c>
      <c r="H175" s="4">
        <v>11.3</v>
      </c>
      <c r="I175" s="4">
        <v>2.6</v>
      </c>
    </row>
    <row r="176" spans="1:9" x14ac:dyDescent="0.35">
      <c r="A176" s="3" t="s">
        <v>5019</v>
      </c>
      <c r="B176" s="3" t="s">
        <v>505</v>
      </c>
      <c r="C176" s="4">
        <v>3.8</v>
      </c>
      <c r="D176" s="4">
        <v>13.8</v>
      </c>
      <c r="E176" s="4">
        <v>20.399999999999999</v>
      </c>
      <c r="F176" s="4">
        <v>13.6</v>
      </c>
      <c r="G176" s="4">
        <v>34.6</v>
      </c>
      <c r="H176" s="4">
        <v>11.3</v>
      </c>
      <c r="I176" s="4">
        <v>2.6</v>
      </c>
    </row>
    <row r="177" spans="1:9" x14ac:dyDescent="0.35">
      <c r="A177" s="3" t="s">
        <v>5020</v>
      </c>
      <c r="B177" s="3" t="s">
        <v>509</v>
      </c>
      <c r="C177" s="4">
        <v>2.5</v>
      </c>
      <c r="D177" s="4">
        <v>15.7</v>
      </c>
      <c r="E177" s="4">
        <v>19.899999999999999</v>
      </c>
      <c r="F177" s="4">
        <v>10.9</v>
      </c>
      <c r="G177" s="4">
        <v>35.5</v>
      </c>
      <c r="H177" s="4">
        <v>13.8</v>
      </c>
      <c r="I177" s="4">
        <v>1.7</v>
      </c>
    </row>
    <row r="178" spans="1:9" x14ac:dyDescent="0.35">
      <c r="A178" s="3" t="s">
        <v>5021</v>
      </c>
      <c r="B178" s="3" t="s">
        <v>511</v>
      </c>
      <c r="C178" s="4">
        <v>2.5</v>
      </c>
      <c r="D178" s="4">
        <v>15.7</v>
      </c>
      <c r="E178" s="4">
        <v>19.899999999999999</v>
      </c>
      <c r="F178" s="4">
        <v>10.9</v>
      </c>
      <c r="G178" s="4">
        <v>35.5</v>
      </c>
      <c r="H178" s="4">
        <v>13.8</v>
      </c>
      <c r="I178" s="4">
        <v>1.7</v>
      </c>
    </row>
    <row r="179" spans="1:9" x14ac:dyDescent="0.35">
      <c r="A179" s="3" t="s">
        <v>3528</v>
      </c>
      <c r="B179" s="3" t="s">
        <v>517</v>
      </c>
      <c r="C179" s="4">
        <v>1.2</v>
      </c>
      <c r="D179" s="4">
        <v>3.9</v>
      </c>
      <c r="E179" s="4">
        <v>4.5999999999999996</v>
      </c>
      <c r="F179" s="4">
        <v>2.6</v>
      </c>
      <c r="G179" s="4">
        <v>21.4</v>
      </c>
      <c r="H179" s="4">
        <v>61.3</v>
      </c>
      <c r="I179" s="4">
        <v>5</v>
      </c>
    </row>
    <row r="180" spans="1:9" x14ac:dyDescent="0.35">
      <c r="A180" s="3" t="s">
        <v>4587</v>
      </c>
      <c r="B180" s="3" t="s">
        <v>519</v>
      </c>
      <c r="C180" s="4">
        <v>1.3</v>
      </c>
      <c r="D180" s="4">
        <v>3.6</v>
      </c>
      <c r="E180" s="4">
        <v>4.7</v>
      </c>
      <c r="F180" s="4">
        <v>2.2999999999999998</v>
      </c>
      <c r="G180" s="4">
        <v>12.7</v>
      </c>
      <c r="H180" s="4">
        <v>67.2</v>
      </c>
      <c r="I180" s="4">
        <v>8.1999999999999993</v>
      </c>
    </row>
    <row r="181" spans="1:9" x14ac:dyDescent="0.35">
      <c r="A181" s="3" t="s">
        <v>4588</v>
      </c>
      <c r="B181" s="3" t="s">
        <v>521</v>
      </c>
      <c r="C181" s="4">
        <v>1.9</v>
      </c>
      <c r="D181" s="4">
        <v>7.8</v>
      </c>
      <c r="E181" s="4">
        <v>12.2</v>
      </c>
      <c r="F181" s="4">
        <v>12.3</v>
      </c>
      <c r="G181" s="4">
        <v>25.3</v>
      </c>
      <c r="H181" s="4">
        <v>36.700000000000003</v>
      </c>
      <c r="I181" s="4">
        <v>3.8</v>
      </c>
    </row>
    <row r="182" spans="1:9" x14ac:dyDescent="0.35">
      <c r="A182" s="3" t="s">
        <v>5022</v>
      </c>
      <c r="B182" s="3" t="s">
        <v>523</v>
      </c>
      <c r="C182" s="4">
        <v>1</v>
      </c>
      <c r="D182" s="4">
        <v>3.4</v>
      </c>
      <c r="E182" s="4">
        <v>6.8</v>
      </c>
      <c r="F182" s="4">
        <v>5.3</v>
      </c>
      <c r="G182" s="4">
        <v>25.5</v>
      </c>
      <c r="H182" s="4">
        <v>53.7</v>
      </c>
      <c r="I182" s="4">
        <v>4.3</v>
      </c>
    </row>
    <row r="183" spans="1:9" x14ac:dyDescent="0.35">
      <c r="A183" s="3" t="s">
        <v>4589</v>
      </c>
      <c r="B183" s="3" t="s">
        <v>525</v>
      </c>
      <c r="C183" s="4">
        <v>1.1000000000000001</v>
      </c>
      <c r="D183" s="4">
        <v>7.1</v>
      </c>
      <c r="E183" s="4">
        <v>10.8</v>
      </c>
      <c r="F183" s="4">
        <v>6.4</v>
      </c>
      <c r="G183" s="4">
        <v>28.4</v>
      </c>
      <c r="H183" s="4">
        <v>41.2</v>
      </c>
      <c r="I183" s="4">
        <v>5.0999999999999996</v>
      </c>
    </row>
    <row r="184" spans="1:9" x14ac:dyDescent="0.35">
      <c r="A184" s="3" t="s">
        <v>4590</v>
      </c>
      <c r="B184" s="3" t="s">
        <v>529</v>
      </c>
      <c r="C184" s="4">
        <v>1.8</v>
      </c>
      <c r="D184" s="4">
        <v>5.3</v>
      </c>
      <c r="E184" s="4">
        <v>8.3000000000000007</v>
      </c>
      <c r="F184" s="4">
        <v>6.2</v>
      </c>
      <c r="G184" s="4">
        <v>36.5</v>
      </c>
      <c r="H184" s="4">
        <v>39.799999999999997</v>
      </c>
      <c r="I184" s="4">
        <v>2</v>
      </c>
    </row>
    <row r="185" spans="1:9" x14ac:dyDescent="0.35">
      <c r="A185" s="3" t="s">
        <v>4591</v>
      </c>
      <c r="B185" s="3" t="s">
        <v>531</v>
      </c>
      <c r="C185" s="4">
        <v>2.9</v>
      </c>
      <c r="D185" s="4">
        <v>14.6</v>
      </c>
      <c r="E185" s="4">
        <v>13.4</v>
      </c>
      <c r="F185" s="4">
        <v>7.6</v>
      </c>
      <c r="G185" s="4">
        <v>24.5</v>
      </c>
      <c r="H185" s="4">
        <v>34.299999999999997</v>
      </c>
      <c r="I185" s="4">
        <v>2.7</v>
      </c>
    </row>
    <row r="186" spans="1:9" x14ac:dyDescent="0.35">
      <c r="A186" s="3" t="s">
        <v>4592</v>
      </c>
      <c r="B186" s="3" t="s">
        <v>533</v>
      </c>
      <c r="C186" s="4">
        <v>0.9</v>
      </c>
      <c r="D186" s="4">
        <v>2.6</v>
      </c>
      <c r="E186" s="4">
        <v>3.8</v>
      </c>
      <c r="F186" s="4">
        <v>1</v>
      </c>
      <c r="G186" s="4">
        <v>16.5</v>
      </c>
      <c r="H186" s="4">
        <v>70.8</v>
      </c>
      <c r="I186" s="4">
        <v>4.4000000000000004</v>
      </c>
    </row>
    <row r="187" spans="1:9" x14ac:dyDescent="0.35">
      <c r="A187" s="3" t="s">
        <v>4593</v>
      </c>
      <c r="B187" s="3" t="s">
        <v>535</v>
      </c>
      <c r="C187" s="4">
        <v>1.2</v>
      </c>
      <c r="D187" s="4">
        <v>4.0999999999999996</v>
      </c>
      <c r="E187" s="4">
        <v>6.8</v>
      </c>
      <c r="F187" s="4">
        <v>4.9000000000000004</v>
      </c>
      <c r="G187" s="4">
        <v>39.299999999999997</v>
      </c>
      <c r="H187" s="4">
        <v>41.5</v>
      </c>
      <c r="I187" s="4">
        <v>2.2000000000000002</v>
      </c>
    </row>
    <row r="188" spans="1:9" x14ac:dyDescent="0.35">
      <c r="A188" s="3" t="s">
        <v>5023</v>
      </c>
      <c r="B188" s="3" t="s">
        <v>539</v>
      </c>
      <c r="C188" s="4">
        <v>2.2999999999999998</v>
      </c>
      <c r="D188" s="4">
        <v>10.4</v>
      </c>
      <c r="E188" s="4">
        <v>16.600000000000001</v>
      </c>
      <c r="F188" s="4">
        <v>8.8000000000000007</v>
      </c>
      <c r="G188" s="4">
        <v>35.6</v>
      </c>
      <c r="H188" s="4">
        <v>22.7</v>
      </c>
      <c r="I188" s="4">
        <v>3.7</v>
      </c>
    </row>
    <row r="189" spans="1:9" x14ac:dyDescent="0.35">
      <c r="A189" s="3" t="s">
        <v>4595</v>
      </c>
      <c r="B189" s="3" t="s">
        <v>541</v>
      </c>
      <c r="C189" s="4">
        <v>0.8</v>
      </c>
      <c r="D189" s="4">
        <v>3.1</v>
      </c>
      <c r="E189" s="4">
        <v>7.1</v>
      </c>
      <c r="F189" s="4">
        <v>4</v>
      </c>
      <c r="G189" s="4">
        <v>64.900000000000006</v>
      </c>
      <c r="H189" s="4">
        <v>18.600000000000001</v>
      </c>
      <c r="I189" s="4">
        <v>1.5</v>
      </c>
    </row>
    <row r="190" spans="1:9" x14ac:dyDescent="0.35">
      <c r="A190" s="3" t="s">
        <v>4596</v>
      </c>
      <c r="B190" s="3" t="s">
        <v>543</v>
      </c>
      <c r="C190" s="4">
        <v>2.4</v>
      </c>
      <c r="D190" s="4">
        <v>12.6</v>
      </c>
      <c r="E190" s="4">
        <v>21.7</v>
      </c>
      <c r="F190" s="4">
        <v>11.4</v>
      </c>
      <c r="G190" s="4">
        <v>35.700000000000003</v>
      </c>
      <c r="H190" s="4">
        <v>14.7</v>
      </c>
      <c r="I190" s="4">
        <v>1.6</v>
      </c>
    </row>
    <row r="191" spans="1:9" x14ac:dyDescent="0.35">
      <c r="A191" s="3" t="s">
        <v>5024</v>
      </c>
      <c r="B191" s="3" t="s">
        <v>545</v>
      </c>
      <c r="C191" s="4">
        <v>2.2999999999999998</v>
      </c>
      <c r="D191" s="4">
        <v>10.4</v>
      </c>
      <c r="E191" s="4">
        <v>16.600000000000001</v>
      </c>
      <c r="F191" s="4">
        <v>8.8000000000000007</v>
      </c>
      <c r="G191" s="4">
        <v>35.6</v>
      </c>
      <c r="H191" s="4">
        <v>22.7</v>
      </c>
      <c r="I191" s="4">
        <v>3.7</v>
      </c>
    </row>
    <row r="192" spans="1:9" x14ac:dyDescent="0.35">
      <c r="A192" s="3" t="s">
        <v>5025</v>
      </c>
      <c r="B192" s="3" t="s">
        <v>547</v>
      </c>
      <c r="C192" s="4">
        <v>2.2999999999999998</v>
      </c>
      <c r="D192" s="4">
        <v>10.4</v>
      </c>
      <c r="E192" s="4">
        <v>16.600000000000001</v>
      </c>
      <c r="F192" s="4">
        <v>8.8000000000000007</v>
      </c>
      <c r="G192" s="4">
        <v>35.6</v>
      </c>
      <c r="H192" s="4">
        <v>22.7</v>
      </c>
      <c r="I192" s="4">
        <v>3.7</v>
      </c>
    </row>
    <row r="193" spans="1:9" x14ac:dyDescent="0.35">
      <c r="A193" s="3" t="s">
        <v>4598</v>
      </c>
      <c r="B193" s="3" t="s">
        <v>551</v>
      </c>
      <c r="C193" s="4">
        <v>2.5</v>
      </c>
      <c r="D193" s="4">
        <v>6.5</v>
      </c>
      <c r="E193" s="4">
        <v>10.8</v>
      </c>
      <c r="F193" s="4">
        <v>4.3</v>
      </c>
      <c r="G193" s="4">
        <v>26.2</v>
      </c>
      <c r="H193" s="4">
        <v>36.1</v>
      </c>
      <c r="I193" s="4">
        <v>13.6</v>
      </c>
    </row>
    <row r="194" spans="1:9" x14ac:dyDescent="0.35">
      <c r="A194" s="3" t="s">
        <v>3537</v>
      </c>
      <c r="B194" s="3" t="s">
        <v>553</v>
      </c>
      <c r="C194" s="4">
        <v>1.4</v>
      </c>
      <c r="D194" s="4">
        <v>9.5</v>
      </c>
      <c r="E194" s="4">
        <v>15.7</v>
      </c>
      <c r="F194" s="4">
        <v>8</v>
      </c>
      <c r="G194" s="4">
        <v>39</v>
      </c>
      <c r="H194" s="4">
        <v>22</v>
      </c>
      <c r="I194" s="4">
        <v>4.4000000000000004</v>
      </c>
    </row>
    <row r="195" spans="1:9" x14ac:dyDescent="0.35">
      <c r="A195" s="3" t="s">
        <v>4599</v>
      </c>
      <c r="B195" s="3" t="s">
        <v>555</v>
      </c>
      <c r="C195" s="4">
        <v>2.4</v>
      </c>
      <c r="D195" s="4">
        <v>11.3</v>
      </c>
      <c r="E195" s="4">
        <v>19.2</v>
      </c>
      <c r="F195" s="4">
        <v>9.1</v>
      </c>
      <c r="G195" s="4">
        <v>35.200000000000003</v>
      </c>
      <c r="H195" s="4">
        <v>18.7</v>
      </c>
      <c r="I195" s="4">
        <v>4.0999999999999996</v>
      </c>
    </row>
    <row r="196" spans="1:9" x14ac:dyDescent="0.35">
      <c r="A196" s="3" t="s">
        <v>5026</v>
      </c>
      <c r="B196" s="3" t="s">
        <v>561</v>
      </c>
      <c r="C196" s="4">
        <v>0.3</v>
      </c>
      <c r="D196" s="4">
        <v>0.7</v>
      </c>
      <c r="E196" s="4">
        <v>0.8</v>
      </c>
      <c r="F196" s="4">
        <v>0.4</v>
      </c>
      <c r="G196" s="4">
        <v>5.9</v>
      </c>
      <c r="H196" s="4">
        <v>4.0999999999999996</v>
      </c>
      <c r="I196" s="4">
        <v>87.8</v>
      </c>
    </row>
    <row r="197" spans="1:9" x14ac:dyDescent="0.35">
      <c r="A197" s="3" t="s">
        <v>4600</v>
      </c>
      <c r="B197" s="3" t="s">
        <v>563</v>
      </c>
      <c r="C197" s="4">
        <v>0.7</v>
      </c>
      <c r="D197" s="4">
        <v>6.3</v>
      </c>
      <c r="E197" s="4">
        <v>13.5</v>
      </c>
      <c r="F197" s="4">
        <v>7.7</v>
      </c>
      <c r="G197" s="4">
        <v>16.5</v>
      </c>
      <c r="H197" s="4">
        <v>6.7</v>
      </c>
      <c r="I197" s="4">
        <v>48.7</v>
      </c>
    </row>
    <row r="198" spans="1:9" x14ac:dyDescent="0.35">
      <c r="A198" s="3" t="s">
        <v>5027</v>
      </c>
      <c r="B198" s="3" t="s">
        <v>567</v>
      </c>
      <c r="C198" s="4">
        <v>0.3</v>
      </c>
      <c r="D198" s="4">
        <v>0.7</v>
      </c>
      <c r="E198" s="4">
        <v>0.8</v>
      </c>
      <c r="F198" s="4">
        <v>0.4</v>
      </c>
      <c r="G198" s="4">
        <v>5.9</v>
      </c>
      <c r="H198" s="4">
        <v>4.0999999999999996</v>
      </c>
      <c r="I198" s="4">
        <v>87.8</v>
      </c>
    </row>
    <row r="199" spans="1:9" x14ac:dyDescent="0.35">
      <c r="A199" s="3" t="s">
        <v>5028</v>
      </c>
      <c r="B199" s="3" t="s">
        <v>569</v>
      </c>
      <c r="C199" s="4">
        <v>0.3</v>
      </c>
      <c r="D199" s="4">
        <v>0.7</v>
      </c>
      <c r="E199" s="4">
        <v>0.8</v>
      </c>
      <c r="F199" s="4">
        <v>0.4</v>
      </c>
      <c r="G199" s="4">
        <v>5.9</v>
      </c>
      <c r="H199" s="4">
        <v>4.0999999999999996</v>
      </c>
      <c r="I199" s="4">
        <v>87.8</v>
      </c>
    </row>
    <row r="200" spans="1:9" x14ac:dyDescent="0.35">
      <c r="A200" s="3" t="s">
        <v>5029</v>
      </c>
      <c r="B200" s="3" t="s">
        <v>571</v>
      </c>
      <c r="C200" s="4">
        <v>0.3</v>
      </c>
      <c r="D200" s="4">
        <v>0.7</v>
      </c>
      <c r="E200" s="4">
        <v>0.8</v>
      </c>
      <c r="F200" s="4">
        <v>0.4</v>
      </c>
      <c r="G200" s="4">
        <v>5.9</v>
      </c>
      <c r="H200" s="4">
        <v>4.0999999999999996</v>
      </c>
      <c r="I200" s="4">
        <v>87.8</v>
      </c>
    </row>
    <row r="201" spans="1:9" x14ac:dyDescent="0.35">
      <c r="A201" s="3" t="s">
        <v>4604</v>
      </c>
      <c r="B201" s="3" t="s">
        <v>575</v>
      </c>
      <c r="C201" s="4">
        <v>0.7</v>
      </c>
      <c r="D201" s="4">
        <v>10.9</v>
      </c>
      <c r="E201" s="4">
        <v>22.2</v>
      </c>
      <c r="F201" s="4">
        <v>19.3</v>
      </c>
      <c r="G201" s="4">
        <v>36.799999999999997</v>
      </c>
      <c r="H201" s="4">
        <v>7</v>
      </c>
      <c r="I201" s="4">
        <v>3.1</v>
      </c>
    </row>
    <row r="202" spans="1:9" x14ac:dyDescent="0.35">
      <c r="A202" s="3" t="s">
        <v>3544</v>
      </c>
      <c r="B202" s="3" t="s">
        <v>579</v>
      </c>
      <c r="C202" s="4">
        <v>3.6</v>
      </c>
      <c r="D202" s="4">
        <v>24.6</v>
      </c>
      <c r="E202" s="4">
        <v>24.3</v>
      </c>
      <c r="F202" s="4">
        <v>12.2</v>
      </c>
      <c r="G202" s="4">
        <v>24.9</v>
      </c>
      <c r="H202" s="4">
        <v>6.1</v>
      </c>
      <c r="I202" s="4">
        <v>4.3</v>
      </c>
    </row>
    <row r="203" spans="1:9" x14ac:dyDescent="0.35">
      <c r="A203" s="3" t="s">
        <v>3546</v>
      </c>
      <c r="B203" s="3" t="s">
        <v>581</v>
      </c>
      <c r="C203" s="4">
        <v>2</v>
      </c>
      <c r="D203" s="4">
        <v>11.3</v>
      </c>
      <c r="E203" s="4">
        <v>19.100000000000001</v>
      </c>
      <c r="F203" s="4">
        <v>6.6</v>
      </c>
      <c r="G203" s="4">
        <v>41.5</v>
      </c>
      <c r="H203" s="4">
        <v>14.2</v>
      </c>
      <c r="I203" s="4">
        <v>5.4</v>
      </c>
    </row>
    <row r="204" spans="1:9" x14ac:dyDescent="0.35">
      <c r="A204" s="3" t="s">
        <v>5030</v>
      </c>
      <c r="B204" s="3" t="s">
        <v>585</v>
      </c>
      <c r="C204" s="4">
        <v>0.7</v>
      </c>
      <c r="D204" s="4">
        <v>1.6</v>
      </c>
      <c r="E204" s="4">
        <v>1.9</v>
      </c>
      <c r="F204" s="4">
        <v>1.9</v>
      </c>
      <c r="G204" s="4">
        <v>15.4</v>
      </c>
      <c r="H204" s="4">
        <v>31.4</v>
      </c>
      <c r="I204" s="4">
        <v>47.2</v>
      </c>
    </row>
    <row r="205" spans="1:9" x14ac:dyDescent="0.35">
      <c r="A205" s="3" t="s">
        <v>5031</v>
      </c>
      <c r="B205" s="3" t="s">
        <v>589</v>
      </c>
      <c r="C205" s="4">
        <v>0.7</v>
      </c>
      <c r="D205" s="4">
        <v>1.6</v>
      </c>
      <c r="E205" s="4">
        <v>1.9</v>
      </c>
      <c r="F205" s="4">
        <v>1.9</v>
      </c>
      <c r="G205" s="4">
        <v>15.4</v>
      </c>
      <c r="H205" s="4">
        <v>31.4</v>
      </c>
      <c r="I205" s="4">
        <v>47.2</v>
      </c>
    </row>
    <row r="206" spans="1:9" x14ac:dyDescent="0.35">
      <c r="A206" s="3" t="s">
        <v>5032</v>
      </c>
      <c r="B206" s="3" t="s">
        <v>591</v>
      </c>
      <c r="C206" s="4">
        <v>0.7</v>
      </c>
      <c r="D206" s="4">
        <v>1.6</v>
      </c>
      <c r="E206" s="4">
        <v>1.9</v>
      </c>
      <c r="F206" s="4">
        <v>1.9</v>
      </c>
      <c r="G206" s="4">
        <v>15.4</v>
      </c>
      <c r="H206" s="4">
        <v>31.4</v>
      </c>
      <c r="I206" s="4">
        <v>47.2</v>
      </c>
    </row>
    <row r="207" spans="1:9" x14ac:dyDescent="0.35">
      <c r="A207" s="3" t="s">
        <v>5033</v>
      </c>
      <c r="B207" s="3" t="s">
        <v>595</v>
      </c>
      <c r="C207" s="4">
        <v>0.7</v>
      </c>
      <c r="D207" s="4">
        <v>1.6</v>
      </c>
      <c r="E207" s="4">
        <v>1.9</v>
      </c>
      <c r="F207" s="4">
        <v>1.9</v>
      </c>
      <c r="G207" s="4">
        <v>15.4</v>
      </c>
      <c r="H207" s="4">
        <v>31.4</v>
      </c>
      <c r="I207" s="4">
        <v>47.2</v>
      </c>
    </row>
    <row r="208" spans="1:9" x14ac:dyDescent="0.35">
      <c r="A208" s="3" t="s">
        <v>5034</v>
      </c>
      <c r="B208" s="3" t="s">
        <v>597</v>
      </c>
      <c r="C208" s="4">
        <v>0.7</v>
      </c>
      <c r="D208" s="4">
        <v>1.6</v>
      </c>
      <c r="E208" s="4">
        <v>1.9</v>
      </c>
      <c r="F208" s="4">
        <v>1.9</v>
      </c>
      <c r="G208" s="4">
        <v>15.4</v>
      </c>
      <c r="H208" s="4">
        <v>31.4</v>
      </c>
      <c r="I208" s="4">
        <v>47.2</v>
      </c>
    </row>
    <row r="209" spans="1:9" x14ac:dyDescent="0.35">
      <c r="A209" s="3" t="s">
        <v>5035</v>
      </c>
      <c r="B209" s="3" t="s">
        <v>601</v>
      </c>
      <c r="C209" s="4">
        <v>0.7</v>
      </c>
      <c r="D209" s="4">
        <v>1.6</v>
      </c>
      <c r="E209" s="4">
        <v>1.9</v>
      </c>
      <c r="F209" s="4">
        <v>1.9</v>
      </c>
      <c r="G209" s="4">
        <v>15.4</v>
      </c>
      <c r="H209" s="4">
        <v>31.4</v>
      </c>
      <c r="I209" s="4">
        <v>47.2</v>
      </c>
    </row>
    <row r="210" spans="1:9" x14ac:dyDescent="0.35">
      <c r="A210" s="3" t="s">
        <v>5036</v>
      </c>
      <c r="B210" s="3" t="s">
        <v>603</v>
      </c>
      <c r="C210" s="4">
        <v>0.7</v>
      </c>
      <c r="D210" s="4">
        <v>1.6</v>
      </c>
      <c r="E210" s="4">
        <v>1.9</v>
      </c>
      <c r="F210" s="4">
        <v>1.9</v>
      </c>
      <c r="G210" s="4">
        <v>15.4</v>
      </c>
      <c r="H210" s="4">
        <v>31.4</v>
      </c>
      <c r="I210" s="4">
        <v>47.2</v>
      </c>
    </row>
    <row r="211" spans="1:9" x14ac:dyDescent="0.35">
      <c r="A211" s="3" t="s">
        <v>5037</v>
      </c>
      <c r="B211" s="3" t="s">
        <v>605</v>
      </c>
      <c r="C211" s="4">
        <v>0.7</v>
      </c>
      <c r="D211" s="4">
        <v>1.6</v>
      </c>
      <c r="E211" s="4">
        <v>1.9</v>
      </c>
      <c r="F211" s="4">
        <v>1.9</v>
      </c>
      <c r="G211" s="4">
        <v>15.4</v>
      </c>
      <c r="H211" s="4">
        <v>31.4</v>
      </c>
      <c r="I211" s="4">
        <v>47.2</v>
      </c>
    </row>
    <row r="212" spans="1:9" x14ac:dyDescent="0.35">
      <c r="A212" s="3" t="s">
        <v>5038</v>
      </c>
      <c r="B212" s="3" t="s">
        <v>609</v>
      </c>
      <c r="C212" s="4">
        <v>0.7</v>
      </c>
      <c r="D212" s="4">
        <v>1.6</v>
      </c>
      <c r="E212" s="4">
        <v>1.9</v>
      </c>
      <c r="F212" s="4">
        <v>1.9</v>
      </c>
      <c r="G212" s="4">
        <v>15.4</v>
      </c>
      <c r="H212" s="4">
        <v>31.4</v>
      </c>
      <c r="I212" s="4">
        <v>47.2</v>
      </c>
    </row>
    <row r="213" spans="1:9" x14ac:dyDescent="0.35">
      <c r="A213" s="3" t="s">
        <v>5039</v>
      </c>
      <c r="B213" s="3" t="s">
        <v>611</v>
      </c>
      <c r="C213" s="4">
        <v>0.7</v>
      </c>
      <c r="D213" s="4">
        <v>1.6</v>
      </c>
      <c r="E213" s="4">
        <v>1.9</v>
      </c>
      <c r="F213" s="4">
        <v>1.9</v>
      </c>
      <c r="G213" s="4">
        <v>15.4</v>
      </c>
      <c r="H213" s="4">
        <v>31.4</v>
      </c>
      <c r="I213" s="4">
        <v>47.2</v>
      </c>
    </row>
    <row r="214" spans="1:9" x14ac:dyDescent="0.35">
      <c r="A214" s="3" t="s">
        <v>5040</v>
      </c>
      <c r="B214" s="3" t="s">
        <v>613</v>
      </c>
      <c r="C214" s="4">
        <v>0.7</v>
      </c>
      <c r="D214" s="4">
        <v>1.6</v>
      </c>
      <c r="E214" s="4">
        <v>1.9</v>
      </c>
      <c r="F214" s="4">
        <v>1.9</v>
      </c>
      <c r="G214" s="4">
        <v>15.4</v>
      </c>
      <c r="H214" s="4">
        <v>31.4</v>
      </c>
      <c r="I214" s="4">
        <v>47.2</v>
      </c>
    </row>
    <row r="215" spans="1:9" x14ac:dyDescent="0.35">
      <c r="A215" s="3" t="s">
        <v>5041</v>
      </c>
      <c r="B215" s="3" t="s">
        <v>615</v>
      </c>
      <c r="C215" s="4">
        <v>0.7</v>
      </c>
      <c r="D215" s="4">
        <v>1.6</v>
      </c>
      <c r="E215" s="4">
        <v>1.9</v>
      </c>
      <c r="F215" s="4">
        <v>1.9</v>
      </c>
      <c r="G215" s="4">
        <v>15.4</v>
      </c>
      <c r="H215" s="4">
        <v>31.4</v>
      </c>
      <c r="I215" s="4">
        <v>47.2</v>
      </c>
    </row>
    <row r="216" spans="1:9" x14ac:dyDescent="0.35">
      <c r="A216" s="3" t="s">
        <v>5042</v>
      </c>
      <c r="B216" s="3" t="s">
        <v>619</v>
      </c>
      <c r="C216" s="4">
        <v>0.7</v>
      </c>
      <c r="D216" s="4">
        <v>1.6</v>
      </c>
      <c r="E216" s="4">
        <v>1.9</v>
      </c>
      <c r="F216" s="4">
        <v>1.9</v>
      </c>
      <c r="G216" s="4">
        <v>15.4</v>
      </c>
      <c r="H216" s="4">
        <v>31.4</v>
      </c>
      <c r="I216" s="4">
        <v>47.2</v>
      </c>
    </row>
    <row r="217" spans="1:9" x14ac:dyDescent="0.35">
      <c r="A217" s="3" t="s">
        <v>5043</v>
      </c>
      <c r="B217" s="3" t="s">
        <v>621</v>
      </c>
      <c r="C217" s="4">
        <v>0.7</v>
      </c>
      <c r="D217" s="4">
        <v>1.6</v>
      </c>
      <c r="E217" s="4">
        <v>1.9</v>
      </c>
      <c r="F217" s="4">
        <v>1.9</v>
      </c>
      <c r="G217" s="4">
        <v>15.4</v>
      </c>
      <c r="H217" s="4">
        <v>31.4</v>
      </c>
      <c r="I217" s="4">
        <v>47.2</v>
      </c>
    </row>
    <row r="218" spans="1:9" x14ac:dyDescent="0.35">
      <c r="A218" s="3" t="s">
        <v>5044</v>
      </c>
      <c r="B218" s="3" t="s">
        <v>623</v>
      </c>
      <c r="C218" s="4">
        <v>0.7</v>
      </c>
      <c r="D218" s="4">
        <v>1.6</v>
      </c>
      <c r="E218" s="4">
        <v>1.9</v>
      </c>
      <c r="F218" s="4">
        <v>1.9</v>
      </c>
      <c r="G218" s="4">
        <v>15.4</v>
      </c>
      <c r="H218" s="4">
        <v>31.4</v>
      </c>
      <c r="I218" s="4">
        <v>47.2</v>
      </c>
    </row>
    <row r="219" spans="1:9" x14ac:dyDescent="0.35">
      <c r="A219" s="3" t="s">
        <v>5045</v>
      </c>
      <c r="B219" s="3" t="s">
        <v>625</v>
      </c>
      <c r="C219" s="4">
        <v>0.7</v>
      </c>
      <c r="D219" s="4">
        <v>1.6</v>
      </c>
      <c r="E219" s="4">
        <v>1.9</v>
      </c>
      <c r="F219" s="4">
        <v>1.9</v>
      </c>
      <c r="G219" s="4">
        <v>15.4</v>
      </c>
      <c r="H219" s="4">
        <v>31.4</v>
      </c>
      <c r="I219" s="4">
        <v>47.2</v>
      </c>
    </row>
    <row r="220" spans="1:9" x14ac:dyDescent="0.35">
      <c r="A220" s="3" t="s">
        <v>5046</v>
      </c>
      <c r="B220" s="3" t="s">
        <v>627</v>
      </c>
      <c r="C220" s="4">
        <v>0.7</v>
      </c>
      <c r="D220" s="4">
        <v>1.6</v>
      </c>
      <c r="E220" s="4">
        <v>1.9</v>
      </c>
      <c r="F220" s="4">
        <v>1.9</v>
      </c>
      <c r="G220" s="4">
        <v>15.4</v>
      </c>
      <c r="H220" s="4">
        <v>31.4</v>
      </c>
      <c r="I220" s="4">
        <v>47.2</v>
      </c>
    </row>
    <row r="221" spans="1:9" x14ac:dyDescent="0.35">
      <c r="A221" s="3" t="s">
        <v>5047</v>
      </c>
      <c r="B221" s="3" t="s">
        <v>629</v>
      </c>
      <c r="C221" s="4">
        <v>0.7</v>
      </c>
      <c r="D221" s="4">
        <v>1.6</v>
      </c>
      <c r="E221" s="4">
        <v>1.9</v>
      </c>
      <c r="F221" s="4">
        <v>1.9</v>
      </c>
      <c r="G221" s="4">
        <v>15.4</v>
      </c>
      <c r="H221" s="4">
        <v>31.4</v>
      </c>
      <c r="I221" s="4">
        <v>47.2</v>
      </c>
    </row>
    <row r="222" spans="1:9" x14ac:dyDescent="0.35">
      <c r="A222" s="3" t="s">
        <v>5048</v>
      </c>
      <c r="B222" s="3" t="s">
        <v>631</v>
      </c>
      <c r="C222" s="4">
        <v>0.7</v>
      </c>
      <c r="D222" s="4">
        <v>1.6</v>
      </c>
      <c r="E222" s="4">
        <v>1.9</v>
      </c>
      <c r="F222" s="4">
        <v>1.9</v>
      </c>
      <c r="G222" s="4">
        <v>15.4</v>
      </c>
      <c r="H222" s="4">
        <v>31.4</v>
      </c>
      <c r="I222" s="4">
        <v>47.2</v>
      </c>
    </row>
    <row r="223" spans="1:9" x14ac:dyDescent="0.35">
      <c r="A223" s="3" t="s">
        <v>5049</v>
      </c>
      <c r="B223" s="3" t="s">
        <v>633</v>
      </c>
      <c r="C223" s="4">
        <v>0.7</v>
      </c>
      <c r="D223" s="4">
        <v>1.6</v>
      </c>
      <c r="E223" s="4">
        <v>1.9</v>
      </c>
      <c r="F223" s="4">
        <v>1.9</v>
      </c>
      <c r="G223" s="4">
        <v>15.4</v>
      </c>
      <c r="H223" s="4">
        <v>31.4</v>
      </c>
      <c r="I223" s="4">
        <v>47.2</v>
      </c>
    </row>
    <row r="224" spans="1:9" x14ac:dyDescent="0.35">
      <c r="A224" s="3" t="s">
        <v>5050</v>
      </c>
      <c r="B224" s="3" t="s">
        <v>637</v>
      </c>
      <c r="C224" s="4">
        <v>0.7</v>
      </c>
      <c r="D224" s="4">
        <v>1.6</v>
      </c>
      <c r="E224" s="4">
        <v>1.9</v>
      </c>
      <c r="F224" s="4">
        <v>1.9</v>
      </c>
      <c r="G224" s="4">
        <v>15.4</v>
      </c>
      <c r="H224" s="4">
        <v>31.4</v>
      </c>
      <c r="I224" s="4">
        <v>47.2</v>
      </c>
    </row>
    <row r="225" spans="1:9" x14ac:dyDescent="0.35">
      <c r="A225" s="3" t="s">
        <v>5051</v>
      </c>
      <c r="B225" s="3" t="s">
        <v>639</v>
      </c>
      <c r="C225" s="4">
        <v>0.7</v>
      </c>
      <c r="D225" s="4">
        <v>1.6</v>
      </c>
      <c r="E225" s="4">
        <v>1.9</v>
      </c>
      <c r="F225" s="4">
        <v>1.9</v>
      </c>
      <c r="G225" s="4">
        <v>15.4</v>
      </c>
      <c r="H225" s="4">
        <v>31.4</v>
      </c>
      <c r="I225" s="4">
        <v>47.2</v>
      </c>
    </row>
    <row r="226" spans="1:9" x14ac:dyDescent="0.35">
      <c r="A226" s="3" t="s">
        <v>5052</v>
      </c>
      <c r="B226" s="3" t="s">
        <v>643</v>
      </c>
      <c r="C226" s="4">
        <v>0.7</v>
      </c>
      <c r="D226" s="4">
        <v>1.6</v>
      </c>
      <c r="E226" s="4">
        <v>1.9</v>
      </c>
      <c r="F226" s="4">
        <v>1.9</v>
      </c>
      <c r="G226" s="4">
        <v>15.4</v>
      </c>
      <c r="H226" s="4">
        <v>31.4</v>
      </c>
      <c r="I226" s="4">
        <v>47.2</v>
      </c>
    </row>
    <row r="227" spans="1:9" x14ac:dyDescent="0.35">
      <c r="A227" s="3" t="s">
        <v>5053</v>
      </c>
      <c r="B227" s="3" t="s">
        <v>645</v>
      </c>
      <c r="C227" s="4">
        <v>0.7</v>
      </c>
      <c r="D227" s="4">
        <v>1.6</v>
      </c>
      <c r="E227" s="4">
        <v>1.9</v>
      </c>
      <c r="F227" s="4">
        <v>1.9</v>
      </c>
      <c r="G227" s="4">
        <v>15.4</v>
      </c>
      <c r="H227" s="4">
        <v>31.4</v>
      </c>
      <c r="I227" s="4">
        <v>47.2</v>
      </c>
    </row>
    <row r="228" spans="1:9" x14ac:dyDescent="0.35">
      <c r="A228" s="3" t="s">
        <v>5054</v>
      </c>
      <c r="B228" s="3" t="s">
        <v>649</v>
      </c>
      <c r="C228" s="4">
        <v>0.7</v>
      </c>
      <c r="D228" s="4">
        <v>1.6</v>
      </c>
      <c r="E228" s="4">
        <v>1.9</v>
      </c>
      <c r="F228" s="4">
        <v>1.9</v>
      </c>
      <c r="G228" s="4">
        <v>15.4</v>
      </c>
      <c r="H228" s="4">
        <v>31.4</v>
      </c>
      <c r="I228" s="4">
        <v>47.2</v>
      </c>
    </row>
    <row r="229" spans="1:9" x14ac:dyDescent="0.35">
      <c r="A229" s="3" t="s">
        <v>5055</v>
      </c>
      <c r="B229" s="3" t="s">
        <v>651</v>
      </c>
      <c r="C229" s="4">
        <v>0.7</v>
      </c>
      <c r="D229" s="4">
        <v>1.6</v>
      </c>
      <c r="E229" s="4">
        <v>1.9</v>
      </c>
      <c r="F229" s="4">
        <v>1.9</v>
      </c>
      <c r="G229" s="4">
        <v>15.4</v>
      </c>
      <c r="H229" s="4">
        <v>31.4</v>
      </c>
      <c r="I229" s="4">
        <v>47.2</v>
      </c>
    </row>
    <row r="230" spans="1:9" x14ac:dyDescent="0.35">
      <c r="A230" s="3" t="s">
        <v>5056</v>
      </c>
      <c r="B230" s="3" t="s">
        <v>653</v>
      </c>
      <c r="C230" s="4">
        <v>0.7</v>
      </c>
      <c r="D230" s="4">
        <v>1.6</v>
      </c>
      <c r="E230" s="4">
        <v>1.9</v>
      </c>
      <c r="F230" s="4">
        <v>1.9</v>
      </c>
      <c r="G230" s="4">
        <v>15.4</v>
      </c>
      <c r="H230" s="4">
        <v>31.4</v>
      </c>
      <c r="I230" s="4">
        <v>47.2</v>
      </c>
    </row>
    <row r="231" spans="1:9" x14ac:dyDescent="0.35">
      <c r="A231" s="3" t="s">
        <v>5057</v>
      </c>
      <c r="B231" s="3" t="s">
        <v>657</v>
      </c>
      <c r="C231" s="4">
        <v>0.7</v>
      </c>
      <c r="D231" s="4">
        <v>1.6</v>
      </c>
      <c r="E231" s="4">
        <v>1.9</v>
      </c>
      <c r="F231" s="4">
        <v>1.9</v>
      </c>
      <c r="G231" s="4">
        <v>15.4</v>
      </c>
      <c r="H231" s="4">
        <v>31.4</v>
      </c>
      <c r="I231" s="4">
        <v>47.2</v>
      </c>
    </row>
    <row r="232" spans="1:9" x14ac:dyDescent="0.35">
      <c r="A232" s="3" t="s">
        <v>5058</v>
      </c>
      <c r="B232" s="3" t="s">
        <v>659</v>
      </c>
      <c r="C232" s="4">
        <v>0.7</v>
      </c>
      <c r="D232" s="4">
        <v>1.6</v>
      </c>
      <c r="E232" s="4">
        <v>1.9</v>
      </c>
      <c r="F232" s="4">
        <v>1.9</v>
      </c>
      <c r="G232" s="4">
        <v>15.4</v>
      </c>
      <c r="H232" s="4">
        <v>31.4</v>
      </c>
      <c r="I232" s="4">
        <v>47.2</v>
      </c>
    </row>
    <row r="233" spans="1:9" x14ac:dyDescent="0.35">
      <c r="A233" s="3" t="s">
        <v>5059</v>
      </c>
      <c r="B233" s="3" t="s">
        <v>661</v>
      </c>
      <c r="C233" s="4">
        <v>0.7</v>
      </c>
      <c r="D233" s="4">
        <v>1.6</v>
      </c>
      <c r="E233" s="4">
        <v>1.9</v>
      </c>
      <c r="F233" s="4">
        <v>1.9</v>
      </c>
      <c r="G233" s="4">
        <v>15.4</v>
      </c>
      <c r="H233" s="4">
        <v>31.4</v>
      </c>
      <c r="I233" s="4">
        <v>47.2</v>
      </c>
    </row>
    <row r="234" spans="1:9" x14ac:dyDescent="0.35">
      <c r="A234" s="3" t="s">
        <v>5060</v>
      </c>
      <c r="B234" s="3" t="s">
        <v>663</v>
      </c>
      <c r="C234" s="4">
        <v>0.7</v>
      </c>
      <c r="D234" s="4">
        <v>1.6</v>
      </c>
      <c r="E234" s="4">
        <v>1.9</v>
      </c>
      <c r="F234" s="4">
        <v>1.9</v>
      </c>
      <c r="G234" s="4">
        <v>15.4</v>
      </c>
      <c r="H234" s="4">
        <v>31.4</v>
      </c>
      <c r="I234" s="4">
        <v>47.2</v>
      </c>
    </row>
    <row r="235" spans="1:9" x14ac:dyDescent="0.35">
      <c r="A235" s="3" t="s">
        <v>5061</v>
      </c>
      <c r="B235" s="3" t="s">
        <v>665</v>
      </c>
      <c r="C235" s="4">
        <v>0.7</v>
      </c>
      <c r="D235" s="4">
        <v>1.6</v>
      </c>
      <c r="E235" s="4">
        <v>1.9</v>
      </c>
      <c r="F235" s="4">
        <v>1.9</v>
      </c>
      <c r="G235" s="4">
        <v>15.4</v>
      </c>
      <c r="H235" s="4">
        <v>31.4</v>
      </c>
      <c r="I235" s="4">
        <v>47.2</v>
      </c>
    </row>
    <row r="236" spans="1:9" x14ac:dyDescent="0.35">
      <c r="A236" s="3" t="s">
        <v>5062</v>
      </c>
      <c r="B236" s="3" t="s">
        <v>667</v>
      </c>
      <c r="C236" s="4">
        <v>0.7</v>
      </c>
      <c r="D236" s="4">
        <v>1.6</v>
      </c>
      <c r="E236" s="4">
        <v>1.9</v>
      </c>
      <c r="F236" s="4">
        <v>1.9</v>
      </c>
      <c r="G236" s="4">
        <v>15.4</v>
      </c>
      <c r="H236" s="4">
        <v>31.4</v>
      </c>
      <c r="I236" s="4">
        <v>47.2</v>
      </c>
    </row>
    <row r="237" spans="1:9" x14ac:dyDescent="0.35">
      <c r="A237" s="3" t="s">
        <v>5063</v>
      </c>
      <c r="B237" s="3" t="s">
        <v>671</v>
      </c>
      <c r="C237" s="4">
        <v>0.7</v>
      </c>
      <c r="D237" s="4">
        <v>1.6</v>
      </c>
      <c r="E237" s="4">
        <v>1.9</v>
      </c>
      <c r="F237" s="4">
        <v>1.9</v>
      </c>
      <c r="G237" s="4">
        <v>15.4</v>
      </c>
      <c r="H237" s="4">
        <v>31.4</v>
      </c>
      <c r="I237" s="4">
        <v>47.2</v>
      </c>
    </row>
    <row r="238" spans="1:9" x14ac:dyDescent="0.35">
      <c r="A238" s="3" t="s">
        <v>5064</v>
      </c>
      <c r="B238" s="3" t="s">
        <v>673</v>
      </c>
      <c r="C238" s="4">
        <v>0.7</v>
      </c>
      <c r="D238" s="4">
        <v>1.6</v>
      </c>
      <c r="E238" s="4">
        <v>1.9</v>
      </c>
      <c r="F238" s="4">
        <v>1.9</v>
      </c>
      <c r="G238" s="4">
        <v>15.4</v>
      </c>
      <c r="H238" s="4">
        <v>31.4</v>
      </c>
      <c r="I238" s="4">
        <v>47.2</v>
      </c>
    </row>
    <row r="239" spans="1:9" x14ac:dyDescent="0.35">
      <c r="A239" s="3" t="s">
        <v>5065</v>
      </c>
      <c r="B239" s="3" t="s">
        <v>675</v>
      </c>
      <c r="C239" s="4">
        <v>0.7</v>
      </c>
      <c r="D239" s="4">
        <v>1.6</v>
      </c>
      <c r="E239" s="4">
        <v>1.9</v>
      </c>
      <c r="F239" s="4">
        <v>1.9</v>
      </c>
      <c r="G239" s="4">
        <v>15.4</v>
      </c>
      <c r="H239" s="4">
        <v>31.4</v>
      </c>
      <c r="I239" s="4">
        <v>47.2</v>
      </c>
    </row>
    <row r="240" spans="1:9" x14ac:dyDescent="0.35">
      <c r="A240" s="3" t="s">
        <v>5066</v>
      </c>
      <c r="B240" s="3" t="s">
        <v>677</v>
      </c>
      <c r="C240" s="4">
        <v>0.7</v>
      </c>
      <c r="D240" s="4">
        <v>1.6</v>
      </c>
      <c r="E240" s="4">
        <v>1.9</v>
      </c>
      <c r="F240" s="4">
        <v>1.9</v>
      </c>
      <c r="G240" s="4">
        <v>15.4</v>
      </c>
      <c r="H240" s="4">
        <v>31.4</v>
      </c>
      <c r="I240" s="4">
        <v>47.2</v>
      </c>
    </row>
    <row r="241" spans="1:9" x14ac:dyDescent="0.35">
      <c r="A241" s="3" t="s">
        <v>5067</v>
      </c>
      <c r="B241" s="3" t="s">
        <v>683</v>
      </c>
      <c r="C241" s="4">
        <v>1.5</v>
      </c>
      <c r="D241" s="4">
        <v>11.9</v>
      </c>
      <c r="E241" s="4">
        <v>18.600000000000001</v>
      </c>
      <c r="F241" s="4">
        <v>12</v>
      </c>
      <c r="G241" s="4">
        <v>36.9</v>
      </c>
      <c r="H241" s="4">
        <v>17.7</v>
      </c>
      <c r="I241" s="4">
        <v>1.4</v>
      </c>
    </row>
    <row r="242" spans="1:9" x14ac:dyDescent="0.35">
      <c r="A242" s="3" t="s">
        <v>5068</v>
      </c>
      <c r="B242" s="3" t="s">
        <v>685</v>
      </c>
      <c r="C242" s="4">
        <v>1.5</v>
      </c>
      <c r="D242" s="4">
        <v>11.9</v>
      </c>
      <c r="E242" s="4">
        <v>18.600000000000001</v>
      </c>
      <c r="F242" s="4">
        <v>12</v>
      </c>
      <c r="G242" s="4">
        <v>36.9</v>
      </c>
      <c r="H242" s="4">
        <v>17.7</v>
      </c>
      <c r="I242" s="4">
        <v>1.4</v>
      </c>
    </row>
    <row r="243" spans="1:9" x14ac:dyDescent="0.35">
      <c r="A243" s="3" t="s">
        <v>5069</v>
      </c>
      <c r="B243" s="3" t="s">
        <v>689</v>
      </c>
      <c r="C243" s="4">
        <v>0</v>
      </c>
      <c r="D243" s="4">
        <v>0</v>
      </c>
      <c r="E243" s="4">
        <v>2.8</v>
      </c>
      <c r="F243" s="4">
        <v>2.2000000000000002</v>
      </c>
      <c r="G243" s="4">
        <v>44.3</v>
      </c>
      <c r="H243" s="4">
        <v>46.5</v>
      </c>
      <c r="I243" s="4">
        <v>4.2</v>
      </c>
    </row>
    <row r="244" spans="1:9" x14ac:dyDescent="0.35">
      <c r="A244" s="3" t="s">
        <v>5070</v>
      </c>
      <c r="B244" s="3" t="s">
        <v>691</v>
      </c>
      <c r="C244" s="4">
        <v>0</v>
      </c>
      <c r="D244" s="4">
        <v>0</v>
      </c>
      <c r="E244" s="4">
        <v>2.8</v>
      </c>
      <c r="F244" s="4">
        <v>2.2000000000000002</v>
      </c>
      <c r="G244" s="4">
        <v>44.3</v>
      </c>
      <c r="H244" s="4">
        <v>46.5</v>
      </c>
      <c r="I244" s="4">
        <v>4.2</v>
      </c>
    </row>
    <row r="245" spans="1:9" x14ac:dyDescent="0.35">
      <c r="A245" s="3" t="s">
        <v>5071</v>
      </c>
      <c r="B245" s="3" t="s">
        <v>693</v>
      </c>
      <c r="C245" s="4">
        <v>0</v>
      </c>
      <c r="D245" s="4">
        <v>0</v>
      </c>
      <c r="E245" s="4">
        <v>2.8</v>
      </c>
      <c r="F245" s="4">
        <v>2.2000000000000002</v>
      </c>
      <c r="G245" s="4">
        <v>44.3</v>
      </c>
      <c r="H245" s="4">
        <v>46.5</v>
      </c>
      <c r="I245" s="4">
        <v>4.2</v>
      </c>
    </row>
    <row r="246" spans="1:9" x14ac:dyDescent="0.35">
      <c r="A246" s="3" t="s">
        <v>5072</v>
      </c>
      <c r="B246" s="3" t="s">
        <v>697</v>
      </c>
      <c r="C246" s="4">
        <v>0</v>
      </c>
      <c r="D246" s="4">
        <v>0</v>
      </c>
      <c r="E246" s="4">
        <v>1.9</v>
      </c>
      <c r="F246" s="4">
        <v>1.6</v>
      </c>
      <c r="G246" s="4">
        <v>39.6</v>
      </c>
      <c r="H246" s="4">
        <v>51.6</v>
      </c>
      <c r="I246" s="4">
        <v>5.3</v>
      </c>
    </row>
    <row r="247" spans="1:9" x14ac:dyDescent="0.35">
      <c r="A247" s="3" t="s">
        <v>5073</v>
      </c>
      <c r="B247" s="3" t="s">
        <v>699</v>
      </c>
      <c r="C247" s="4">
        <v>0</v>
      </c>
      <c r="D247" s="4">
        <v>0</v>
      </c>
      <c r="E247" s="4">
        <v>1.9</v>
      </c>
      <c r="F247" s="4">
        <v>1.6</v>
      </c>
      <c r="G247" s="4">
        <v>39.6</v>
      </c>
      <c r="H247" s="4">
        <v>51.6</v>
      </c>
      <c r="I247" s="4">
        <v>5.3</v>
      </c>
    </row>
    <row r="248" spans="1:9" x14ac:dyDescent="0.35">
      <c r="A248" s="3" t="s">
        <v>5074</v>
      </c>
      <c r="B248" s="3" t="s">
        <v>703</v>
      </c>
      <c r="C248" s="4">
        <v>0.5</v>
      </c>
      <c r="D248" s="4">
        <v>3.3</v>
      </c>
      <c r="E248" s="4">
        <v>4.3</v>
      </c>
      <c r="F248" s="4">
        <v>2.5</v>
      </c>
      <c r="G248" s="4">
        <v>34.4</v>
      </c>
      <c r="H248" s="4">
        <v>51.1</v>
      </c>
      <c r="I248" s="4">
        <v>4</v>
      </c>
    </row>
    <row r="249" spans="1:9" x14ac:dyDescent="0.35">
      <c r="A249" s="3" t="s">
        <v>5075</v>
      </c>
      <c r="B249" s="3" t="s">
        <v>705</v>
      </c>
      <c r="C249" s="4">
        <v>0.5</v>
      </c>
      <c r="D249" s="4">
        <v>3.3</v>
      </c>
      <c r="E249" s="4">
        <v>4.3</v>
      </c>
      <c r="F249" s="4">
        <v>2.5</v>
      </c>
      <c r="G249" s="4">
        <v>34.4</v>
      </c>
      <c r="H249" s="4">
        <v>51.1</v>
      </c>
      <c r="I249" s="4">
        <v>4</v>
      </c>
    </row>
    <row r="250" spans="1:9" x14ac:dyDescent="0.35">
      <c r="A250" s="3" t="s">
        <v>5076</v>
      </c>
      <c r="B250" s="3" t="s">
        <v>707</v>
      </c>
      <c r="C250" s="4">
        <v>0.5</v>
      </c>
      <c r="D250" s="4">
        <v>3.3</v>
      </c>
      <c r="E250" s="4">
        <v>4.3</v>
      </c>
      <c r="F250" s="4">
        <v>2.5</v>
      </c>
      <c r="G250" s="4">
        <v>34.4</v>
      </c>
      <c r="H250" s="4">
        <v>51.1</v>
      </c>
      <c r="I250" s="4">
        <v>4</v>
      </c>
    </row>
    <row r="251" spans="1:9" x14ac:dyDescent="0.35">
      <c r="A251" s="3" t="s">
        <v>5077</v>
      </c>
      <c r="B251" s="3" t="s">
        <v>709</v>
      </c>
      <c r="C251" s="4">
        <v>0.5</v>
      </c>
      <c r="D251" s="4">
        <v>3.3</v>
      </c>
      <c r="E251" s="4">
        <v>4.3</v>
      </c>
      <c r="F251" s="4">
        <v>2.5</v>
      </c>
      <c r="G251" s="4">
        <v>34.4</v>
      </c>
      <c r="H251" s="4">
        <v>51.1</v>
      </c>
      <c r="I251" s="4">
        <v>4</v>
      </c>
    </row>
    <row r="252" spans="1:9" x14ac:dyDescent="0.35">
      <c r="A252" s="3" t="s">
        <v>5078</v>
      </c>
      <c r="B252" s="3" t="s">
        <v>711</v>
      </c>
      <c r="C252" s="4">
        <v>0.5</v>
      </c>
      <c r="D252" s="4">
        <v>3.3</v>
      </c>
      <c r="E252" s="4">
        <v>4.3</v>
      </c>
      <c r="F252" s="4">
        <v>2.5</v>
      </c>
      <c r="G252" s="4">
        <v>34.4</v>
      </c>
      <c r="H252" s="4">
        <v>51.1</v>
      </c>
      <c r="I252" s="4">
        <v>4</v>
      </c>
    </row>
    <row r="253" spans="1:9" x14ac:dyDescent="0.35">
      <c r="A253" s="3" t="s">
        <v>5079</v>
      </c>
      <c r="B253" s="3" t="s">
        <v>715</v>
      </c>
      <c r="C253" s="4">
        <v>1.9</v>
      </c>
      <c r="D253" s="4">
        <v>10.8</v>
      </c>
      <c r="E253" s="4">
        <v>17.100000000000001</v>
      </c>
      <c r="F253" s="4">
        <v>8</v>
      </c>
      <c r="G253" s="4">
        <v>36.5</v>
      </c>
      <c r="H253" s="4">
        <v>20.8</v>
      </c>
      <c r="I253" s="4">
        <v>4.9000000000000004</v>
      </c>
    </row>
    <row r="254" spans="1:9" x14ac:dyDescent="0.35">
      <c r="A254" s="3" t="s">
        <v>5080</v>
      </c>
      <c r="B254" s="3" t="s">
        <v>717</v>
      </c>
      <c r="C254" s="4">
        <v>1.9</v>
      </c>
      <c r="D254" s="4">
        <v>10.8</v>
      </c>
      <c r="E254" s="4">
        <v>17.100000000000001</v>
      </c>
      <c r="F254" s="4">
        <v>8</v>
      </c>
      <c r="G254" s="4">
        <v>36.5</v>
      </c>
      <c r="H254" s="4">
        <v>20.8</v>
      </c>
      <c r="I254" s="4">
        <v>4.9000000000000004</v>
      </c>
    </row>
    <row r="255" spans="1:9" x14ac:dyDescent="0.35">
      <c r="A255" s="3" t="s">
        <v>5081</v>
      </c>
      <c r="B255" s="3" t="s">
        <v>719</v>
      </c>
      <c r="C255" s="4">
        <v>1.9</v>
      </c>
      <c r="D255" s="4">
        <v>10.8</v>
      </c>
      <c r="E255" s="4">
        <v>17.100000000000001</v>
      </c>
      <c r="F255" s="4">
        <v>8</v>
      </c>
      <c r="G255" s="4">
        <v>36.5</v>
      </c>
      <c r="H255" s="4">
        <v>20.8</v>
      </c>
      <c r="I255" s="4">
        <v>4.9000000000000004</v>
      </c>
    </row>
    <row r="256" spans="1:9" x14ac:dyDescent="0.35">
      <c r="A256" s="3" t="s">
        <v>3583</v>
      </c>
      <c r="B256" s="3" t="s">
        <v>721</v>
      </c>
      <c r="C256" s="4">
        <v>0.5</v>
      </c>
      <c r="D256" s="4">
        <v>4.3</v>
      </c>
      <c r="E256" s="4">
        <v>9.9</v>
      </c>
      <c r="F256" s="4">
        <v>7.4</v>
      </c>
      <c r="G256" s="4">
        <v>43</v>
      </c>
      <c r="H256" s="4">
        <v>30</v>
      </c>
      <c r="I256" s="4">
        <v>4.9000000000000004</v>
      </c>
    </row>
    <row r="257" spans="1:9" x14ac:dyDescent="0.35">
      <c r="A257" s="3" t="s">
        <v>5082</v>
      </c>
      <c r="B257" s="3" t="s">
        <v>723</v>
      </c>
      <c r="C257" s="4">
        <v>1.9</v>
      </c>
      <c r="D257" s="4">
        <v>10.8</v>
      </c>
      <c r="E257" s="4">
        <v>17.100000000000001</v>
      </c>
      <c r="F257" s="4">
        <v>8</v>
      </c>
      <c r="G257" s="4">
        <v>36.5</v>
      </c>
      <c r="H257" s="4">
        <v>20.8</v>
      </c>
      <c r="I257" s="4">
        <v>4.9000000000000004</v>
      </c>
    </row>
    <row r="258" spans="1:9" x14ac:dyDescent="0.35">
      <c r="A258" s="3" t="s">
        <v>5083</v>
      </c>
      <c r="B258" s="3" t="s">
        <v>729</v>
      </c>
      <c r="C258" s="4">
        <v>1.4</v>
      </c>
      <c r="D258" s="4">
        <v>4.8</v>
      </c>
      <c r="E258" s="4">
        <v>9.4</v>
      </c>
      <c r="F258" s="4">
        <v>4.4000000000000004</v>
      </c>
      <c r="G258" s="4">
        <v>36.6</v>
      </c>
      <c r="H258" s="4">
        <v>37.299999999999997</v>
      </c>
      <c r="I258" s="4">
        <v>6.2</v>
      </c>
    </row>
    <row r="259" spans="1:9" x14ac:dyDescent="0.35">
      <c r="A259" s="3" t="s">
        <v>5084</v>
      </c>
      <c r="B259" s="3" t="s">
        <v>731</v>
      </c>
      <c r="C259" s="4">
        <v>1.4</v>
      </c>
      <c r="D259" s="4">
        <v>4.8</v>
      </c>
      <c r="E259" s="4">
        <v>9.4</v>
      </c>
      <c r="F259" s="4">
        <v>4.4000000000000004</v>
      </c>
      <c r="G259" s="4">
        <v>36.6</v>
      </c>
      <c r="H259" s="4">
        <v>37.299999999999997</v>
      </c>
      <c r="I259" s="4">
        <v>6.2</v>
      </c>
    </row>
    <row r="260" spans="1:9" x14ac:dyDescent="0.35">
      <c r="A260" s="3" t="s">
        <v>5085</v>
      </c>
      <c r="B260" s="3" t="s">
        <v>733</v>
      </c>
      <c r="C260" s="4">
        <v>1.4</v>
      </c>
      <c r="D260" s="4">
        <v>4.8</v>
      </c>
      <c r="E260" s="4">
        <v>9.4</v>
      </c>
      <c r="F260" s="4">
        <v>4.4000000000000004</v>
      </c>
      <c r="G260" s="4">
        <v>36.6</v>
      </c>
      <c r="H260" s="4">
        <v>37.299999999999997</v>
      </c>
      <c r="I260" s="4">
        <v>6.2</v>
      </c>
    </row>
    <row r="261" spans="1:9" x14ac:dyDescent="0.35">
      <c r="A261" s="3" t="s">
        <v>4646</v>
      </c>
      <c r="B261" s="3" t="s">
        <v>735</v>
      </c>
      <c r="C261" s="4">
        <v>0.4</v>
      </c>
      <c r="D261" s="4">
        <v>2.2000000000000002</v>
      </c>
      <c r="E261" s="4">
        <v>7.5</v>
      </c>
      <c r="F261" s="4">
        <v>4.4000000000000004</v>
      </c>
      <c r="G261" s="4">
        <v>24.1</v>
      </c>
      <c r="H261" s="4">
        <v>56.1</v>
      </c>
      <c r="I261" s="4">
        <v>5.2</v>
      </c>
    </row>
    <row r="262" spans="1:9" x14ac:dyDescent="0.35">
      <c r="A262" s="3" t="s">
        <v>3586</v>
      </c>
      <c r="B262" s="3" t="s">
        <v>737</v>
      </c>
      <c r="C262" s="4">
        <v>3</v>
      </c>
      <c r="D262" s="4">
        <v>28.7</v>
      </c>
      <c r="E262" s="4">
        <v>20.2</v>
      </c>
      <c r="F262" s="4">
        <v>7.1</v>
      </c>
      <c r="G262" s="4">
        <v>29.3</v>
      </c>
      <c r="H262" s="4">
        <v>10.9</v>
      </c>
      <c r="I262" s="4">
        <v>0.8</v>
      </c>
    </row>
    <row r="263" spans="1:9" x14ac:dyDescent="0.35">
      <c r="A263" s="3" t="s">
        <v>5086</v>
      </c>
      <c r="B263" s="3" t="s">
        <v>741</v>
      </c>
      <c r="C263" s="4">
        <v>1.3</v>
      </c>
      <c r="D263" s="4">
        <v>3.7</v>
      </c>
      <c r="E263" s="4">
        <v>8.5</v>
      </c>
      <c r="F263" s="4">
        <v>4.5999999999999996</v>
      </c>
      <c r="G263" s="4">
        <v>27.5</v>
      </c>
      <c r="H263" s="4">
        <v>45.1</v>
      </c>
      <c r="I263" s="4">
        <v>9.4</v>
      </c>
    </row>
    <row r="264" spans="1:9" x14ac:dyDescent="0.35">
      <c r="A264" s="3" t="s">
        <v>5087</v>
      </c>
      <c r="B264" s="3" t="s">
        <v>743</v>
      </c>
      <c r="C264" s="4">
        <v>1.3</v>
      </c>
      <c r="D264" s="4">
        <v>3.7</v>
      </c>
      <c r="E264" s="4">
        <v>8.5</v>
      </c>
      <c r="F264" s="4">
        <v>4.5999999999999996</v>
      </c>
      <c r="G264" s="4">
        <v>27.5</v>
      </c>
      <c r="H264" s="4">
        <v>45.1</v>
      </c>
      <c r="I264" s="4">
        <v>9.4</v>
      </c>
    </row>
    <row r="265" spans="1:9" x14ac:dyDescent="0.35">
      <c r="A265" s="3" t="s">
        <v>5088</v>
      </c>
      <c r="B265" s="3" t="s">
        <v>747</v>
      </c>
      <c r="C265" s="4">
        <v>4.3</v>
      </c>
      <c r="D265" s="4">
        <v>25.8</v>
      </c>
      <c r="E265" s="4">
        <v>23.3</v>
      </c>
      <c r="F265" s="4">
        <v>13.9</v>
      </c>
      <c r="G265" s="4">
        <v>23.6</v>
      </c>
      <c r="H265" s="4">
        <v>7.7</v>
      </c>
      <c r="I265" s="4">
        <v>1.4</v>
      </c>
    </row>
    <row r="266" spans="1:9" x14ac:dyDescent="0.35">
      <c r="A266" s="3" t="s">
        <v>5089</v>
      </c>
      <c r="B266" s="3" t="s">
        <v>749</v>
      </c>
      <c r="C266" s="4">
        <v>4.3</v>
      </c>
      <c r="D266" s="4">
        <v>25.8</v>
      </c>
      <c r="E266" s="4">
        <v>23.3</v>
      </c>
      <c r="F266" s="4">
        <v>13.9</v>
      </c>
      <c r="G266" s="4">
        <v>23.6</v>
      </c>
      <c r="H266" s="4">
        <v>7.7</v>
      </c>
      <c r="I266" s="4">
        <v>1.4</v>
      </c>
    </row>
    <row r="267" spans="1:9" x14ac:dyDescent="0.35">
      <c r="A267" s="3" t="s">
        <v>5090</v>
      </c>
      <c r="B267" s="3" t="s">
        <v>751</v>
      </c>
      <c r="C267" s="4">
        <v>1.3</v>
      </c>
      <c r="D267" s="4">
        <v>3.7</v>
      </c>
      <c r="E267" s="4">
        <v>8.5</v>
      </c>
      <c r="F267" s="4">
        <v>4.5999999999999996</v>
      </c>
      <c r="G267" s="4">
        <v>27.5</v>
      </c>
      <c r="H267" s="4">
        <v>45.1</v>
      </c>
      <c r="I267" s="4">
        <v>9.4</v>
      </c>
    </row>
    <row r="268" spans="1:9" x14ac:dyDescent="0.35">
      <c r="A268" s="3" t="s">
        <v>5091</v>
      </c>
      <c r="B268" s="3" t="s">
        <v>757</v>
      </c>
      <c r="C268" s="4">
        <v>3.1</v>
      </c>
      <c r="D268" s="4">
        <v>12.6</v>
      </c>
      <c r="E268" s="4">
        <v>19.100000000000001</v>
      </c>
      <c r="F268" s="4">
        <v>8.3000000000000007</v>
      </c>
      <c r="G268" s="4">
        <v>42.4</v>
      </c>
      <c r="H268" s="4">
        <v>12.7</v>
      </c>
      <c r="I268" s="4">
        <v>1.8</v>
      </c>
    </row>
    <row r="269" spans="1:9" x14ac:dyDescent="0.35">
      <c r="A269" s="3" t="s">
        <v>5092</v>
      </c>
      <c r="B269" s="3" t="s">
        <v>759</v>
      </c>
      <c r="C269" s="4">
        <v>3.1</v>
      </c>
      <c r="D269" s="4">
        <v>12.6</v>
      </c>
      <c r="E269" s="4">
        <v>19.100000000000001</v>
      </c>
      <c r="F269" s="4">
        <v>8.3000000000000007</v>
      </c>
      <c r="G269" s="4">
        <v>42.4</v>
      </c>
      <c r="H269" s="4">
        <v>12.7</v>
      </c>
      <c r="I269" s="4">
        <v>1.8</v>
      </c>
    </row>
    <row r="270" spans="1:9" x14ac:dyDescent="0.35">
      <c r="A270" s="3" t="s">
        <v>5093</v>
      </c>
      <c r="B270" s="3" t="s">
        <v>761</v>
      </c>
      <c r="C270" s="4">
        <v>3.1</v>
      </c>
      <c r="D270" s="4">
        <v>12.6</v>
      </c>
      <c r="E270" s="4">
        <v>19.100000000000001</v>
      </c>
      <c r="F270" s="4">
        <v>8.3000000000000007</v>
      </c>
      <c r="G270" s="4">
        <v>42.4</v>
      </c>
      <c r="H270" s="4">
        <v>12.7</v>
      </c>
      <c r="I270" s="4">
        <v>1.8</v>
      </c>
    </row>
    <row r="271" spans="1:9" x14ac:dyDescent="0.35">
      <c r="A271" s="3" t="s">
        <v>5094</v>
      </c>
      <c r="B271" s="3" t="s">
        <v>763</v>
      </c>
      <c r="C271" s="4">
        <v>3.1</v>
      </c>
      <c r="D271" s="4">
        <v>12.6</v>
      </c>
      <c r="E271" s="4">
        <v>19.100000000000001</v>
      </c>
      <c r="F271" s="4">
        <v>8.3000000000000007</v>
      </c>
      <c r="G271" s="4">
        <v>42.4</v>
      </c>
      <c r="H271" s="4">
        <v>12.7</v>
      </c>
      <c r="I271" s="4">
        <v>1.8</v>
      </c>
    </row>
    <row r="272" spans="1:9" x14ac:dyDescent="0.35">
      <c r="A272" s="3" t="s">
        <v>5095</v>
      </c>
      <c r="B272" s="3" t="s">
        <v>765</v>
      </c>
      <c r="C272" s="4">
        <v>3.1</v>
      </c>
      <c r="D272" s="4">
        <v>12.6</v>
      </c>
      <c r="E272" s="4">
        <v>19.100000000000001</v>
      </c>
      <c r="F272" s="4">
        <v>8.3000000000000007</v>
      </c>
      <c r="G272" s="4">
        <v>42.4</v>
      </c>
      <c r="H272" s="4">
        <v>12.7</v>
      </c>
      <c r="I272" s="4">
        <v>1.8</v>
      </c>
    </row>
    <row r="273" spans="1:9" x14ac:dyDescent="0.35">
      <c r="A273" s="3" t="s">
        <v>4655</v>
      </c>
      <c r="B273" s="3" t="s">
        <v>769</v>
      </c>
      <c r="C273" s="4">
        <v>4.2</v>
      </c>
      <c r="D273" s="4">
        <v>3.9</v>
      </c>
      <c r="E273" s="4">
        <v>14.6</v>
      </c>
      <c r="F273" s="4">
        <v>5.3</v>
      </c>
      <c r="G273" s="4">
        <v>58.5</v>
      </c>
      <c r="H273" s="4">
        <v>12.2</v>
      </c>
      <c r="I273" s="4">
        <v>1.3</v>
      </c>
    </row>
    <row r="274" spans="1:9" x14ac:dyDescent="0.35">
      <c r="A274" s="3" t="s">
        <v>3595</v>
      </c>
      <c r="B274" s="3" t="s">
        <v>771</v>
      </c>
      <c r="C274" s="4">
        <v>1.5</v>
      </c>
      <c r="D274" s="4">
        <v>7.7</v>
      </c>
      <c r="E274" s="4">
        <v>12</v>
      </c>
      <c r="F274" s="4">
        <v>11.3</v>
      </c>
      <c r="G274" s="4">
        <v>56</v>
      </c>
      <c r="H274" s="4">
        <v>9.6999999999999993</v>
      </c>
      <c r="I274" s="4">
        <v>1.8</v>
      </c>
    </row>
    <row r="275" spans="1:9" x14ac:dyDescent="0.35">
      <c r="A275" s="3" t="s">
        <v>3597</v>
      </c>
      <c r="B275" s="3" t="s">
        <v>773</v>
      </c>
      <c r="C275" s="4">
        <v>9.1</v>
      </c>
      <c r="D275" s="4">
        <v>36.799999999999997</v>
      </c>
      <c r="E275" s="4">
        <v>23.9</v>
      </c>
      <c r="F275" s="4">
        <v>10.1</v>
      </c>
      <c r="G275" s="4">
        <v>16.8</v>
      </c>
      <c r="H275" s="4">
        <v>2.5</v>
      </c>
      <c r="I275" s="4">
        <v>0.8</v>
      </c>
    </row>
    <row r="276" spans="1:9" x14ac:dyDescent="0.35">
      <c r="A276" s="3" t="s">
        <v>4656</v>
      </c>
      <c r="B276" s="3" t="s">
        <v>775</v>
      </c>
      <c r="C276" s="4">
        <v>1.1000000000000001</v>
      </c>
      <c r="D276" s="4">
        <v>5.6</v>
      </c>
      <c r="E276" s="4">
        <v>13.2</v>
      </c>
      <c r="F276" s="4">
        <v>12.1</v>
      </c>
      <c r="G276" s="4">
        <v>59.9</v>
      </c>
      <c r="H276" s="4">
        <v>6.9</v>
      </c>
      <c r="I276" s="4">
        <v>1.2</v>
      </c>
    </row>
    <row r="277" spans="1:9" x14ac:dyDescent="0.35">
      <c r="A277" s="3" t="s">
        <v>4657</v>
      </c>
      <c r="B277" s="3" t="s">
        <v>777</v>
      </c>
      <c r="C277" s="4">
        <v>1</v>
      </c>
      <c r="D277" s="4">
        <v>6.3</v>
      </c>
      <c r="E277" s="4">
        <v>11.8</v>
      </c>
      <c r="F277" s="4">
        <v>11.1</v>
      </c>
      <c r="G277" s="4">
        <v>58.5</v>
      </c>
      <c r="H277" s="4">
        <v>9.1999999999999993</v>
      </c>
      <c r="I277" s="4">
        <v>2.1</v>
      </c>
    </row>
    <row r="278" spans="1:9" x14ac:dyDescent="0.35">
      <c r="A278" s="3" t="s">
        <v>3599</v>
      </c>
      <c r="B278" s="3" t="s">
        <v>779</v>
      </c>
      <c r="C278" s="4">
        <v>4</v>
      </c>
      <c r="D278" s="4">
        <v>24.7</v>
      </c>
      <c r="E278" s="4">
        <v>24.5</v>
      </c>
      <c r="F278" s="4">
        <v>9.8000000000000007</v>
      </c>
      <c r="G278" s="4">
        <v>30.8</v>
      </c>
      <c r="H278" s="4">
        <v>6</v>
      </c>
      <c r="I278" s="4">
        <v>0.2</v>
      </c>
    </row>
    <row r="279" spans="1:9" x14ac:dyDescent="0.35">
      <c r="A279" s="3" t="s">
        <v>5096</v>
      </c>
      <c r="B279" s="3" t="s">
        <v>781</v>
      </c>
      <c r="C279" s="4">
        <v>1.8</v>
      </c>
      <c r="D279" s="4">
        <v>8.1999999999999993</v>
      </c>
      <c r="E279" s="4">
        <v>15</v>
      </c>
      <c r="F279" s="4">
        <v>13.1</v>
      </c>
      <c r="G279" s="4">
        <v>45.9</v>
      </c>
      <c r="H279" s="4">
        <v>14</v>
      </c>
      <c r="I279" s="4">
        <v>2</v>
      </c>
    </row>
    <row r="280" spans="1:9" x14ac:dyDescent="0.35">
      <c r="A280" s="3" t="s">
        <v>5097</v>
      </c>
      <c r="B280" s="3" t="s">
        <v>783</v>
      </c>
      <c r="C280" s="4">
        <v>1.8</v>
      </c>
      <c r="D280" s="4">
        <v>8.1999999999999993</v>
      </c>
      <c r="E280" s="4">
        <v>15</v>
      </c>
      <c r="F280" s="4">
        <v>13.1</v>
      </c>
      <c r="G280" s="4">
        <v>45.9</v>
      </c>
      <c r="H280" s="4">
        <v>14</v>
      </c>
      <c r="I280" s="4">
        <v>2</v>
      </c>
    </row>
    <row r="281" spans="1:9" x14ac:dyDescent="0.35">
      <c r="A281" s="3" t="s">
        <v>4660</v>
      </c>
      <c r="B281" s="3" t="s">
        <v>789</v>
      </c>
      <c r="C281" s="4">
        <v>2</v>
      </c>
      <c r="D281" s="4">
        <v>11.3</v>
      </c>
      <c r="E281" s="4">
        <v>15.2</v>
      </c>
      <c r="F281" s="4">
        <v>6.8</v>
      </c>
      <c r="G281" s="4">
        <v>50.1</v>
      </c>
      <c r="H281" s="4">
        <v>12.9</v>
      </c>
      <c r="I281" s="4">
        <v>1.6</v>
      </c>
    </row>
    <row r="282" spans="1:9" x14ac:dyDescent="0.35">
      <c r="A282" s="3" t="s">
        <v>3601</v>
      </c>
      <c r="B282" s="3" t="s">
        <v>791</v>
      </c>
      <c r="C282" s="4">
        <v>0.8</v>
      </c>
      <c r="D282" s="4">
        <v>5.9</v>
      </c>
      <c r="E282" s="4">
        <v>12</v>
      </c>
      <c r="F282" s="4">
        <v>5.0999999999999996</v>
      </c>
      <c r="G282" s="4">
        <v>58.2</v>
      </c>
      <c r="H282" s="4">
        <v>15.8</v>
      </c>
      <c r="I282" s="4">
        <v>2.2000000000000002</v>
      </c>
    </row>
    <row r="283" spans="1:9" x14ac:dyDescent="0.35">
      <c r="A283" s="3" t="s">
        <v>4661</v>
      </c>
      <c r="B283" s="3" t="s">
        <v>795</v>
      </c>
      <c r="C283" s="4">
        <v>1.7</v>
      </c>
      <c r="D283" s="4">
        <v>12.6</v>
      </c>
      <c r="E283" s="4">
        <v>18.3</v>
      </c>
      <c r="F283" s="4">
        <v>6.3</v>
      </c>
      <c r="G283" s="4">
        <v>51.5</v>
      </c>
      <c r="H283" s="4">
        <v>9.1</v>
      </c>
      <c r="I283" s="4">
        <v>0.6</v>
      </c>
    </row>
    <row r="284" spans="1:9" x14ac:dyDescent="0.35">
      <c r="A284" s="3" t="s">
        <v>3603</v>
      </c>
      <c r="B284" s="3" t="s">
        <v>797</v>
      </c>
      <c r="C284" s="4">
        <v>1.9</v>
      </c>
      <c r="D284" s="4">
        <v>10.1</v>
      </c>
      <c r="E284" s="4">
        <v>14.9</v>
      </c>
      <c r="F284" s="4">
        <v>6.1</v>
      </c>
      <c r="G284" s="4">
        <v>42.3</v>
      </c>
      <c r="H284" s="4">
        <v>22.4</v>
      </c>
      <c r="I284" s="4">
        <v>2.2999999999999998</v>
      </c>
    </row>
    <row r="285" spans="1:9" x14ac:dyDescent="0.35">
      <c r="A285" s="3" t="s">
        <v>4662</v>
      </c>
      <c r="B285" s="3" t="s">
        <v>799</v>
      </c>
      <c r="C285" s="4">
        <v>1.8</v>
      </c>
      <c r="D285" s="4">
        <v>8.9</v>
      </c>
      <c r="E285" s="4">
        <v>29.9</v>
      </c>
      <c r="F285" s="4">
        <v>10.3</v>
      </c>
      <c r="G285" s="4">
        <v>30.3</v>
      </c>
      <c r="H285" s="4">
        <v>15.7</v>
      </c>
      <c r="I285" s="4">
        <v>3.2</v>
      </c>
    </row>
    <row r="286" spans="1:9" x14ac:dyDescent="0.35">
      <c r="A286" s="3" t="s">
        <v>5098</v>
      </c>
      <c r="B286" s="3" t="s">
        <v>803</v>
      </c>
      <c r="C286" s="4">
        <v>5.3</v>
      </c>
      <c r="D286" s="4">
        <v>33.5</v>
      </c>
      <c r="E286" s="4">
        <v>21.3</v>
      </c>
      <c r="F286" s="4">
        <v>6.5</v>
      </c>
      <c r="G286" s="4">
        <v>28.5</v>
      </c>
      <c r="H286" s="4">
        <v>4.5</v>
      </c>
      <c r="I286" s="4">
        <v>0.3</v>
      </c>
    </row>
    <row r="287" spans="1:9" x14ac:dyDescent="0.35">
      <c r="A287" s="3" t="s">
        <v>5099</v>
      </c>
      <c r="B287" s="3" t="s">
        <v>805</v>
      </c>
      <c r="C287" s="4">
        <v>5.3</v>
      </c>
      <c r="D287" s="4">
        <v>33.5</v>
      </c>
      <c r="E287" s="4">
        <v>21.3</v>
      </c>
      <c r="F287" s="4">
        <v>6.5</v>
      </c>
      <c r="G287" s="4">
        <v>28.5</v>
      </c>
      <c r="H287" s="4">
        <v>4.5</v>
      </c>
      <c r="I287" s="4">
        <v>0.3</v>
      </c>
    </row>
    <row r="288" spans="1:9" x14ac:dyDescent="0.35">
      <c r="A288" s="3" t="s">
        <v>3610</v>
      </c>
      <c r="B288" s="3" t="s">
        <v>809</v>
      </c>
      <c r="C288" s="4">
        <v>1</v>
      </c>
      <c r="D288" s="4">
        <v>8.3000000000000007</v>
      </c>
      <c r="E288" s="4">
        <v>15</v>
      </c>
      <c r="F288" s="4">
        <v>5.0999999999999996</v>
      </c>
      <c r="G288" s="4">
        <v>43.4</v>
      </c>
      <c r="H288" s="4">
        <v>21.1</v>
      </c>
      <c r="I288" s="4">
        <v>6.1</v>
      </c>
    </row>
    <row r="289" spans="1:9" x14ac:dyDescent="0.35">
      <c r="A289" s="3" t="s">
        <v>4665</v>
      </c>
      <c r="B289" s="3" t="s">
        <v>811</v>
      </c>
      <c r="C289" s="4">
        <v>3.4</v>
      </c>
      <c r="D289" s="4">
        <v>12</v>
      </c>
      <c r="E289" s="4">
        <v>21.5</v>
      </c>
      <c r="F289" s="4">
        <v>5.9</v>
      </c>
      <c r="G289" s="4">
        <v>32</v>
      </c>
      <c r="H289" s="4">
        <v>20.6</v>
      </c>
      <c r="I289" s="4">
        <v>4.5999999999999996</v>
      </c>
    </row>
    <row r="290" spans="1:9" x14ac:dyDescent="0.35">
      <c r="A290" s="3" t="s">
        <v>4666</v>
      </c>
      <c r="B290" s="3" t="s">
        <v>815</v>
      </c>
      <c r="C290" s="4">
        <v>7.9</v>
      </c>
      <c r="D290" s="4">
        <v>25.3</v>
      </c>
      <c r="E290" s="4">
        <v>31.6</v>
      </c>
      <c r="F290" s="4">
        <v>8.8000000000000007</v>
      </c>
      <c r="G290" s="4">
        <v>22.3</v>
      </c>
      <c r="H290" s="4">
        <v>4.0999999999999996</v>
      </c>
      <c r="I290" s="4">
        <v>0</v>
      </c>
    </row>
    <row r="291" spans="1:9" x14ac:dyDescent="0.35">
      <c r="A291" s="3" t="s">
        <v>4667</v>
      </c>
      <c r="B291" s="3" t="s">
        <v>817</v>
      </c>
      <c r="C291" s="4">
        <v>2.9</v>
      </c>
      <c r="D291" s="4">
        <v>15.1</v>
      </c>
      <c r="E291" s="4">
        <v>29.6</v>
      </c>
      <c r="F291" s="4">
        <v>6.4</v>
      </c>
      <c r="G291" s="4">
        <v>36.9</v>
      </c>
      <c r="H291" s="4">
        <v>5.3</v>
      </c>
      <c r="I291" s="4">
        <v>3.7</v>
      </c>
    </row>
    <row r="292" spans="1:9" x14ac:dyDescent="0.35">
      <c r="A292" s="3" t="s">
        <v>3614</v>
      </c>
      <c r="B292" s="3" t="s">
        <v>821</v>
      </c>
      <c r="C292" s="4">
        <v>1.9</v>
      </c>
      <c r="D292" s="4">
        <v>11.7</v>
      </c>
      <c r="E292" s="4">
        <v>23.5</v>
      </c>
      <c r="F292" s="4">
        <v>9.3000000000000007</v>
      </c>
      <c r="G292" s="4">
        <v>46.3</v>
      </c>
      <c r="H292" s="4">
        <v>6.3</v>
      </c>
      <c r="I292" s="4">
        <v>1</v>
      </c>
    </row>
    <row r="293" spans="1:9" x14ac:dyDescent="0.35">
      <c r="A293" s="3" t="s">
        <v>4668</v>
      </c>
      <c r="B293" s="3" t="s">
        <v>823</v>
      </c>
      <c r="C293" s="4">
        <v>1.1000000000000001</v>
      </c>
      <c r="D293" s="4">
        <v>3</v>
      </c>
      <c r="E293" s="4">
        <v>7.5</v>
      </c>
      <c r="F293" s="4">
        <v>2.8</v>
      </c>
      <c r="G293" s="4">
        <v>60.3</v>
      </c>
      <c r="H293" s="4">
        <v>21.8</v>
      </c>
      <c r="I293" s="4">
        <v>3.6</v>
      </c>
    </row>
    <row r="294" spans="1:9" x14ac:dyDescent="0.35">
      <c r="A294" s="3" t="s">
        <v>4669</v>
      </c>
      <c r="B294" s="3" t="s">
        <v>825</v>
      </c>
      <c r="C294" s="4">
        <v>0.4</v>
      </c>
      <c r="D294" s="4">
        <v>3.7</v>
      </c>
      <c r="E294" s="4">
        <v>7.2</v>
      </c>
      <c r="F294" s="4">
        <v>4.2</v>
      </c>
      <c r="G294" s="4">
        <v>57.1</v>
      </c>
      <c r="H294" s="4">
        <v>22.9</v>
      </c>
      <c r="I294" s="4">
        <v>4.4000000000000004</v>
      </c>
    </row>
    <row r="295" spans="1:9" x14ac:dyDescent="0.35">
      <c r="A295" s="3" t="s">
        <v>4670</v>
      </c>
      <c r="B295" s="3" t="s">
        <v>829</v>
      </c>
      <c r="C295" s="4">
        <v>0.6</v>
      </c>
      <c r="D295" s="4">
        <v>2.8</v>
      </c>
      <c r="E295" s="4">
        <v>8.9</v>
      </c>
      <c r="F295" s="4">
        <v>3.3</v>
      </c>
      <c r="G295" s="4">
        <v>55.4</v>
      </c>
      <c r="H295" s="4">
        <v>22.6</v>
      </c>
      <c r="I295" s="4">
        <v>6.4</v>
      </c>
    </row>
    <row r="296" spans="1:9" x14ac:dyDescent="0.35">
      <c r="A296" s="3" t="s">
        <v>3617</v>
      </c>
      <c r="B296" s="3" t="s">
        <v>831</v>
      </c>
      <c r="C296" s="4">
        <v>0.6</v>
      </c>
      <c r="D296" s="4">
        <v>4</v>
      </c>
      <c r="E296" s="4">
        <v>9.5</v>
      </c>
      <c r="F296" s="4">
        <v>7.2</v>
      </c>
      <c r="G296" s="4">
        <v>47.8</v>
      </c>
      <c r="H296" s="4">
        <v>23.1</v>
      </c>
      <c r="I296" s="4">
        <v>7.8</v>
      </c>
    </row>
    <row r="297" spans="1:9" x14ac:dyDescent="0.35">
      <c r="A297" s="3" t="s">
        <v>3619</v>
      </c>
      <c r="B297" s="3" t="s">
        <v>833</v>
      </c>
      <c r="C297" s="4">
        <v>0.8</v>
      </c>
      <c r="D297" s="4">
        <v>3.8</v>
      </c>
      <c r="E297" s="4">
        <v>8.3000000000000007</v>
      </c>
      <c r="F297" s="4">
        <v>3.3</v>
      </c>
      <c r="G297" s="4">
        <v>48.7</v>
      </c>
      <c r="H297" s="4">
        <v>27.3</v>
      </c>
      <c r="I297" s="4">
        <v>7.7</v>
      </c>
    </row>
    <row r="298" spans="1:9" x14ac:dyDescent="0.35">
      <c r="A298" s="3" t="s">
        <v>4671</v>
      </c>
      <c r="B298" s="3" t="s">
        <v>837</v>
      </c>
      <c r="C298" s="4">
        <v>2.2000000000000002</v>
      </c>
      <c r="D298" s="4">
        <v>8.6</v>
      </c>
      <c r="E298" s="4">
        <v>19.3</v>
      </c>
      <c r="F298" s="4">
        <v>14.2</v>
      </c>
      <c r="G298" s="4">
        <v>35.200000000000003</v>
      </c>
      <c r="H298" s="4">
        <v>15.7</v>
      </c>
      <c r="I298" s="4">
        <v>4.8</v>
      </c>
    </row>
    <row r="299" spans="1:9" x14ac:dyDescent="0.35">
      <c r="A299" s="3" t="s">
        <v>4672</v>
      </c>
      <c r="B299" s="3" t="s">
        <v>839</v>
      </c>
      <c r="C299" s="4">
        <v>0.9</v>
      </c>
      <c r="D299" s="4">
        <v>12</v>
      </c>
      <c r="E299" s="4">
        <v>34.200000000000003</v>
      </c>
      <c r="F299" s="4">
        <v>36.299999999999997</v>
      </c>
      <c r="G299" s="4">
        <v>13.2</v>
      </c>
      <c r="H299" s="4">
        <v>2.5</v>
      </c>
      <c r="I299" s="4">
        <v>0.9</v>
      </c>
    </row>
    <row r="300" spans="1:9" x14ac:dyDescent="0.35">
      <c r="A300" s="3" t="s">
        <v>4673</v>
      </c>
      <c r="B300" s="3" t="s">
        <v>841</v>
      </c>
      <c r="C300" s="4">
        <v>1.3</v>
      </c>
      <c r="D300" s="4">
        <v>10.5</v>
      </c>
      <c r="E300" s="4">
        <v>15</v>
      </c>
      <c r="F300" s="4">
        <v>3.8</v>
      </c>
      <c r="G300" s="4">
        <v>46.4</v>
      </c>
      <c r="H300" s="4">
        <v>21.3</v>
      </c>
      <c r="I300" s="4">
        <v>1.7</v>
      </c>
    </row>
    <row r="301" spans="1:9" x14ac:dyDescent="0.35">
      <c r="A301" s="3" t="s">
        <v>5100</v>
      </c>
      <c r="B301" s="3" t="s">
        <v>847</v>
      </c>
      <c r="C301" s="4">
        <v>2.1</v>
      </c>
      <c r="D301" s="4">
        <v>13.6</v>
      </c>
      <c r="E301" s="4">
        <v>24.5</v>
      </c>
      <c r="F301" s="4">
        <v>14.4</v>
      </c>
      <c r="G301" s="4">
        <v>38.4</v>
      </c>
      <c r="H301" s="4">
        <v>5.8</v>
      </c>
      <c r="I301" s="4">
        <v>1.1000000000000001</v>
      </c>
    </row>
    <row r="302" spans="1:9" x14ac:dyDescent="0.35">
      <c r="A302" s="3" t="s">
        <v>5101</v>
      </c>
      <c r="B302" s="3" t="s">
        <v>849</v>
      </c>
      <c r="C302" s="4">
        <v>2.1</v>
      </c>
      <c r="D302" s="4">
        <v>13.6</v>
      </c>
      <c r="E302" s="4">
        <v>24.5</v>
      </c>
      <c r="F302" s="4">
        <v>14.4</v>
      </c>
      <c r="G302" s="4">
        <v>38.4</v>
      </c>
      <c r="H302" s="4">
        <v>5.8</v>
      </c>
      <c r="I302" s="4">
        <v>1.1000000000000001</v>
      </c>
    </row>
    <row r="303" spans="1:9" x14ac:dyDescent="0.35">
      <c r="A303" s="3" t="s">
        <v>5102</v>
      </c>
      <c r="B303" s="3" t="s">
        <v>851</v>
      </c>
      <c r="C303" s="4">
        <v>2.1</v>
      </c>
      <c r="D303" s="4">
        <v>13.6</v>
      </c>
      <c r="E303" s="4">
        <v>24.5</v>
      </c>
      <c r="F303" s="4">
        <v>14.4</v>
      </c>
      <c r="G303" s="4">
        <v>38.4</v>
      </c>
      <c r="H303" s="4">
        <v>5.8</v>
      </c>
      <c r="I303" s="4">
        <v>1.1000000000000001</v>
      </c>
    </row>
    <row r="304" spans="1:9" x14ac:dyDescent="0.35">
      <c r="A304" s="3" t="s">
        <v>5103</v>
      </c>
      <c r="B304" s="3" t="s">
        <v>853</v>
      </c>
      <c r="C304" s="4">
        <v>2.1</v>
      </c>
      <c r="D304" s="4">
        <v>13.6</v>
      </c>
      <c r="E304" s="4">
        <v>24.5</v>
      </c>
      <c r="F304" s="4">
        <v>14.4</v>
      </c>
      <c r="G304" s="4">
        <v>38.4</v>
      </c>
      <c r="H304" s="4">
        <v>5.8</v>
      </c>
      <c r="I304" s="4">
        <v>1.1000000000000001</v>
      </c>
    </row>
    <row r="305" spans="1:9" x14ac:dyDescent="0.35">
      <c r="A305" s="3" t="s">
        <v>4674</v>
      </c>
      <c r="B305" s="3" t="s">
        <v>855</v>
      </c>
      <c r="C305" s="4">
        <v>2.1</v>
      </c>
      <c r="D305" s="4">
        <v>12.5</v>
      </c>
      <c r="E305" s="4">
        <v>22.4</v>
      </c>
      <c r="F305" s="4">
        <v>11.5</v>
      </c>
      <c r="G305" s="4">
        <v>42.8</v>
      </c>
      <c r="H305" s="4">
        <v>7.8</v>
      </c>
      <c r="I305" s="4">
        <v>0.9</v>
      </c>
    </row>
    <row r="306" spans="1:9" x14ac:dyDescent="0.35">
      <c r="A306" s="3" t="s">
        <v>5104</v>
      </c>
      <c r="B306" s="3" t="s">
        <v>859</v>
      </c>
      <c r="C306" s="4">
        <v>1.2</v>
      </c>
      <c r="D306" s="4">
        <v>7.4</v>
      </c>
      <c r="E306" s="4">
        <v>16.899999999999999</v>
      </c>
      <c r="F306" s="4">
        <v>8.4</v>
      </c>
      <c r="G306" s="4">
        <v>56.5</v>
      </c>
      <c r="H306" s="4">
        <v>8.6</v>
      </c>
      <c r="I306" s="4">
        <v>0.9</v>
      </c>
    </row>
    <row r="307" spans="1:9" x14ac:dyDescent="0.35">
      <c r="A307" s="3" t="s">
        <v>5105</v>
      </c>
      <c r="B307" s="3" t="s">
        <v>861</v>
      </c>
      <c r="C307" s="4">
        <v>1.2</v>
      </c>
      <c r="D307" s="4">
        <v>7.4</v>
      </c>
      <c r="E307" s="4">
        <v>16.899999999999999</v>
      </c>
      <c r="F307" s="4">
        <v>8.4</v>
      </c>
      <c r="G307" s="4">
        <v>56.5</v>
      </c>
      <c r="H307" s="4">
        <v>8.6</v>
      </c>
      <c r="I307" s="4">
        <v>0.9</v>
      </c>
    </row>
    <row r="308" spans="1:9" x14ac:dyDescent="0.35">
      <c r="A308" s="3" t="s">
        <v>5106</v>
      </c>
      <c r="B308" s="3" t="s">
        <v>863</v>
      </c>
      <c r="C308" s="4">
        <v>2.1</v>
      </c>
      <c r="D308" s="4">
        <v>13.6</v>
      </c>
      <c r="E308" s="4">
        <v>24.5</v>
      </c>
      <c r="F308" s="4">
        <v>14.4</v>
      </c>
      <c r="G308" s="4">
        <v>38.4</v>
      </c>
      <c r="H308" s="4">
        <v>5.8</v>
      </c>
      <c r="I308" s="4">
        <v>1.1000000000000001</v>
      </c>
    </row>
    <row r="309" spans="1:9" x14ac:dyDescent="0.35">
      <c r="A309" s="3" t="s">
        <v>3636</v>
      </c>
      <c r="B309" s="3" t="s">
        <v>867</v>
      </c>
      <c r="C309" s="4">
        <v>0.3</v>
      </c>
      <c r="D309" s="4">
        <v>1.1000000000000001</v>
      </c>
      <c r="E309" s="4">
        <v>1.2</v>
      </c>
      <c r="F309" s="4">
        <v>0.4</v>
      </c>
      <c r="G309" s="4">
        <v>5.6</v>
      </c>
      <c r="H309" s="4">
        <v>2.2999999999999998</v>
      </c>
      <c r="I309" s="4">
        <v>89.2</v>
      </c>
    </row>
    <row r="310" spans="1:9" x14ac:dyDescent="0.35">
      <c r="A310" s="3" t="s">
        <v>5107</v>
      </c>
      <c r="B310" s="3" t="s">
        <v>871</v>
      </c>
      <c r="C310" s="4">
        <v>0</v>
      </c>
      <c r="D310" s="4">
        <v>0</v>
      </c>
      <c r="E310" s="4">
        <v>0</v>
      </c>
      <c r="F310" s="4">
        <v>0</v>
      </c>
      <c r="G310" s="4">
        <v>0</v>
      </c>
      <c r="H310" s="4">
        <v>2.8</v>
      </c>
      <c r="I310" s="4">
        <v>97.2</v>
      </c>
    </row>
    <row r="311" spans="1:9" x14ac:dyDescent="0.35">
      <c r="A311" s="3" t="s">
        <v>5108</v>
      </c>
      <c r="B311" s="3" t="s">
        <v>873</v>
      </c>
      <c r="C311" s="4">
        <v>0</v>
      </c>
      <c r="D311" s="4">
        <v>0</v>
      </c>
      <c r="E311" s="4">
        <v>0</v>
      </c>
      <c r="F311" s="4">
        <v>0</v>
      </c>
      <c r="G311" s="4">
        <v>0</v>
      </c>
      <c r="H311" s="4">
        <v>2.8</v>
      </c>
      <c r="I311" s="4">
        <v>97.2</v>
      </c>
    </row>
    <row r="312" spans="1:9" x14ac:dyDescent="0.35">
      <c r="A312" s="3" t="s">
        <v>5109</v>
      </c>
      <c r="B312" s="3" t="s">
        <v>875</v>
      </c>
      <c r="C312" s="4">
        <v>0</v>
      </c>
      <c r="D312" s="4">
        <v>0</v>
      </c>
      <c r="E312" s="4">
        <v>0</v>
      </c>
      <c r="F312" s="4">
        <v>0</v>
      </c>
      <c r="G312" s="4">
        <v>0</v>
      </c>
      <c r="H312" s="4">
        <v>2.8</v>
      </c>
      <c r="I312" s="4">
        <v>97.2</v>
      </c>
    </row>
    <row r="313" spans="1:9" x14ac:dyDescent="0.35">
      <c r="A313" s="3" t="s">
        <v>5110</v>
      </c>
      <c r="B313" s="3" t="s">
        <v>877</v>
      </c>
      <c r="C313" s="4">
        <v>0</v>
      </c>
      <c r="D313" s="4">
        <v>0</v>
      </c>
      <c r="E313" s="4">
        <v>0</v>
      </c>
      <c r="F313" s="4">
        <v>0</v>
      </c>
      <c r="G313" s="4">
        <v>0</v>
      </c>
      <c r="H313" s="4">
        <v>2.8</v>
      </c>
      <c r="I313" s="4">
        <v>97.2</v>
      </c>
    </row>
    <row r="314" spans="1:9" x14ac:dyDescent="0.35">
      <c r="A314" s="3" t="s">
        <v>5111</v>
      </c>
      <c r="B314" s="3" t="s">
        <v>879</v>
      </c>
      <c r="C314" s="4">
        <v>0</v>
      </c>
      <c r="D314" s="4">
        <v>0</v>
      </c>
      <c r="E314" s="4">
        <v>0</v>
      </c>
      <c r="F314" s="4">
        <v>0</v>
      </c>
      <c r="G314" s="4">
        <v>0</v>
      </c>
      <c r="H314" s="4">
        <v>2.8</v>
      </c>
      <c r="I314" s="4">
        <v>97.2</v>
      </c>
    </row>
    <row r="315" spans="1:9" x14ac:dyDescent="0.35">
      <c r="A315" s="3" t="s">
        <v>3641</v>
      </c>
      <c r="B315" s="3" t="s">
        <v>881</v>
      </c>
      <c r="C315" s="4">
        <v>2</v>
      </c>
      <c r="D315" s="4">
        <v>8.8000000000000007</v>
      </c>
      <c r="E315" s="4">
        <v>6.1</v>
      </c>
      <c r="F315" s="4">
        <v>3.2</v>
      </c>
      <c r="G315" s="4">
        <v>43</v>
      </c>
      <c r="H315" s="4">
        <v>31</v>
      </c>
      <c r="I315" s="4">
        <v>5.8</v>
      </c>
    </row>
    <row r="316" spans="1:9" x14ac:dyDescent="0.35">
      <c r="A316" s="3" t="s">
        <v>3645</v>
      </c>
      <c r="B316" s="3" t="s">
        <v>883</v>
      </c>
      <c r="C316" s="4">
        <v>0</v>
      </c>
      <c r="D316" s="4">
        <v>0</v>
      </c>
      <c r="E316" s="4">
        <v>0</v>
      </c>
      <c r="F316" s="4">
        <v>0</v>
      </c>
      <c r="G316" s="4">
        <v>0</v>
      </c>
      <c r="H316" s="4">
        <v>2.6</v>
      </c>
      <c r="I316" s="4">
        <v>97.4</v>
      </c>
    </row>
    <row r="317" spans="1:9" x14ac:dyDescent="0.35">
      <c r="A317" s="3" t="s">
        <v>3648</v>
      </c>
      <c r="B317" s="3" t="s">
        <v>885</v>
      </c>
      <c r="C317" s="4">
        <v>0</v>
      </c>
      <c r="D317" s="4">
        <v>0</v>
      </c>
      <c r="E317" s="4">
        <v>1.3</v>
      </c>
      <c r="F317" s="4">
        <v>1</v>
      </c>
      <c r="G317" s="4">
        <v>26.1</v>
      </c>
      <c r="H317" s="4">
        <v>5.6</v>
      </c>
      <c r="I317" s="4">
        <v>66</v>
      </c>
    </row>
    <row r="318" spans="1:9" x14ac:dyDescent="0.35">
      <c r="A318" s="3" t="s">
        <v>3655</v>
      </c>
      <c r="B318" s="3" t="s">
        <v>887</v>
      </c>
      <c r="C318" s="4">
        <v>0.8</v>
      </c>
      <c r="D318" s="4">
        <v>2.5</v>
      </c>
      <c r="E318" s="4">
        <v>2.2000000000000002</v>
      </c>
      <c r="F318" s="4">
        <v>3</v>
      </c>
      <c r="G318" s="4">
        <v>17.600000000000001</v>
      </c>
      <c r="H318" s="4">
        <v>58.9</v>
      </c>
      <c r="I318" s="4">
        <v>15.1</v>
      </c>
    </row>
    <row r="319" spans="1:9" x14ac:dyDescent="0.35">
      <c r="A319" s="3" t="s">
        <v>3658</v>
      </c>
      <c r="B319" s="3" t="s">
        <v>889</v>
      </c>
      <c r="C319" s="4">
        <v>0</v>
      </c>
      <c r="D319" s="4">
        <v>0</v>
      </c>
      <c r="E319" s="4">
        <v>0</v>
      </c>
      <c r="F319" s="4">
        <v>0</v>
      </c>
      <c r="G319" s="4">
        <v>0</v>
      </c>
      <c r="H319" s="4">
        <v>1.1000000000000001</v>
      </c>
      <c r="I319" s="4">
        <v>98.9</v>
      </c>
    </row>
    <row r="320" spans="1:9" x14ac:dyDescent="0.35">
      <c r="A320" s="3" t="s">
        <v>3660</v>
      </c>
      <c r="B320" s="3" t="s">
        <v>893</v>
      </c>
      <c r="C320" s="4">
        <v>0.3</v>
      </c>
      <c r="D320" s="4">
        <v>0.7</v>
      </c>
      <c r="E320" s="4">
        <v>1.1000000000000001</v>
      </c>
      <c r="F320" s="4">
        <v>4.3</v>
      </c>
      <c r="G320" s="4">
        <v>31.2</v>
      </c>
      <c r="H320" s="4">
        <v>55.3</v>
      </c>
      <c r="I320" s="4">
        <v>7.1</v>
      </c>
    </row>
    <row r="321" spans="1:9" x14ac:dyDescent="0.35">
      <c r="A321" s="3" t="s">
        <v>3663</v>
      </c>
      <c r="B321" s="3" t="s">
        <v>895</v>
      </c>
      <c r="C321" s="4">
        <v>0.6</v>
      </c>
      <c r="D321" s="4">
        <v>1.1000000000000001</v>
      </c>
      <c r="E321" s="4">
        <v>1.1000000000000001</v>
      </c>
      <c r="F321" s="4">
        <v>3.2</v>
      </c>
      <c r="G321" s="4">
        <v>25.8</v>
      </c>
      <c r="H321" s="4">
        <v>20.8</v>
      </c>
      <c r="I321" s="4">
        <v>47.4</v>
      </c>
    </row>
    <row r="322" spans="1:9" x14ac:dyDescent="0.35">
      <c r="A322" s="3" t="s">
        <v>3666</v>
      </c>
      <c r="B322" s="3" t="s">
        <v>897</v>
      </c>
      <c r="C322" s="4">
        <v>0.5</v>
      </c>
      <c r="D322" s="4">
        <v>5.5</v>
      </c>
      <c r="E322" s="4">
        <v>5.8</v>
      </c>
      <c r="F322" s="4">
        <v>29.1</v>
      </c>
      <c r="G322" s="4">
        <v>45.3</v>
      </c>
      <c r="H322" s="4">
        <v>9.5</v>
      </c>
      <c r="I322" s="4">
        <v>4.3</v>
      </c>
    </row>
    <row r="323" spans="1:9" x14ac:dyDescent="0.35">
      <c r="A323" s="3" t="s">
        <v>3668</v>
      </c>
      <c r="B323" s="3" t="s">
        <v>899</v>
      </c>
      <c r="C323" s="4">
        <v>3.7</v>
      </c>
      <c r="D323" s="4">
        <v>15.2</v>
      </c>
      <c r="E323" s="4">
        <v>8.6</v>
      </c>
      <c r="F323" s="4">
        <v>9.1</v>
      </c>
      <c r="G323" s="4">
        <v>46.9</v>
      </c>
      <c r="H323" s="4">
        <v>14.6</v>
      </c>
      <c r="I323" s="4">
        <v>1.9</v>
      </c>
    </row>
    <row r="324" spans="1:9" x14ac:dyDescent="0.35">
      <c r="A324" s="3" t="s">
        <v>3674</v>
      </c>
      <c r="B324" s="3" t="s">
        <v>901</v>
      </c>
      <c r="C324" s="4">
        <v>0.6</v>
      </c>
      <c r="D324" s="4">
        <v>2.5</v>
      </c>
      <c r="E324" s="4">
        <v>11</v>
      </c>
      <c r="F324" s="4">
        <v>53.3</v>
      </c>
      <c r="G324" s="4">
        <v>28.7</v>
      </c>
      <c r="H324" s="4">
        <v>2.7</v>
      </c>
      <c r="I324" s="4">
        <v>1.3</v>
      </c>
    </row>
    <row r="325" spans="1:9" x14ac:dyDescent="0.35">
      <c r="A325" s="3" t="s">
        <v>3676</v>
      </c>
      <c r="B325" s="3" t="s">
        <v>903</v>
      </c>
      <c r="C325" s="4">
        <v>0.7</v>
      </c>
      <c r="D325" s="4">
        <v>0.5</v>
      </c>
      <c r="E325" s="4">
        <v>0.6</v>
      </c>
      <c r="F325" s="4">
        <v>0.9</v>
      </c>
      <c r="G325" s="4">
        <v>11.2</v>
      </c>
      <c r="H325" s="4">
        <v>82.8</v>
      </c>
      <c r="I325" s="4">
        <v>3.2</v>
      </c>
    </row>
    <row r="326" spans="1:9" x14ac:dyDescent="0.35">
      <c r="A326" s="3" t="s">
        <v>5112</v>
      </c>
      <c r="B326" s="3" t="s">
        <v>905</v>
      </c>
      <c r="C326" s="4">
        <v>0.8</v>
      </c>
      <c r="D326" s="4">
        <v>3.3</v>
      </c>
      <c r="E326" s="4">
        <v>3.5</v>
      </c>
      <c r="F326" s="4">
        <v>4.8</v>
      </c>
      <c r="G326" s="4">
        <v>22.9</v>
      </c>
      <c r="H326" s="4">
        <v>57.7</v>
      </c>
      <c r="I326" s="4">
        <v>6.9</v>
      </c>
    </row>
    <row r="327" spans="1:9" x14ac:dyDescent="0.35">
      <c r="A327" s="3" t="s">
        <v>5113</v>
      </c>
      <c r="B327" s="3" t="s">
        <v>907</v>
      </c>
      <c r="C327" s="4">
        <v>0.8</v>
      </c>
      <c r="D327" s="4">
        <v>3.3</v>
      </c>
      <c r="E327" s="4">
        <v>3.5</v>
      </c>
      <c r="F327" s="4">
        <v>4.8</v>
      </c>
      <c r="G327" s="4">
        <v>22.9</v>
      </c>
      <c r="H327" s="4">
        <v>57.7</v>
      </c>
      <c r="I327" s="4">
        <v>6.9</v>
      </c>
    </row>
    <row r="328" spans="1:9" x14ac:dyDescent="0.35">
      <c r="A328" s="3" t="s">
        <v>4682</v>
      </c>
      <c r="B328" s="3" t="s">
        <v>909</v>
      </c>
      <c r="C328" s="4">
        <v>0</v>
      </c>
      <c r="D328" s="4">
        <v>0</v>
      </c>
      <c r="E328" s="4">
        <v>0</v>
      </c>
      <c r="F328" s="4">
        <v>0</v>
      </c>
      <c r="G328" s="4">
        <v>0</v>
      </c>
      <c r="H328" s="4">
        <v>3.1</v>
      </c>
      <c r="I328" s="4">
        <v>96.9</v>
      </c>
    </row>
    <row r="329" spans="1:9" x14ac:dyDescent="0.35">
      <c r="A329" s="3" t="s">
        <v>3678</v>
      </c>
      <c r="B329" s="3" t="s">
        <v>911</v>
      </c>
      <c r="C329" s="4">
        <v>0.5</v>
      </c>
      <c r="D329" s="4">
        <v>1</v>
      </c>
      <c r="E329" s="4">
        <v>3.9</v>
      </c>
      <c r="F329" s="4">
        <v>28.2</v>
      </c>
      <c r="G329" s="4">
        <v>53.3</v>
      </c>
      <c r="H329" s="4">
        <v>10.8</v>
      </c>
      <c r="I329" s="4">
        <v>2.4</v>
      </c>
    </row>
    <row r="330" spans="1:9" x14ac:dyDescent="0.35">
      <c r="A330" s="3" t="s">
        <v>3684</v>
      </c>
      <c r="B330" s="3" t="s">
        <v>913</v>
      </c>
      <c r="C330" s="4">
        <v>0.6</v>
      </c>
      <c r="D330" s="4">
        <v>0.5</v>
      </c>
      <c r="E330" s="4">
        <v>0.8</v>
      </c>
      <c r="F330" s="4">
        <v>1.4</v>
      </c>
      <c r="G330" s="4">
        <v>11.9</v>
      </c>
      <c r="H330" s="4">
        <v>67</v>
      </c>
      <c r="I330" s="4">
        <v>17.899999999999999</v>
      </c>
    </row>
    <row r="331" spans="1:9" x14ac:dyDescent="0.35">
      <c r="A331" s="3" t="s">
        <v>5114</v>
      </c>
      <c r="B331" s="3" t="s">
        <v>915</v>
      </c>
      <c r="C331" s="4">
        <v>0.2</v>
      </c>
      <c r="D331" s="4">
        <v>0.8</v>
      </c>
      <c r="E331" s="4">
        <v>0.6</v>
      </c>
      <c r="F331" s="4">
        <v>0.4</v>
      </c>
      <c r="G331" s="4">
        <v>7.7</v>
      </c>
      <c r="H331" s="4">
        <v>72.900000000000006</v>
      </c>
      <c r="I331" s="4">
        <v>17.399999999999999</v>
      </c>
    </row>
    <row r="332" spans="1:9" x14ac:dyDescent="0.35">
      <c r="A332" s="3" t="s">
        <v>5115</v>
      </c>
      <c r="B332" s="3" t="s">
        <v>917</v>
      </c>
      <c r="C332" s="4">
        <v>0.2</v>
      </c>
      <c r="D332" s="4">
        <v>0.8</v>
      </c>
      <c r="E332" s="4">
        <v>0.6</v>
      </c>
      <c r="F332" s="4">
        <v>0.4</v>
      </c>
      <c r="G332" s="4">
        <v>7.7</v>
      </c>
      <c r="H332" s="4">
        <v>72.900000000000006</v>
      </c>
      <c r="I332" s="4">
        <v>17.399999999999999</v>
      </c>
    </row>
    <row r="333" spans="1:9" x14ac:dyDescent="0.35">
      <c r="A333" s="3" t="s">
        <v>4684</v>
      </c>
      <c r="B333" s="3" t="s">
        <v>919</v>
      </c>
      <c r="C333" s="4">
        <v>0</v>
      </c>
      <c r="D333" s="4">
        <v>0.3</v>
      </c>
      <c r="E333" s="4">
        <v>1.5</v>
      </c>
      <c r="F333" s="4">
        <v>0.4</v>
      </c>
      <c r="G333" s="4">
        <v>10.6</v>
      </c>
      <c r="H333" s="4">
        <v>19.600000000000001</v>
      </c>
      <c r="I333" s="4">
        <v>67.599999999999994</v>
      </c>
    </row>
    <row r="334" spans="1:9" x14ac:dyDescent="0.35">
      <c r="A334" s="3" t="s">
        <v>5116</v>
      </c>
      <c r="B334" s="3" t="s">
        <v>923</v>
      </c>
      <c r="C334" s="4">
        <v>0</v>
      </c>
      <c r="D334" s="4">
        <v>0</v>
      </c>
      <c r="E334" s="4">
        <v>0</v>
      </c>
      <c r="F334" s="4">
        <v>0</v>
      </c>
      <c r="G334" s="4">
        <v>0</v>
      </c>
      <c r="H334" s="4">
        <v>0</v>
      </c>
      <c r="I334" s="4">
        <v>100</v>
      </c>
    </row>
    <row r="335" spans="1:9" x14ac:dyDescent="0.35">
      <c r="A335" s="3" t="s">
        <v>5117</v>
      </c>
      <c r="B335" s="3" t="s">
        <v>925</v>
      </c>
      <c r="C335" s="4">
        <v>0</v>
      </c>
      <c r="D335" s="4">
        <v>0</v>
      </c>
      <c r="E335" s="4">
        <v>0</v>
      </c>
      <c r="F335" s="4">
        <v>0</v>
      </c>
      <c r="G335" s="4">
        <v>0</v>
      </c>
      <c r="H335" s="4">
        <v>0</v>
      </c>
      <c r="I335" s="4">
        <v>100</v>
      </c>
    </row>
    <row r="336" spans="1:9" x14ac:dyDescent="0.35">
      <c r="A336" s="3" t="s">
        <v>5118</v>
      </c>
      <c r="B336" s="3" t="s">
        <v>927</v>
      </c>
      <c r="C336" s="4">
        <v>0</v>
      </c>
      <c r="D336" s="4">
        <v>0</v>
      </c>
      <c r="E336" s="4">
        <v>0</v>
      </c>
      <c r="F336" s="4">
        <v>0</v>
      </c>
      <c r="G336" s="4">
        <v>0</v>
      </c>
      <c r="H336" s="4">
        <v>0</v>
      </c>
      <c r="I336" s="4">
        <v>100</v>
      </c>
    </row>
    <row r="337" spans="1:9" x14ac:dyDescent="0.35">
      <c r="A337" s="3" t="s">
        <v>5119</v>
      </c>
      <c r="B337" s="3" t="s">
        <v>929</v>
      </c>
      <c r="C337" s="4">
        <v>0</v>
      </c>
      <c r="D337" s="4">
        <v>0</v>
      </c>
      <c r="E337" s="4">
        <v>0</v>
      </c>
      <c r="F337" s="4">
        <v>0</v>
      </c>
      <c r="G337" s="4">
        <v>0</v>
      </c>
      <c r="H337" s="4">
        <v>0</v>
      </c>
      <c r="I337" s="4">
        <v>100</v>
      </c>
    </row>
    <row r="338" spans="1:9" x14ac:dyDescent="0.35">
      <c r="A338" s="3" t="s">
        <v>5120</v>
      </c>
      <c r="B338" s="3" t="s">
        <v>931</v>
      </c>
      <c r="C338" s="4">
        <v>0</v>
      </c>
      <c r="D338" s="4">
        <v>0</v>
      </c>
      <c r="E338" s="4">
        <v>0</v>
      </c>
      <c r="F338" s="4">
        <v>0</v>
      </c>
      <c r="G338" s="4">
        <v>0</v>
      </c>
      <c r="H338" s="4">
        <v>0</v>
      </c>
      <c r="I338" s="4">
        <v>100</v>
      </c>
    </row>
    <row r="339" spans="1:9" x14ac:dyDescent="0.35">
      <c r="A339" s="3" t="s">
        <v>5121</v>
      </c>
      <c r="B339" s="3" t="s">
        <v>933</v>
      </c>
      <c r="C339" s="4">
        <v>0</v>
      </c>
      <c r="D339" s="4">
        <v>0</v>
      </c>
      <c r="E339" s="4">
        <v>0</v>
      </c>
      <c r="F339" s="4">
        <v>0</v>
      </c>
      <c r="G339" s="4">
        <v>0</v>
      </c>
      <c r="H339" s="4">
        <v>0</v>
      </c>
      <c r="I339" s="4">
        <v>100</v>
      </c>
    </row>
    <row r="340" spans="1:9" x14ac:dyDescent="0.35">
      <c r="A340" s="3" t="s">
        <v>5122</v>
      </c>
      <c r="B340" s="3" t="s">
        <v>935</v>
      </c>
      <c r="C340" s="4">
        <v>0</v>
      </c>
      <c r="D340" s="4">
        <v>0</v>
      </c>
      <c r="E340" s="4">
        <v>0</v>
      </c>
      <c r="F340" s="4">
        <v>0</v>
      </c>
      <c r="G340" s="4">
        <v>0</v>
      </c>
      <c r="H340" s="4">
        <v>0</v>
      </c>
      <c r="I340" s="4">
        <v>100</v>
      </c>
    </row>
    <row r="341" spans="1:9" x14ac:dyDescent="0.35">
      <c r="A341" s="3" t="s">
        <v>5123</v>
      </c>
      <c r="B341" s="3" t="s">
        <v>937</v>
      </c>
      <c r="C341" s="4">
        <v>0</v>
      </c>
      <c r="D341" s="4">
        <v>0</v>
      </c>
      <c r="E341" s="4">
        <v>0</v>
      </c>
      <c r="F341" s="4">
        <v>0</v>
      </c>
      <c r="G341" s="4">
        <v>0</v>
      </c>
      <c r="H341" s="4">
        <v>0</v>
      </c>
      <c r="I341" s="4">
        <v>100</v>
      </c>
    </row>
    <row r="342" spans="1:9" x14ac:dyDescent="0.35">
      <c r="A342" s="3" t="s">
        <v>5124</v>
      </c>
      <c r="B342" s="3" t="s">
        <v>939</v>
      </c>
      <c r="C342" s="4">
        <v>0</v>
      </c>
      <c r="D342" s="4">
        <v>0</v>
      </c>
      <c r="E342" s="4">
        <v>0</v>
      </c>
      <c r="F342" s="4">
        <v>0</v>
      </c>
      <c r="G342" s="4">
        <v>0</v>
      </c>
      <c r="H342" s="4">
        <v>0</v>
      </c>
      <c r="I342" s="4">
        <v>100</v>
      </c>
    </row>
    <row r="343" spans="1:9" x14ac:dyDescent="0.35">
      <c r="A343" s="3" t="s">
        <v>5125</v>
      </c>
      <c r="B343" s="3" t="s">
        <v>941</v>
      </c>
      <c r="C343" s="4">
        <v>0</v>
      </c>
      <c r="D343" s="4">
        <v>0</v>
      </c>
      <c r="E343" s="4">
        <v>0</v>
      </c>
      <c r="F343" s="4">
        <v>0</v>
      </c>
      <c r="G343" s="4">
        <v>0</v>
      </c>
      <c r="H343" s="4">
        <v>0</v>
      </c>
      <c r="I343" s="4">
        <v>100</v>
      </c>
    </row>
    <row r="344" spans="1:9" x14ac:dyDescent="0.35">
      <c r="A344" s="3" t="s">
        <v>5126</v>
      </c>
      <c r="B344" s="3" t="s">
        <v>943</v>
      </c>
      <c r="C344" s="4">
        <v>0</v>
      </c>
      <c r="D344" s="4">
        <v>0</v>
      </c>
      <c r="E344" s="4">
        <v>0</v>
      </c>
      <c r="F344" s="4">
        <v>0</v>
      </c>
      <c r="G344" s="4">
        <v>0</v>
      </c>
      <c r="H344" s="4">
        <v>0</v>
      </c>
      <c r="I344" s="4">
        <v>100</v>
      </c>
    </row>
    <row r="345" spans="1:9" x14ac:dyDescent="0.35">
      <c r="A345" s="3" t="s">
        <v>5127</v>
      </c>
      <c r="B345" s="3" t="s">
        <v>945</v>
      </c>
      <c r="C345" s="4">
        <v>0</v>
      </c>
      <c r="D345" s="4">
        <v>0</v>
      </c>
      <c r="E345" s="4">
        <v>0</v>
      </c>
      <c r="F345" s="4">
        <v>0</v>
      </c>
      <c r="G345" s="4">
        <v>0</v>
      </c>
      <c r="H345" s="4">
        <v>0</v>
      </c>
      <c r="I345" s="4">
        <v>100</v>
      </c>
    </row>
    <row r="346" spans="1:9" x14ac:dyDescent="0.35">
      <c r="A346" s="3" t="s">
        <v>5128</v>
      </c>
      <c r="B346" s="3" t="s">
        <v>947</v>
      </c>
      <c r="C346" s="4">
        <v>0</v>
      </c>
      <c r="D346" s="4">
        <v>0</v>
      </c>
      <c r="E346" s="4">
        <v>0</v>
      </c>
      <c r="F346" s="4">
        <v>0</v>
      </c>
      <c r="G346" s="4">
        <v>0</v>
      </c>
      <c r="H346" s="4">
        <v>0</v>
      </c>
      <c r="I346" s="4">
        <v>100</v>
      </c>
    </row>
    <row r="347" spans="1:9" x14ac:dyDescent="0.35">
      <c r="A347" s="3" t="s">
        <v>5129</v>
      </c>
      <c r="B347" s="3" t="s">
        <v>951</v>
      </c>
      <c r="C347" s="4">
        <v>0</v>
      </c>
      <c r="D347" s="4">
        <v>0</v>
      </c>
      <c r="E347" s="4">
        <v>0</v>
      </c>
      <c r="F347" s="4">
        <v>0</v>
      </c>
      <c r="G347" s="4">
        <v>0</v>
      </c>
      <c r="H347" s="4">
        <v>0</v>
      </c>
      <c r="I347" s="4">
        <v>100</v>
      </c>
    </row>
    <row r="348" spans="1:9" x14ac:dyDescent="0.35">
      <c r="A348" s="3" t="s">
        <v>5130</v>
      </c>
      <c r="B348" s="3" t="s">
        <v>953</v>
      </c>
      <c r="C348" s="4">
        <v>0</v>
      </c>
      <c r="D348" s="4">
        <v>0</v>
      </c>
      <c r="E348" s="4">
        <v>0</v>
      </c>
      <c r="F348" s="4">
        <v>0</v>
      </c>
      <c r="G348" s="4">
        <v>0</v>
      </c>
      <c r="H348" s="4">
        <v>0</v>
      </c>
      <c r="I348" s="4">
        <v>100</v>
      </c>
    </row>
    <row r="349" spans="1:9" x14ac:dyDescent="0.35">
      <c r="A349" s="3" t="s">
        <v>5131</v>
      </c>
      <c r="B349" s="3" t="s">
        <v>955</v>
      </c>
      <c r="C349" s="4">
        <v>0</v>
      </c>
      <c r="D349" s="4">
        <v>0</v>
      </c>
      <c r="E349" s="4">
        <v>0</v>
      </c>
      <c r="F349" s="4">
        <v>0</v>
      </c>
      <c r="G349" s="4">
        <v>0</v>
      </c>
      <c r="H349" s="4">
        <v>0</v>
      </c>
      <c r="I349" s="4">
        <v>100</v>
      </c>
    </row>
    <row r="350" spans="1:9" x14ac:dyDescent="0.35">
      <c r="A350" s="3" t="s">
        <v>5132</v>
      </c>
      <c r="B350" s="3" t="s">
        <v>957</v>
      </c>
      <c r="C350" s="4">
        <v>0</v>
      </c>
      <c r="D350" s="4">
        <v>0</v>
      </c>
      <c r="E350" s="4">
        <v>0</v>
      </c>
      <c r="F350" s="4">
        <v>0</v>
      </c>
      <c r="G350" s="4">
        <v>0</v>
      </c>
      <c r="H350" s="4">
        <v>0</v>
      </c>
      <c r="I350" s="4">
        <v>100</v>
      </c>
    </row>
    <row r="351" spans="1:9" x14ac:dyDescent="0.35">
      <c r="A351" s="3" t="s">
        <v>4693</v>
      </c>
      <c r="B351" s="3" t="s">
        <v>961</v>
      </c>
      <c r="C351" s="4">
        <v>1.7</v>
      </c>
      <c r="D351" s="4">
        <v>1</v>
      </c>
      <c r="E351" s="4">
        <v>2.7</v>
      </c>
      <c r="F351" s="4">
        <v>1</v>
      </c>
      <c r="G351" s="4">
        <v>11.5</v>
      </c>
      <c r="H351" s="4">
        <v>51.1</v>
      </c>
      <c r="I351" s="4">
        <v>31</v>
      </c>
    </row>
    <row r="352" spans="1:9" x14ac:dyDescent="0.35">
      <c r="A352" s="3" t="s">
        <v>3703</v>
      </c>
      <c r="B352" s="3" t="s">
        <v>963</v>
      </c>
      <c r="C352" s="4">
        <v>0.8</v>
      </c>
      <c r="D352" s="4">
        <v>2.4</v>
      </c>
      <c r="E352" s="4">
        <v>8.5</v>
      </c>
      <c r="F352" s="4">
        <v>49.5</v>
      </c>
      <c r="G352" s="4">
        <v>32.9</v>
      </c>
      <c r="H352" s="4">
        <v>3.2</v>
      </c>
      <c r="I352" s="4">
        <v>2.8</v>
      </c>
    </row>
    <row r="353" spans="1:9" x14ac:dyDescent="0.35">
      <c r="A353" s="3" t="s">
        <v>4694</v>
      </c>
      <c r="B353" s="3" t="s">
        <v>965</v>
      </c>
      <c r="C353" s="4">
        <v>0.4</v>
      </c>
      <c r="D353" s="4">
        <v>4.8</v>
      </c>
      <c r="E353" s="4">
        <v>16.600000000000001</v>
      </c>
      <c r="F353" s="4">
        <v>6.3</v>
      </c>
      <c r="G353" s="4">
        <v>30.4</v>
      </c>
      <c r="H353" s="4">
        <v>16.8</v>
      </c>
      <c r="I353" s="4">
        <v>24.8</v>
      </c>
    </row>
    <row r="354" spans="1:9" x14ac:dyDescent="0.35">
      <c r="A354" s="3" t="s">
        <v>3705</v>
      </c>
      <c r="B354" s="3" t="s">
        <v>969</v>
      </c>
      <c r="C354" s="4">
        <v>1.3</v>
      </c>
      <c r="D354" s="4">
        <v>11</v>
      </c>
      <c r="E354" s="4">
        <v>19.399999999999999</v>
      </c>
      <c r="F354" s="4">
        <v>17.5</v>
      </c>
      <c r="G354" s="4">
        <v>40</v>
      </c>
      <c r="H354" s="4">
        <v>7.6</v>
      </c>
      <c r="I354" s="4">
        <v>3.2</v>
      </c>
    </row>
    <row r="355" spans="1:9" x14ac:dyDescent="0.35">
      <c r="A355" s="3" t="s">
        <v>4695</v>
      </c>
      <c r="B355" s="3" t="s">
        <v>973</v>
      </c>
      <c r="C355" s="4">
        <v>2.6</v>
      </c>
      <c r="D355" s="4">
        <v>13.4</v>
      </c>
      <c r="E355" s="4">
        <v>25.3</v>
      </c>
      <c r="F355" s="4">
        <v>17.5</v>
      </c>
      <c r="G355" s="4">
        <v>30.1</v>
      </c>
      <c r="H355" s="4">
        <v>10</v>
      </c>
      <c r="I355" s="4">
        <v>1.2</v>
      </c>
    </row>
    <row r="356" spans="1:9" x14ac:dyDescent="0.35">
      <c r="A356" s="3" t="s">
        <v>3707</v>
      </c>
      <c r="B356" s="3" t="s">
        <v>975</v>
      </c>
      <c r="C356" s="4">
        <v>1.1000000000000001</v>
      </c>
      <c r="D356" s="4">
        <v>3.8</v>
      </c>
      <c r="E356" s="4">
        <v>11.4</v>
      </c>
      <c r="F356" s="4">
        <v>34.1</v>
      </c>
      <c r="G356" s="4">
        <v>39.200000000000003</v>
      </c>
      <c r="H356" s="4">
        <v>7.4</v>
      </c>
      <c r="I356" s="4">
        <v>2.9</v>
      </c>
    </row>
    <row r="357" spans="1:9" x14ac:dyDescent="0.35">
      <c r="A357" s="3" t="s">
        <v>5133</v>
      </c>
      <c r="B357" s="3" t="s">
        <v>977</v>
      </c>
      <c r="C357" s="4">
        <v>2.9</v>
      </c>
      <c r="D357" s="4">
        <v>2.8</v>
      </c>
      <c r="E357" s="4">
        <v>5.8</v>
      </c>
      <c r="F357" s="4">
        <v>16.7</v>
      </c>
      <c r="G357" s="4">
        <v>51</v>
      </c>
      <c r="H357" s="4">
        <v>17.8</v>
      </c>
      <c r="I357" s="4">
        <v>2.9</v>
      </c>
    </row>
    <row r="358" spans="1:9" x14ac:dyDescent="0.35">
      <c r="A358" s="3" t="s">
        <v>3711</v>
      </c>
      <c r="B358" s="3" t="s">
        <v>979</v>
      </c>
      <c r="C358" s="4">
        <v>1.2</v>
      </c>
      <c r="D358" s="4">
        <v>5.5</v>
      </c>
      <c r="E358" s="4">
        <v>15.8</v>
      </c>
      <c r="F358" s="4">
        <v>50.1</v>
      </c>
      <c r="G358" s="4">
        <v>22.9</v>
      </c>
      <c r="H358" s="4">
        <v>3.7</v>
      </c>
      <c r="I358" s="4">
        <v>0.7</v>
      </c>
    </row>
    <row r="359" spans="1:9" x14ac:dyDescent="0.35">
      <c r="A359" s="3" t="s">
        <v>3715</v>
      </c>
      <c r="B359" s="3" t="s">
        <v>981</v>
      </c>
      <c r="C359" s="4">
        <v>1.4</v>
      </c>
      <c r="D359" s="4">
        <v>5.9</v>
      </c>
      <c r="E359" s="4">
        <v>11.8</v>
      </c>
      <c r="F359" s="4">
        <v>33.6</v>
      </c>
      <c r="G359" s="4">
        <v>36.9</v>
      </c>
      <c r="H359" s="4">
        <v>9.1999999999999993</v>
      </c>
      <c r="I359" s="4">
        <v>1.1000000000000001</v>
      </c>
    </row>
    <row r="360" spans="1:9" x14ac:dyDescent="0.35">
      <c r="A360" s="3" t="s">
        <v>5134</v>
      </c>
      <c r="B360" s="3" t="s">
        <v>983</v>
      </c>
      <c r="C360" s="4">
        <v>2.9</v>
      </c>
      <c r="D360" s="4">
        <v>2.8</v>
      </c>
      <c r="E360" s="4">
        <v>5.8</v>
      </c>
      <c r="F360" s="4">
        <v>16.7</v>
      </c>
      <c r="G360" s="4">
        <v>51</v>
      </c>
      <c r="H360" s="4">
        <v>17.8</v>
      </c>
      <c r="I360" s="4">
        <v>2.9</v>
      </c>
    </row>
    <row r="361" spans="1:9" x14ac:dyDescent="0.35">
      <c r="A361" s="3" t="s">
        <v>3716</v>
      </c>
      <c r="B361" s="3" t="s">
        <v>987</v>
      </c>
      <c r="C361" s="4">
        <v>1</v>
      </c>
      <c r="D361" s="4">
        <v>17</v>
      </c>
      <c r="E361" s="4">
        <v>42.4</v>
      </c>
      <c r="F361" s="4">
        <v>20.2</v>
      </c>
      <c r="G361" s="4">
        <v>16.100000000000001</v>
      </c>
      <c r="H361" s="4">
        <v>2.1</v>
      </c>
      <c r="I361" s="4">
        <v>1.2</v>
      </c>
    </row>
    <row r="362" spans="1:9" x14ac:dyDescent="0.35">
      <c r="A362" s="3" t="s">
        <v>3719</v>
      </c>
      <c r="B362" s="3" t="s">
        <v>989</v>
      </c>
      <c r="C362" s="4">
        <v>0.5</v>
      </c>
      <c r="D362" s="4">
        <v>7.6</v>
      </c>
      <c r="E362" s="4">
        <v>39.799999999999997</v>
      </c>
      <c r="F362" s="4">
        <v>26.5</v>
      </c>
      <c r="G362" s="4">
        <v>18.600000000000001</v>
      </c>
      <c r="H362" s="4">
        <v>2.5</v>
      </c>
      <c r="I362" s="4">
        <v>4.5999999999999996</v>
      </c>
    </row>
    <row r="363" spans="1:9" x14ac:dyDescent="0.35">
      <c r="A363" s="3" t="s">
        <v>5135</v>
      </c>
      <c r="B363" s="3" t="s">
        <v>993</v>
      </c>
      <c r="C363" s="4">
        <v>8.6999999999999993</v>
      </c>
      <c r="D363" s="4">
        <v>42.8</v>
      </c>
      <c r="E363" s="4">
        <v>22.6</v>
      </c>
      <c r="F363" s="4">
        <v>12.5</v>
      </c>
      <c r="G363" s="4">
        <v>11</v>
      </c>
      <c r="H363" s="4">
        <v>1.7</v>
      </c>
      <c r="I363" s="4">
        <v>0.7</v>
      </c>
    </row>
    <row r="364" spans="1:9" x14ac:dyDescent="0.35">
      <c r="A364" s="3" t="s">
        <v>3721</v>
      </c>
      <c r="B364" s="3" t="s">
        <v>995</v>
      </c>
      <c r="C364" s="4">
        <v>1.6</v>
      </c>
      <c r="D364" s="4">
        <v>25.8</v>
      </c>
      <c r="E364" s="4">
        <v>36.799999999999997</v>
      </c>
      <c r="F364" s="4">
        <v>16.2</v>
      </c>
      <c r="G364" s="4">
        <v>16.2</v>
      </c>
      <c r="H364" s="4">
        <v>2.4</v>
      </c>
      <c r="I364" s="4">
        <v>1</v>
      </c>
    </row>
    <row r="365" spans="1:9" x14ac:dyDescent="0.35">
      <c r="A365" s="3" t="s">
        <v>4698</v>
      </c>
      <c r="B365" s="3" t="s">
        <v>997</v>
      </c>
      <c r="C365" s="4">
        <v>1.2</v>
      </c>
      <c r="D365" s="4">
        <v>15</v>
      </c>
      <c r="E365" s="4">
        <v>24</v>
      </c>
      <c r="F365" s="4">
        <v>13.2</v>
      </c>
      <c r="G365" s="4">
        <v>35.5</v>
      </c>
      <c r="H365" s="4">
        <v>10.3</v>
      </c>
      <c r="I365" s="4">
        <v>1</v>
      </c>
    </row>
    <row r="366" spans="1:9" x14ac:dyDescent="0.35">
      <c r="A366" s="3" t="s">
        <v>4699</v>
      </c>
      <c r="B366" s="3" t="s">
        <v>999</v>
      </c>
      <c r="C366" s="4">
        <v>1</v>
      </c>
      <c r="D366" s="4">
        <v>13.4</v>
      </c>
      <c r="E366" s="4">
        <v>33.6</v>
      </c>
      <c r="F366" s="4">
        <v>38.4</v>
      </c>
      <c r="G366" s="4">
        <v>12</v>
      </c>
      <c r="H366" s="4">
        <v>0.9</v>
      </c>
      <c r="I366" s="4">
        <v>0.7</v>
      </c>
    </row>
    <row r="367" spans="1:9" x14ac:dyDescent="0.35">
      <c r="A367" s="3" t="s">
        <v>4700</v>
      </c>
      <c r="B367" s="3" t="s">
        <v>1001</v>
      </c>
      <c r="C367" s="4">
        <v>1.4</v>
      </c>
      <c r="D367" s="4">
        <v>15.5</v>
      </c>
      <c r="E367" s="4">
        <v>24.8</v>
      </c>
      <c r="F367" s="4">
        <v>32.700000000000003</v>
      </c>
      <c r="G367" s="4">
        <v>22.5</v>
      </c>
      <c r="H367" s="4">
        <v>1.8</v>
      </c>
      <c r="I367" s="4">
        <v>1.3</v>
      </c>
    </row>
    <row r="368" spans="1:9" x14ac:dyDescent="0.35">
      <c r="A368" s="3" t="s">
        <v>5136</v>
      </c>
      <c r="B368" s="3" t="s">
        <v>1003</v>
      </c>
      <c r="C368" s="4">
        <v>8.6999999999999993</v>
      </c>
      <c r="D368" s="4">
        <v>42.8</v>
      </c>
      <c r="E368" s="4">
        <v>22.6</v>
      </c>
      <c r="F368" s="4">
        <v>12.5</v>
      </c>
      <c r="G368" s="4">
        <v>11</v>
      </c>
      <c r="H368" s="4">
        <v>1.7</v>
      </c>
      <c r="I368" s="4">
        <v>0.7</v>
      </c>
    </row>
    <row r="369" spans="1:9" x14ac:dyDescent="0.35">
      <c r="A369" s="3" t="s">
        <v>4701</v>
      </c>
      <c r="B369" s="3" t="s">
        <v>1005</v>
      </c>
      <c r="C369" s="4">
        <v>1.5</v>
      </c>
      <c r="D369" s="4">
        <v>20.5</v>
      </c>
      <c r="E369" s="4">
        <v>54.3</v>
      </c>
      <c r="F369" s="4">
        <v>18.8</v>
      </c>
      <c r="G369" s="4">
        <v>4.0999999999999996</v>
      </c>
      <c r="H369" s="4">
        <v>0.7</v>
      </c>
      <c r="I369" s="4">
        <v>0.3</v>
      </c>
    </row>
    <row r="370" spans="1:9" x14ac:dyDescent="0.35">
      <c r="A370" s="3" t="s">
        <v>3729</v>
      </c>
      <c r="B370" s="3" t="s">
        <v>1007</v>
      </c>
      <c r="C370" s="4">
        <v>1.8</v>
      </c>
      <c r="D370" s="4">
        <v>20.100000000000001</v>
      </c>
      <c r="E370" s="4">
        <v>31.8</v>
      </c>
      <c r="F370" s="4">
        <v>26.2</v>
      </c>
      <c r="G370" s="4">
        <v>15.6</v>
      </c>
      <c r="H370" s="4">
        <v>3.9</v>
      </c>
      <c r="I370" s="4">
        <v>0.6</v>
      </c>
    </row>
    <row r="371" spans="1:9" x14ac:dyDescent="0.35">
      <c r="A371" s="3" t="s">
        <v>4702</v>
      </c>
      <c r="B371" s="3" t="s">
        <v>1009</v>
      </c>
      <c r="C371" s="4">
        <v>2.4</v>
      </c>
      <c r="D371" s="4">
        <v>25.7</v>
      </c>
      <c r="E371" s="4">
        <v>31</v>
      </c>
      <c r="F371" s="4">
        <v>18.7</v>
      </c>
      <c r="G371" s="4">
        <v>20.399999999999999</v>
      </c>
      <c r="H371" s="4">
        <v>1.2</v>
      </c>
      <c r="I371" s="4">
        <v>0.7</v>
      </c>
    </row>
    <row r="372" spans="1:9" x14ac:dyDescent="0.35">
      <c r="A372" s="3" t="s">
        <v>5137</v>
      </c>
      <c r="B372" s="3" t="s">
        <v>1013</v>
      </c>
      <c r="C372" s="4">
        <v>2.8</v>
      </c>
      <c r="D372" s="4">
        <v>17.600000000000001</v>
      </c>
      <c r="E372" s="4">
        <v>33.1</v>
      </c>
      <c r="F372" s="4">
        <v>15.6</v>
      </c>
      <c r="G372" s="4">
        <v>22.3</v>
      </c>
      <c r="H372" s="4">
        <v>6.2</v>
      </c>
      <c r="I372" s="4">
        <v>2.4</v>
      </c>
    </row>
    <row r="373" spans="1:9" x14ac:dyDescent="0.35">
      <c r="A373" s="3" t="s">
        <v>5138</v>
      </c>
      <c r="B373" s="3" t="s">
        <v>1015</v>
      </c>
      <c r="C373" s="4">
        <v>2.8</v>
      </c>
      <c r="D373" s="4">
        <v>17.600000000000001</v>
      </c>
      <c r="E373" s="4">
        <v>33.1</v>
      </c>
      <c r="F373" s="4">
        <v>15.6</v>
      </c>
      <c r="G373" s="4">
        <v>22.3</v>
      </c>
      <c r="H373" s="4">
        <v>6.2</v>
      </c>
      <c r="I373" s="4">
        <v>2.4</v>
      </c>
    </row>
    <row r="374" spans="1:9" x14ac:dyDescent="0.35">
      <c r="A374" s="3" t="s">
        <v>5139</v>
      </c>
      <c r="B374" s="3" t="s">
        <v>1017</v>
      </c>
      <c r="C374" s="4">
        <v>2.8</v>
      </c>
      <c r="D374" s="4">
        <v>17.600000000000001</v>
      </c>
      <c r="E374" s="4">
        <v>33.1</v>
      </c>
      <c r="F374" s="4">
        <v>15.6</v>
      </c>
      <c r="G374" s="4">
        <v>22.3</v>
      </c>
      <c r="H374" s="4">
        <v>6.2</v>
      </c>
      <c r="I374" s="4">
        <v>2.4</v>
      </c>
    </row>
    <row r="375" spans="1:9" x14ac:dyDescent="0.35">
      <c r="A375" s="3" t="s">
        <v>5140</v>
      </c>
      <c r="B375" s="3" t="s">
        <v>1021</v>
      </c>
      <c r="C375" s="4">
        <v>0.5</v>
      </c>
      <c r="D375" s="4">
        <v>6.5</v>
      </c>
      <c r="E375" s="4">
        <v>12.5</v>
      </c>
      <c r="F375" s="4">
        <v>9.1999999999999993</v>
      </c>
      <c r="G375" s="4">
        <v>30.6</v>
      </c>
      <c r="H375" s="4">
        <v>36.299999999999997</v>
      </c>
      <c r="I375" s="4">
        <v>4.4000000000000004</v>
      </c>
    </row>
    <row r="376" spans="1:9" x14ac:dyDescent="0.35">
      <c r="A376" s="3" t="s">
        <v>5141</v>
      </c>
      <c r="B376" s="3" t="s">
        <v>1025</v>
      </c>
      <c r="C376" s="4">
        <v>0.5</v>
      </c>
      <c r="D376" s="4">
        <v>6.5</v>
      </c>
      <c r="E376" s="4">
        <v>12.5</v>
      </c>
      <c r="F376" s="4">
        <v>9.1999999999999993</v>
      </c>
      <c r="G376" s="4">
        <v>30.6</v>
      </c>
      <c r="H376" s="4">
        <v>36.299999999999997</v>
      </c>
      <c r="I376" s="4">
        <v>4.4000000000000004</v>
      </c>
    </row>
    <row r="377" spans="1:9" x14ac:dyDescent="0.35">
      <c r="A377" s="3" t="s">
        <v>5142</v>
      </c>
      <c r="B377" s="3" t="s">
        <v>1027</v>
      </c>
      <c r="C377" s="4">
        <v>0.5</v>
      </c>
      <c r="D377" s="4">
        <v>6.5</v>
      </c>
      <c r="E377" s="4">
        <v>12.5</v>
      </c>
      <c r="F377" s="4">
        <v>9.1999999999999993</v>
      </c>
      <c r="G377" s="4">
        <v>30.6</v>
      </c>
      <c r="H377" s="4">
        <v>36.299999999999997</v>
      </c>
      <c r="I377" s="4">
        <v>4.4000000000000004</v>
      </c>
    </row>
    <row r="378" spans="1:9" x14ac:dyDescent="0.35">
      <c r="A378" s="3" t="s">
        <v>5143</v>
      </c>
      <c r="B378" s="3" t="s">
        <v>1029</v>
      </c>
      <c r="C378" s="4">
        <v>0.5</v>
      </c>
      <c r="D378" s="4">
        <v>6.5</v>
      </c>
      <c r="E378" s="4">
        <v>12.5</v>
      </c>
      <c r="F378" s="4">
        <v>9.1999999999999993</v>
      </c>
      <c r="G378" s="4">
        <v>30.6</v>
      </c>
      <c r="H378" s="4">
        <v>36.299999999999997</v>
      </c>
      <c r="I378" s="4">
        <v>4.4000000000000004</v>
      </c>
    </row>
    <row r="379" spans="1:9" x14ac:dyDescent="0.35">
      <c r="A379" s="3" t="s">
        <v>5144</v>
      </c>
      <c r="B379" s="3" t="s">
        <v>1031</v>
      </c>
      <c r="C379" s="4">
        <v>0.5</v>
      </c>
      <c r="D379" s="4">
        <v>6.5</v>
      </c>
      <c r="E379" s="4">
        <v>12.5</v>
      </c>
      <c r="F379" s="4">
        <v>9.1999999999999993</v>
      </c>
      <c r="G379" s="4">
        <v>30.6</v>
      </c>
      <c r="H379" s="4">
        <v>36.299999999999997</v>
      </c>
      <c r="I379" s="4">
        <v>4.4000000000000004</v>
      </c>
    </row>
    <row r="380" spans="1:9" x14ac:dyDescent="0.35">
      <c r="A380" s="3" t="s">
        <v>5145</v>
      </c>
      <c r="B380" s="3" t="s">
        <v>1035</v>
      </c>
      <c r="C380" s="4">
        <v>17.2</v>
      </c>
      <c r="D380" s="4">
        <v>35.299999999999997</v>
      </c>
      <c r="E380" s="4">
        <v>24.6</v>
      </c>
      <c r="F380" s="4">
        <v>9.5</v>
      </c>
      <c r="G380" s="4">
        <v>10.1</v>
      </c>
      <c r="H380" s="4">
        <v>2.6</v>
      </c>
      <c r="I380" s="4">
        <v>0.7</v>
      </c>
    </row>
    <row r="381" spans="1:9" x14ac:dyDescent="0.35">
      <c r="A381" s="3" t="s">
        <v>4705</v>
      </c>
      <c r="B381" s="3" t="s">
        <v>1039</v>
      </c>
      <c r="C381" s="4">
        <v>9</v>
      </c>
      <c r="D381" s="4">
        <v>37.5</v>
      </c>
      <c r="E381" s="4">
        <v>32.4</v>
      </c>
      <c r="F381" s="4">
        <v>11.7</v>
      </c>
      <c r="G381" s="4">
        <v>7.7</v>
      </c>
      <c r="H381" s="4">
        <v>1.1000000000000001</v>
      </c>
      <c r="I381" s="4">
        <v>0.6</v>
      </c>
    </row>
    <row r="382" spans="1:9" x14ac:dyDescent="0.35">
      <c r="A382" s="3" t="s">
        <v>5146</v>
      </c>
      <c r="B382" s="3" t="s">
        <v>1041</v>
      </c>
      <c r="C382" s="4">
        <v>4.5</v>
      </c>
      <c r="D382" s="4">
        <v>35.5</v>
      </c>
      <c r="E382" s="4">
        <v>31.4</v>
      </c>
      <c r="F382" s="4">
        <v>12</v>
      </c>
      <c r="G382" s="4">
        <v>13.3</v>
      </c>
      <c r="H382" s="4">
        <v>2.5</v>
      </c>
      <c r="I382" s="4">
        <v>0.8</v>
      </c>
    </row>
    <row r="383" spans="1:9" x14ac:dyDescent="0.35">
      <c r="A383" s="3" t="s">
        <v>5147</v>
      </c>
      <c r="B383" s="3" t="s">
        <v>1043</v>
      </c>
      <c r="C383" s="4">
        <v>4.5</v>
      </c>
      <c r="D383" s="4">
        <v>35.5</v>
      </c>
      <c r="E383" s="4">
        <v>31.4</v>
      </c>
      <c r="F383" s="4">
        <v>12</v>
      </c>
      <c r="G383" s="4">
        <v>13.3</v>
      </c>
      <c r="H383" s="4">
        <v>2.5</v>
      </c>
      <c r="I383" s="4">
        <v>0.8</v>
      </c>
    </row>
    <row r="384" spans="1:9" x14ac:dyDescent="0.35">
      <c r="A384" s="3" t="s">
        <v>5148</v>
      </c>
      <c r="B384" s="3" t="s">
        <v>1049</v>
      </c>
      <c r="C384" s="4">
        <v>1.8</v>
      </c>
      <c r="D384" s="4">
        <v>10.5</v>
      </c>
      <c r="E384" s="4">
        <v>13.5</v>
      </c>
      <c r="F384" s="4">
        <v>50.4</v>
      </c>
      <c r="G384" s="4">
        <v>19.100000000000001</v>
      </c>
      <c r="H384" s="4">
        <v>3.7</v>
      </c>
      <c r="I384" s="4">
        <v>0.9</v>
      </c>
    </row>
    <row r="385" spans="1:9" x14ac:dyDescent="0.35">
      <c r="A385" s="3" t="s">
        <v>5149</v>
      </c>
      <c r="B385" s="3" t="s">
        <v>1051</v>
      </c>
      <c r="C385" s="4">
        <v>1.8</v>
      </c>
      <c r="D385" s="4">
        <v>10.5</v>
      </c>
      <c r="E385" s="4">
        <v>13.5</v>
      </c>
      <c r="F385" s="4">
        <v>50.4</v>
      </c>
      <c r="G385" s="4">
        <v>19.100000000000001</v>
      </c>
      <c r="H385" s="4">
        <v>3.7</v>
      </c>
      <c r="I385" s="4">
        <v>0.9</v>
      </c>
    </row>
    <row r="386" spans="1:9" x14ac:dyDescent="0.35">
      <c r="A386" s="3" t="s">
        <v>5150</v>
      </c>
      <c r="B386" s="3" t="s">
        <v>1055</v>
      </c>
      <c r="C386" s="4">
        <v>0.9</v>
      </c>
      <c r="D386" s="4">
        <v>4.8</v>
      </c>
      <c r="E386" s="4">
        <v>9.4</v>
      </c>
      <c r="F386" s="4">
        <v>49.9</v>
      </c>
      <c r="G386" s="4">
        <v>29.8</v>
      </c>
      <c r="H386" s="4">
        <v>2.9</v>
      </c>
      <c r="I386" s="4">
        <v>2.2999999999999998</v>
      </c>
    </row>
    <row r="387" spans="1:9" x14ac:dyDescent="0.35">
      <c r="A387" s="3" t="s">
        <v>5151</v>
      </c>
      <c r="B387" s="3" t="s">
        <v>1057</v>
      </c>
      <c r="C387" s="4">
        <v>0.9</v>
      </c>
      <c r="D387" s="4">
        <v>4.8</v>
      </c>
      <c r="E387" s="4">
        <v>9.4</v>
      </c>
      <c r="F387" s="4">
        <v>49.9</v>
      </c>
      <c r="G387" s="4">
        <v>29.8</v>
      </c>
      <c r="H387" s="4">
        <v>2.9</v>
      </c>
      <c r="I387" s="4">
        <v>2.2999999999999998</v>
      </c>
    </row>
    <row r="388" spans="1:9" x14ac:dyDescent="0.35">
      <c r="A388" s="3" t="s">
        <v>3765</v>
      </c>
      <c r="B388" s="3" t="s">
        <v>1061</v>
      </c>
      <c r="C388" s="4">
        <v>2.8</v>
      </c>
      <c r="D388" s="4">
        <v>20.2</v>
      </c>
      <c r="E388" s="4">
        <v>31.4</v>
      </c>
      <c r="F388" s="4">
        <v>19.3</v>
      </c>
      <c r="G388" s="4">
        <v>20.399999999999999</v>
      </c>
      <c r="H388" s="4">
        <v>3.7</v>
      </c>
      <c r="I388" s="4">
        <v>2.2000000000000002</v>
      </c>
    </row>
    <row r="389" spans="1:9" x14ac:dyDescent="0.35">
      <c r="A389" s="3" t="s">
        <v>4708</v>
      </c>
      <c r="B389" s="3" t="s">
        <v>1065</v>
      </c>
      <c r="C389" s="4">
        <v>3.4</v>
      </c>
      <c r="D389" s="4">
        <v>26.7</v>
      </c>
      <c r="E389" s="4">
        <v>37.1</v>
      </c>
      <c r="F389" s="4">
        <v>19.899999999999999</v>
      </c>
      <c r="G389" s="4">
        <v>10.3</v>
      </c>
      <c r="H389" s="4">
        <v>0.9</v>
      </c>
      <c r="I389" s="4">
        <v>1.6</v>
      </c>
    </row>
    <row r="390" spans="1:9" x14ac:dyDescent="0.35">
      <c r="A390" s="3" t="s">
        <v>3769</v>
      </c>
      <c r="B390" s="3" t="s">
        <v>1067</v>
      </c>
      <c r="C390" s="4">
        <v>2</v>
      </c>
      <c r="D390" s="4">
        <v>20.100000000000001</v>
      </c>
      <c r="E390" s="4">
        <v>38.1</v>
      </c>
      <c r="F390" s="4">
        <v>24.6</v>
      </c>
      <c r="G390" s="4">
        <v>11.7</v>
      </c>
      <c r="H390" s="4">
        <v>2.4</v>
      </c>
      <c r="I390" s="4">
        <v>1.1000000000000001</v>
      </c>
    </row>
    <row r="391" spans="1:9" x14ac:dyDescent="0.35">
      <c r="A391" s="3" t="s">
        <v>5152</v>
      </c>
      <c r="B391" s="3" t="s">
        <v>1069</v>
      </c>
      <c r="C391" s="4">
        <v>5.3</v>
      </c>
      <c r="D391" s="4">
        <v>27.5</v>
      </c>
      <c r="E391" s="4">
        <v>28.7</v>
      </c>
      <c r="F391" s="4">
        <v>14.3</v>
      </c>
      <c r="G391" s="4">
        <v>17.3</v>
      </c>
      <c r="H391" s="4">
        <v>5.3</v>
      </c>
      <c r="I391" s="4">
        <v>1.6</v>
      </c>
    </row>
    <row r="392" spans="1:9" x14ac:dyDescent="0.35">
      <c r="A392" s="3" t="s">
        <v>3771</v>
      </c>
      <c r="B392" s="3" t="s">
        <v>1071</v>
      </c>
      <c r="C392" s="4">
        <v>1.3</v>
      </c>
      <c r="D392" s="4">
        <v>15.4</v>
      </c>
      <c r="E392" s="4">
        <v>32.4</v>
      </c>
      <c r="F392" s="4">
        <v>19.2</v>
      </c>
      <c r="G392" s="4">
        <v>24.1</v>
      </c>
      <c r="H392" s="4">
        <v>4.0999999999999996</v>
      </c>
      <c r="I392" s="4">
        <v>3.5</v>
      </c>
    </row>
    <row r="393" spans="1:9" x14ac:dyDescent="0.35">
      <c r="A393" s="3" t="s">
        <v>3773</v>
      </c>
      <c r="B393" s="3" t="s">
        <v>1073</v>
      </c>
      <c r="C393" s="4">
        <v>4.4000000000000004</v>
      </c>
      <c r="D393" s="4">
        <v>32.200000000000003</v>
      </c>
      <c r="E393" s="4">
        <v>27.8</v>
      </c>
      <c r="F393" s="4">
        <v>12.8</v>
      </c>
      <c r="G393" s="4">
        <v>15.6</v>
      </c>
      <c r="H393" s="4">
        <v>2.1</v>
      </c>
      <c r="I393" s="4">
        <v>5</v>
      </c>
    </row>
    <row r="394" spans="1:9" x14ac:dyDescent="0.35">
      <c r="A394" s="3" t="s">
        <v>4710</v>
      </c>
      <c r="B394" s="3" t="s">
        <v>1075</v>
      </c>
      <c r="C394" s="4">
        <v>4.2</v>
      </c>
      <c r="D394" s="4">
        <v>20.399999999999999</v>
      </c>
      <c r="E394" s="4">
        <v>30.4</v>
      </c>
      <c r="F394" s="4">
        <v>15.7</v>
      </c>
      <c r="G394" s="4">
        <v>25.7</v>
      </c>
      <c r="H394" s="4">
        <v>2.2999999999999998</v>
      </c>
      <c r="I394" s="4">
        <v>1.3</v>
      </c>
    </row>
    <row r="395" spans="1:9" x14ac:dyDescent="0.35">
      <c r="A395" s="3" t="s">
        <v>4711</v>
      </c>
      <c r="B395" s="3" t="s">
        <v>1077</v>
      </c>
      <c r="C395" s="4">
        <v>2</v>
      </c>
      <c r="D395" s="4">
        <v>24.6</v>
      </c>
      <c r="E395" s="4">
        <v>42</v>
      </c>
      <c r="F395" s="4">
        <v>18.8</v>
      </c>
      <c r="G395" s="4">
        <v>10.3</v>
      </c>
      <c r="H395" s="4">
        <v>1.7</v>
      </c>
      <c r="I395" s="4">
        <v>0.7</v>
      </c>
    </row>
    <row r="396" spans="1:9" x14ac:dyDescent="0.35">
      <c r="A396" s="3" t="s">
        <v>5153</v>
      </c>
      <c r="B396" s="3" t="s">
        <v>1079</v>
      </c>
      <c r="C396" s="4">
        <v>5.3</v>
      </c>
      <c r="D396" s="4">
        <v>27.5</v>
      </c>
      <c r="E396" s="4">
        <v>28.7</v>
      </c>
      <c r="F396" s="4">
        <v>14.3</v>
      </c>
      <c r="G396" s="4">
        <v>17.3</v>
      </c>
      <c r="H396" s="4">
        <v>5.3</v>
      </c>
      <c r="I396" s="4">
        <v>1.6</v>
      </c>
    </row>
    <row r="397" spans="1:9" x14ac:dyDescent="0.35">
      <c r="A397" s="3" t="s">
        <v>3775</v>
      </c>
      <c r="B397" s="3" t="s">
        <v>1085</v>
      </c>
      <c r="C397" s="4">
        <v>1.9</v>
      </c>
      <c r="D397" s="4">
        <v>26.4</v>
      </c>
      <c r="E397" s="4">
        <v>28.9</v>
      </c>
      <c r="F397" s="4">
        <v>14.5</v>
      </c>
      <c r="G397" s="4">
        <v>21.6</v>
      </c>
      <c r="H397" s="4">
        <v>6.5</v>
      </c>
      <c r="I397" s="4">
        <v>0.3</v>
      </c>
    </row>
    <row r="398" spans="1:9" x14ac:dyDescent="0.35">
      <c r="A398" s="3" t="s">
        <v>4713</v>
      </c>
      <c r="B398" s="3" t="s">
        <v>1087</v>
      </c>
      <c r="C398" s="4">
        <v>0.8</v>
      </c>
      <c r="D398" s="4">
        <v>13.3</v>
      </c>
      <c r="E398" s="4">
        <v>25.5</v>
      </c>
      <c r="F398" s="4">
        <v>14.3</v>
      </c>
      <c r="G398" s="4">
        <v>31.3</v>
      </c>
      <c r="H398" s="4">
        <v>13.2</v>
      </c>
      <c r="I398" s="4">
        <v>1.6</v>
      </c>
    </row>
    <row r="399" spans="1:9" x14ac:dyDescent="0.35">
      <c r="A399" s="3" t="s">
        <v>4714</v>
      </c>
      <c r="B399" s="3" t="s">
        <v>1089</v>
      </c>
      <c r="C399" s="4">
        <v>0.8</v>
      </c>
      <c r="D399" s="4">
        <v>10.1</v>
      </c>
      <c r="E399" s="4">
        <v>32.700000000000003</v>
      </c>
      <c r="F399" s="4">
        <v>23.9</v>
      </c>
      <c r="G399" s="4">
        <v>23.2</v>
      </c>
      <c r="H399" s="4">
        <v>8.4</v>
      </c>
      <c r="I399" s="4">
        <v>0.9</v>
      </c>
    </row>
    <row r="400" spans="1:9" x14ac:dyDescent="0.35">
      <c r="A400" s="3" t="s">
        <v>5154</v>
      </c>
      <c r="B400" s="3" t="s">
        <v>1093</v>
      </c>
      <c r="C400" s="4">
        <v>1.6</v>
      </c>
      <c r="D400" s="4">
        <v>23.3</v>
      </c>
      <c r="E400" s="4">
        <v>26.5</v>
      </c>
      <c r="F400" s="4">
        <v>11</v>
      </c>
      <c r="G400" s="4">
        <v>26.3</v>
      </c>
      <c r="H400" s="4">
        <v>9.5</v>
      </c>
      <c r="I400" s="4">
        <v>1.8</v>
      </c>
    </row>
    <row r="401" spans="1:9" x14ac:dyDescent="0.35">
      <c r="A401" s="3" t="s">
        <v>5155</v>
      </c>
      <c r="B401" s="3" t="s">
        <v>1095</v>
      </c>
      <c r="C401" s="4">
        <v>1.6</v>
      </c>
      <c r="D401" s="4">
        <v>23.3</v>
      </c>
      <c r="E401" s="4">
        <v>26.5</v>
      </c>
      <c r="F401" s="4">
        <v>11</v>
      </c>
      <c r="G401" s="4">
        <v>26.3</v>
      </c>
      <c r="H401" s="4">
        <v>9.5</v>
      </c>
      <c r="I401" s="4">
        <v>1.8</v>
      </c>
    </row>
    <row r="402" spans="1:9" x14ac:dyDescent="0.35">
      <c r="A402" s="3" t="s">
        <v>3781</v>
      </c>
      <c r="B402" s="3" t="s">
        <v>1099</v>
      </c>
      <c r="C402" s="4">
        <v>0.8</v>
      </c>
      <c r="D402" s="4">
        <v>14.3</v>
      </c>
      <c r="E402" s="4">
        <v>36.6</v>
      </c>
      <c r="F402" s="4">
        <v>22.6</v>
      </c>
      <c r="G402" s="4">
        <v>22.2</v>
      </c>
      <c r="H402" s="4">
        <v>2.7</v>
      </c>
      <c r="I402" s="4">
        <v>0.7</v>
      </c>
    </row>
    <row r="403" spans="1:9" x14ac:dyDescent="0.35">
      <c r="A403" s="3" t="s">
        <v>5156</v>
      </c>
      <c r="B403" s="3" t="s">
        <v>1103</v>
      </c>
      <c r="C403" s="4">
        <v>3.4</v>
      </c>
      <c r="D403" s="4">
        <v>24.4</v>
      </c>
      <c r="E403" s="4">
        <v>29.2</v>
      </c>
      <c r="F403" s="4">
        <v>17.399999999999999</v>
      </c>
      <c r="G403" s="4">
        <v>19.2</v>
      </c>
      <c r="H403" s="4">
        <v>5</v>
      </c>
      <c r="I403" s="4">
        <v>1.5</v>
      </c>
    </row>
    <row r="404" spans="1:9" x14ac:dyDescent="0.35">
      <c r="A404" s="3" t="s">
        <v>5157</v>
      </c>
      <c r="B404" s="3" t="s">
        <v>1105</v>
      </c>
      <c r="C404" s="4">
        <v>3.4</v>
      </c>
      <c r="D404" s="4">
        <v>24.4</v>
      </c>
      <c r="E404" s="4">
        <v>29.2</v>
      </c>
      <c r="F404" s="4">
        <v>17.399999999999999</v>
      </c>
      <c r="G404" s="4">
        <v>19.2</v>
      </c>
      <c r="H404" s="4">
        <v>5</v>
      </c>
      <c r="I404" s="4">
        <v>1.5</v>
      </c>
    </row>
    <row r="405" spans="1:9" x14ac:dyDescent="0.35">
      <c r="A405" s="3" t="s">
        <v>3786</v>
      </c>
      <c r="B405" s="3" t="s">
        <v>1111</v>
      </c>
      <c r="C405" s="4">
        <v>0.6</v>
      </c>
      <c r="D405" s="4">
        <v>21.5</v>
      </c>
      <c r="E405" s="4">
        <v>25.9</v>
      </c>
      <c r="F405" s="4">
        <v>17.399999999999999</v>
      </c>
      <c r="G405" s="4">
        <v>24.5</v>
      </c>
      <c r="H405" s="4">
        <v>8.1999999999999993</v>
      </c>
      <c r="I405" s="4">
        <v>1.8</v>
      </c>
    </row>
    <row r="406" spans="1:9" x14ac:dyDescent="0.35">
      <c r="A406" s="3" t="s">
        <v>3788</v>
      </c>
      <c r="B406" s="3" t="s">
        <v>1113</v>
      </c>
      <c r="C406" s="4">
        <v>1.6</v>
      </c>
      <c r="D406" s="4">
        <v>30</v>
      </c>
      <c r="E406" s="4">
        <v>34.5</v>
      </c>
      <c r="F406" s="4">
        <v>14.4</v>
      </c>
      <c r="G406" s="4">
        <v>16.600000000000001</v>
      </c>
      <c r="H406" s="4">
        <v>2.5</v>
      </c>
      <c r="I406" s="4">
        <v>0.4</v>
      </c>
    </row>
    <row r="407" spans="1:9" x14ac:dyDescent="0.35">
      <c r="A407" s="3" t="s">
        <v>4717</v>
      </c>
      <c r="B407" s="3" t="s">
        <v>1115</v>
      </c>
      <c r="C407" s="4">
        <v>0.5</v>
      </c>
      <c r="D407" s="4">
        <v>8.6</v>
      </c>
      <c r="E407" s="4">
        <v>19.399999999999999</v>
      </c>
      <c r="F407" s="4">
        <v>10.5</v>
      </c>
      <c r="G407" s="4">
        <v>42.9</v>
      </c>
      <c r="H407" s="4">
        <v>15.5</v>
      </c>
      <c r="I407" s="4">
        <v>2.6</v>
      </c>
    </row>
    <row r="408" spans="1:9" x14ac:dyDescent="0.35">
      <c r="A408" s="3" t="s">
        <v>5158</v>
      </c>
      <c r="B408" s="3" t="s">
        <v>1117</v>
      </c>
      <c r="C408" s="4">
        <v>0.3</v>
      </c>
      <c r="D408" s="4">
        <v>19.899999999999999</v>
      </c>
      <c r="E408" s="4">
        <v>20.6</v>
      </c>
      <c r="F408" s="4">
        <v>14.8</v>
      </c>
      <c r="G408" s="4">
        <v>34.200000000000003</v>
      </c>
      <c r="H408" s="4">
        <v>9</v>
      </c>
      <c r="I408" s="4">
        <v>1.3</v>
      </c>
    </row>
    <row r="409" spans="1:9" x14ac:dyDescent="0.35">
      <c r="A409" s="3" t="s">
        <v>5159</v>
      </c>
      <c r="B409" s="3" t="s">
        <v>1119</v>
      </c>
      <c r="C409" s="4">
        <v>0.3</v>
      </c>
      <c r="D409" s="4">
        <v>19.899999999999999</v>
      </c>
      <c r="E409" s="4">
        <v>20.6</v>
      </c>
      <c r="F409" s="4">
        <v>14.8</v>
      </c>
      <c r="G409" s="4">
        <v>34.200000000000003</v>
      </c>
      <c r="H409" s="4">
        <v>9</v>
      </c>
      <c r="I409" s="4">
        <v>1.3</v>
      </c>
    </row>
    <row r="410" spans="1:9" x14ac:dyDescent="0.35">
      <c r="A410" s="3" t="s">
        <v>5160</v>
      </c>
      <c r="B410" s="3" t="s">
        <v>1123</v>
      </c>
      <c r="C410" s="4">
        <v>0.9</v>
      </c>
      <c r="D410" s="4">
        <v>12.5</v>
      </c>
      <c r="E410" s="4">
        <v>29.1</v>
      </c>
      <c r="F410" s="4">
        <v>17</v>
      </c>
      <c r="G410" s="4">
        <v>32.700000000000003</v>
      </c>
      <c r="H410" s="4">
        <v>6.7</v>
      </c>
      <c r="I410" s="4">
        <v>1.1000000000000001</v>
      </c>
    </row>
    <row r="411" spans="1:9" x14ac:dyDescent="0.35">
      <c r="A411" s="3" t="s">
        <v>5161</v>
      </c>
      <c r="B411" s="3" t="s">
        <v>1125</v>
      </c>
      <c r="C411" s="4">
        <v>0.9</v>
      </c>
      <c r="D411" s="4">
        <v>12.5</v>
      </c>
      <c r="E411" s="4">
        <v>29.1</v>
      </c>
      <c r="F411" s="4">
        <v>17</v>
      </c>
      <c r="G411" s="4">
        <v>32.700000000000003</v>
      </c>
      <c r="H411" s="4">
        <v>6.7</v>
      </c>
      <c r="I411" s="4">
        <v>1.1000000000000001</v>
      </c>
    </row>
    <row r="412" spans="1:9" x14ac:dyDescent="0.35">
      <c r="A412" s="3" t="s">
        <v>4720</v>
      </c>
      <c r="B412" s="3" t="s">
        <v>1129</v>
      </c>
      <c r="C412" s="4">
        <v>2.2999999999999998</v>
      </c>
      <c r="D412" s="4">
        <v>31.9</v>
      </c>
      <c r="E412" s="4">
        <v>35.700000000000003</v>
      </c>
      <c r="F412" s="4">
        <v>10.5</v>
      </c>
      <c r="G412" s="4">
        <v>17.899999999999999</v>
      </c>
      <c r="H412" s="4">
        <v>1.4</v>
      </c>
      <c r="I412" s="4">
        <v>0.3</v>
      </c>
    </row>
    <row r="413" spans="1:9" x14ac:dyDescent="0.35">
      <c r="A413" s="3" t="s">
        <v>4721</v>
      </c>
      <c r="B413" s="3" t="s">
        <v>1131</v>
      </c>
      <c r="C413" s="4">
        <v>1.1000000000000001</v>
      </c>
      <c r="D413" s="4">
        <v>9.9</v>
      </c>
      <c r="E413" s="4">
        <v>19.7</v>
      </c>
      <c r="F413" s="4">
        <v>10.3</v>
      </c>
      <c r="G413" s="4">
        <v>42.4</v>
      </c>
      <c r="H413" s="4">
        <v>13.2</v>
      </c>
      <c r="I413" s="4">
        <v>3.4</v>
      </c>
    </row>
    <row r="414" spans="1:9" x14ac:dyDescent="0.35">
      <c r="A414" s="3" t="s">
        <v>5162</v>
      </c>
      <c r="B414" s="3" t="s">
        <v>1135</v>
      </c>
      <c r="C414" s="4">
        <v>5.8</v>
      </c>
      <c r="D414" s="4">
        <v>34.799999999999997</v>
      </c>
      <c r="E414" s="4">
        <v>30.3</v>
      </c>
      <c r="F414" s="4">
        <v>11.3</v>
      </c>
      <c r="G414" s="4">
        <v>14</v>
      </c>
      <c r="H414" s="4">
        <v>3.3</v>
      </c>
      <c r="I414" s="4">
        <v>0.6</v>
      </c>
    </row>
    <row r="415" spans="1:9" x14ac:dyDescent="0.35">
      <c r="A415" s="3" t="s">
        <v>5163</v>
      </c>
      <c r="B415" s="3" t="s">
        <v>1137</v>
      </c>
      <c r="C415" s="4">
        <v>5.8</v>
      </c>
      <c r="D415" s="4">
        <v>34.799999999999997</v>
      </c>
      <c r="E415" s="4">
        <v>30.3</v>
      </c>
      <c r="F415" s="4">
        <v>11.3</v>
      </c>
      <c r="G415" s="4">
        <v>14</v>
      </c>
      <c r="H415" s="4">
        <v>3.3</v>
      </c>
      <c r="I415" s="4">
        <v>0.6</v>
      </c>
    </row>
    <row r="416" spans="1:9" x14ac:dyDescent="0.35">
      <c r="A416" s="3" t="s">
        <v>4723</v>
      </c>
      <c r="B416" s="3" t="s">
        <v>1141</v>
      </c>
      <c r="C416" s="4">
        <v>16.100000000000001</v>
      </c>
      <c r="D416" s="4">
        <v>45</v>
      </c>
      <c r="E416" s="4">
        <v>22.6</v>
      </c>
      <c r="F416" s="4">
        <v>6.6</v>
      </c>
      <c r="G416" s="4">
        <v>8</v>
      </c>
      <c r="H416" s="4">
        <v>1.3</v>
      </c>
      <c r="I416" s="4">
        <v>0.4</v>
      </c>
    </row>
    <row r="417" spans="1:9" x14ac:dyDescent="0.35">
      <c r="A417" s="3" t="s">
        <v>5164</v>
      </c>
      <c r="B417" s="3" t="s">
        <v>1143</v>
      </c>
      <c r="C417" s="4">
        <v>1.6</v>
      </c>
      <c r="D417" s="4">
        <v>15.7</v>
      </c>
      <c r="E417" s="4">
        <v>25.8</v>
      </c>
      <c r="F417" s="4">
        <v>8.5</v>
      </c>
      <c r="G417" s="4">
        <v>37.799999999999997</v>
      </c>
      <c r="H417" s="4">
        <v>9.5</v>
      </c>
      <c r="I417" s="4">
        <v>1.2</v>
      </c>
    </row>
    <row r="418" spans="1:9" x14ac:dyDescent="0.35">
      <c r="A418" s="3" t="s">
        <v>4725</v>
      </c>
      <c r="B418" s="3" t="s">
        <v>1145</v>
      </c>
      <c r="C418" s="4">
        <v>2.2000000000000002</v>
      </c>
      <c r="D418" s="4">
        <v>22.3</v>
      </c>
      <c r="E418" s="4">
        <v>37.700000000000003</v>
      </c>
      <c r="F418" s="4">
        <v>11.9</v>
      </c>
      <c r="G418" s="4">
        <v>21.3</v>
      </c>
      <c r="H418" s="4">
        <v>4.3</v>
      </c>
      <c r="I418" s="4">
        <v>0.4</v>
      </c>
    </row>
    <row r="419" spans="1:9" x14ac:dyDescent="0.35">
      <c r="A419" s="3" t="s">
        <v>3801</v>
      </c>
      <c r="B419" s="3" t="s">
        <v>1147</v>
      </c>
      <c r="C419" s="4">
        <v>11.6</v>
      </c>
      <c r="D419" s="4">
        <v>46.4</v>
      </c>
      <c r="E419" s="4">
        <v>26.9</v>
      </c>
      <c r="F419" s="4">
        <v>9.1</v>
      </c>
      <c r="G419" s="4">
        <v>4.2</v>
      </c>
      <c r="H419" s="4">
        <v>1.6</v>
      </c>
      <c r="I419" s="4">
        <v>0.2</v>
      </c>
    </row>
    <row r="420" spans="1:9" x14ac:dyDescent="0.35">
      <c r="A420" s="3" t="s">
        <v>5165</v>
      </c>
      <c r="B420" s="3" t="s">
        <v>1149</v>
      </c>
      <c r="C420" s="4">
        <v>1.6</v>
      </c>
      <c r="D420" s="4">
        <v>15.7</v>
      </c>
      <c r="E420" s="4">
        <v>25.8</v>
      </c>
      <c r="F420" s="4">
        <v>8.5</v>
      </c>
      <c r="G420" s="4">
        <v>37.799999999999997</v>
      </c>
      <c r="H420" s="4">
        <v>9.5</v>
      </c>
      <c r="I420" s="4">
        <v>1.2</v>
      </c>
    </row>
    <row r="421" spans="1:9" x14ac:dyDescent="0.35">
      <c r="A421" s="3" t="s">
        <v>3803</v>
      </c>
      <c r="B421" s="3" t="s">
        <v>1153</v>
      </c>
      <c r="C421" s="4">
        <v>17.399999999999999</v>
      </c>
      <c r="D421" s="4">
        <v>30</v>
      </c>
      <c r="E421" s="4">
        <v>20.5</v>
      </c>
      <c r="F421" s="4">
        <v>17</v>
      </c>
      <c r="G421" s="4">
        <v>13</v>
      </c>
      <c r="H421" s="4">
        <v>1.6</v>
      </c>
      <c r="I421" s="4">
        <v>0.5</v>
      </c>
    </row>
    <row r="422" spans="1:9" x14ac:dyDescent="0.35">
      <c r="A422" s="3" t="s">
        <v>3806</v>
      </c>
      <c r="B422" s="3" t="s">
        <v>1155</v>
      </c>
      <c r="C422" s="4">
        <v>10.6</v>
      </c>
      <c r="D422" s="4">
        <v>37.4</v>
      </c>
      <c r="E422" s="4">
        <v>27.3</v>
      </c>
      <c r="F422" s="4">
        <v>10</v>
      </c>
      <c r="G422" s="4">
        <v>12.6</v>
      </c>
      <c r="H422" s="4">
        <v>1.7</v>
      </c>
      <c r="I422" s="4">
        <v>0.3</v>
      </c>
    </row>
    <row r="423" spans="1:9" x14ac:dyDescent="0.35">
      <c r="A423" s="3" t="s">
        <v>5166</v>
      </c>
      <c r="B423" s="3" t="s">
        <v>1161</v>
      </c>
      <c r="C423" s="4">
        <v>27</v>
      </c>
      <c r="D423" s="4">
        <v>42.6</v>
      </c>
      <c r="E423" s="4">
        <v>18</v>
      </c>
      <c r="F423" s="4">
        <v>6</v>
      </c>
      <c r="G423" s="4">
        <v>5.4</v>
      </c>
      <c r="H423" s="4">
        <v>0.8</v>
      </c>
      <c r="I423" s="4">
        <v>0.2</v>
      </c>
    </row>
    <row r="424" spans="1:9" x14ac:dyDescent="0.35">
      <c r="A424" s="3" t="s">
        <v>5167</v>
      </c>
      <c r="B424" s="3" t="s">
        <v>1163</v>
      </c>
      <c r="C424" s="4">
        <v>27</v>
      </c>
      <c r="D424" s="4">
        <v>42.6</v>
      </c>
      <c r="E424" s="4">
        <v>18</v>
      </c>
      <c r="F424" s="4">
        <v>6</v>
      </c>
      <c r="G424" s="4">
        <v>5.4</v>
      </c>
      <c r="H424" s="4">
        <v>0.8</v>
      </c>
      <c r="I424" s="4">
        <v>0.2</v>
      </c>
    </row>
    <row r="425" spans="1:9" x14ac:dyDescent="0.35">
      <c r="A425" s="3" t="s">
        <v>5168</v>
      </c>
      <c r="B425" s="3" t="s">
        <v>1165</v>
      </c>
      <c r="C425" s="4">
        <v>27</v>
      </c>
      <c r="D425" s="4">
        <v>42.6</v>
      </c>
      <c r="E425" s="4">
        <v>18</v>
      </c>
      <c r="F425" s="4">
        <v>6</v>
      </c>
      <c r="G425" s="4">
        <v>5.4</v>
      </c>
      <c r="H425" s="4">
        <v>0.8</v>
      </c>
      <c r="I425" s="4">
        <v>0.2</v>
      </c>
    </row>
    <row r="426" spans="1:9" x14ac:dyDescent="0.35">
      <c r="A426" s="3" t="s">
        <v>5169</v>
      </c>
      <c r="B426" s="3" t="s">
        <v>1167</v>
      </c>
      <c r="C426" s="4">
        <v>27</v>
      </c>
      <c r="D426" s="4">
        <v>42.6</v>
      </c>
      <c r="E426" s="4">
        <v>18</v>
      </c>
      <c r="F426" s="4">
        <v>6</v>
      </c>
      <c r="G426" s="4">
        <v>5.4</v>
      </c>
      <c r="H426" s="4">
        <v>0.8</v>
      </c>
      <c r="I426" s="4">
        <v>0.2</v>
      </c>
    </row>
    <row r="427" spans="1:9" x14ac:dyDescent="0.35">
      <c r="A427" s="3" t="s">
        <v>5170</v>
      </c>
      <c r="B427" s="3" t="s">
        <v>1169</v>
      </c>
      <c r="C427" s="4">
        <v>27</v>
      </c>
      <c r="D427" s="4">
        <v>42.6</v>
      </c>
      <c r="E427" s="4">
        <v>18</v>
      </c>
      <c r="F427" s="4">
        <v>6</v>
      </c>
      <c r="G427" s="4">
        <v>5.4</v>
      </c>
      <c r="H427" s="4">
        <v>0.8</v>
      </c>
      <c r="I427" s="4">
        <v>0.2</v>
      </c>
    </row>
    <row r="428" spans="1:9" x14ac:dyDescent="0.35">
      <c r="A428" s="3" t="s">
        <v>5171</v>
      </c>
      <c r="B428" s="3" t="s">
        <v>1171</v>
      </c>
      <c r="C428" s="4">
        <v>27</v>
      </c>
      <c r="D428" s="4">
        <v>42.6</v>
      </c>
      <c r="E428" s="4">
        <v>18</v>
      </c>
      <c r="F428" s="4">
        <v>6</v>
      </c>
      <c r="G428" s="4">
        <v>5.4</v>
      </c>
      <c r="H428" s="4">
        <v>0.8</v>
      </c>
      <c r="I428" s="4">
        <v>0.2</v>
      </c>
    </row>
    <row r="429" spans="1:9" x14ac:dyDescent="0.35">
      <c r="A429" s="3" t="s">
        <v>3822</v>
      </c>
      <c r="B429" s="3" t="s">
        <v>1173</v>
      </c>
      <c r="C429" s="4">
        <v>23.7</v>
      </c>
      <c r="D429" s="4">
        <v>41.7</v>
      </c>
      <c r="E429" s="4">
        <v>19.8</v>
      </c>
      <c r="F429" s="4">
        <v>6.2</v>
      </c>
      <c r="G429" s="4">
        <v>7.1</v>
      </c>
      <c r="H429" s="4">
        <v>1.2</v>
      </c>
      <c r="I429" s="4">
        <v>0.2</v>
      </c>
    </row>
    <row r="430" spans="1:9" x14ac:dyDescent="0.35">
      <c r="A430" s="3" t="s">
        <v>3828</v>
      </c>
      <c r="B430" s="3" t="s">
        <v>1177</v>
      </c>
      <c r="C430" s="4">
        <v>5.8</v>
      </c>
      <c r="D430" s="4">
        <v>29.1</v>
      </c>
      <c r="E430" s="4">
        <v>32.9</v>
      </c>
      <c r="F430" s="4">
        <v>11.1</v>
      </c>
      <c r="G430" s="4">
        <v>18.600000000000001</v>
      </c>
      <c r="H430" s="4">
        <v>2.2000000000000002</v>
      </c>
      <c r="I430" s="4">
        <v>0.3</v>
      </c>
    </row>
    <row r="431" spans="1:9" x14ac:dyDescent="0.35">
      <c r="A431" s="3" t="s">
        <v>4729</v>
      </c>
      <c r="B431" s="3" t="s">
        <v>1179</v>
      </c>
      <c r="C431" s="4">
        <v>13.4</v>
      </c>
      <c r="D431" s="4">
        <v>36.5</v>
      </c>
      <c r="E431" s="4">
        <v>26</v>
      </c>
      <c r="F431" s="4">
        <v>8.1999999999999993</v>
      </c>
      <c r="G431" s="4">
        <v>13.2</v>
      </c>
      <c r="H431" s="4">
        <v>2.1</v>
      </c>
      <c r="I431" s="4">
        <v>0.5</v>
      </c>
    </row>
    <row r="432" spans="1:9" x14ac:dyDescent="0.35">
      <c r="A432" s="3" t="s">
        <v>3832</v>
      </c>
      <c r="B432" s="3" t="s">
        <v>1181</v>
      </c>
      <c r="C432" s="4">
        <v>12.9</v>
      </c>
      <c r="D432" s="4">
        <v>34.1</v>
      </c>
      <c r="E432" s="4">
        <v>27.5</v>
      </c>
      <c r="F432" s="4">
        <v>9.1999999999999993</v>
      </c>
      <c r="G432" s="4">
        <v>13.9</v>
      </c>
      <c r="H432" s="4">
        <v>1.9</v>
      </c>
      <c r="I432" s="4">
        <v>0.4</v>
      </c>
    </row>
    <row r="433" spans="1:9" x14ac:dyDescent="0.35">
      <c r="A433" s="3" t="s">
        <v>3835</v>
      </c>
      <c r="B433" s="3" t="s">
        <v>1183</v>
      </c>
      <c r="C433" s="4">
        <v>12.3</v>
      </c>
      <c r="D433" s="4">
        <v>42.5</v>
      </c>
      <c r="E433" s="4">
        <v>24.9</v>
      </c>
      <c r="F433" s="4">
        <v>7.8</v>
      </c>
      <c r="G433" s="4">
        <v>10.4</v>
      </c>
      <c r="H433" s="4">
        <v>1.9</v>
      </c>
      <c r="I433" s="4">
        <v>0.1</v>
      </c>
    </row>
    <row r="434" spans="1:9" x14ac:dyDescent="0.35">
      <c r="A434" s="3" t="s">
        <v>3837</v>
      </c>
      <c r="B434" s="3" t="s">
        <v>1187</v>
      </c>
      <c r="C434" s="4">
        <v>22.8</v>
      </c>
      <c r="D434" s="4">
        <v>41.9</v>
      </c>
      <c r="E434" s="4">
        <v>19.7</v>
      </c>
      <c r="F434" s="4">
        <v>7</v>
      </c>
      <c r="G434" s="4">
        <v>7.6</v>
      </c>
      <c r="H434" s="4">
        <v>0.8</v>
      </c>
      <c r="I434" s="4">
        <v>0.3</v>
      </c>
    </row>
    <row r="435" spans="1:9" x14ac:dyDescent="0.35">
      <c r="A435" s="3" t="s">
        <v>3840</v>
      </c>
      <c r="B435" s="3" t="s">
        <v>1189</v>
      </c>
      <c r="C435" s="4">
        <v>34.5</v>
      </c>
      <c r="D435" s="4">
        <v>44.8</v>
      </c>
      <c r="E435" s="4">
        <v>12</v>
      </c>
      <c r="F435" s="4">
        <v>3.7</v>
      </c>
      <c r="G435" s="4">
        <v>4.2</v>
      </c>
      <c r="H435" s="4">
        <v>0.6</v>
      </c>
      <c r="I435" s="4">
        <v>0.2</v>
      </c>
    </row>
    <row r="436" spans="1:9" x14ac:dyDescent="0.35">
      <c r="A436" s="3" t="s">
        <v>3843</v>
      </c>
      <c r="B436" s="3" t="s">
        <v>1191</v>
      </c>
      <c r="C436" s="4">
        <v>11.6</v>
      </c>
      <c r="D436" s="4">
        <v>33.1</v>
      </c>
      <c r="E436" s="4">
        <v>24.9</v>
      </c>
      <c r="F436" s="4">
        <v>9.6999999999999993</v>
      </c>
      <c r="G436" s="4">
        <v>16.5</v>
      </c>
      <c r="H436" s="4">
        <v>3.4</v>
      </c>
      <c r="I436" s="4">
        <v>0.8</v>
      </c>
    </row>
    <row r="437" spans="1:9" x14ac:dyDescent="0.35">
      <c r="A437" s="3" t="s">
        <v>3845</v>
      </c>
      <c r="B437" s="3" t="s">
        <v>1193</v>
      </c>
      <c r="C437" s="4">
        <v>18.399999999999999</v>
      </c>
      <c r="D437" s="4">
        <v>39.299999999999997</v>
      </c>
      <c r="E437" s="4">
        <v>24.8</v>
      </c>
      <c r="F437" s="4">
        <v>8.3000000000000007</v>
      </c>
      <c r="G437" s="4">
        <v>7.5</v>
      </c>
      <c r="H437" s="4">
        <v>1.6</v>
      </c>
      <c r="I437" s="4">
        <v>0</v>
      </c>
    </row>
    <row r="438" spans="1:9" x14ac:dyDescent="0.35">
      <c r="A438" s="3" t="s">
        <v>4730</v>
      </c>
      <c r="B438" s="3" t="s">
        <v>1197</v>
      </c>
      <c r="C438" s="4">
        <v>12.5</v>
      </c>
      <c r="D438" s="4">
        <v>40.1</v>
      </c>
      <c r="E438" s="4">
        <v>24.1</v>
      </c>
      <c r="F438" s="4">
        <v>8.4</v>
      </c>
      <c r="G438" s="4">
        <v>12.1</v>
      </c>
      <c r="H438" s="4">
        <v>2.2999999999999998</v>
      </c>
      <c r="I438" s="4">
        <v>0.5</v>
      </c>
    </row>
    <row r="439" spans="1:9" x14ac:dyDescent="0.35">
      <c r="A439" s="3" t="s">
        <v>4731</v>
      </c>
      <c r="B439" s="3" t="s">
        <v>1199</v>
      </c>
      <c r="C439" s="4">
        <v>21.3</v>
      </c>
      <c r="D439" s="4">
        <v>32.4</v>
      </c>
      <c r="E439" s="4">
        <v>20.9</v>
      </c>
      <c r="F439" s="4">
        <v>8.6999999999999993</v>
      </c>
      <c r="G439" s="4">
        <v>14.9</v>
      </c>
      <c r="H439" s="4">
        <v>1.7</v>
      </c>
      <c r="I439" s="4">
        <v>0.2</v>
      </c>
    </row>
    <row r="440" spans="1:9" x14ac:dyDescent="0.35">
      <c r="A440" s="3" t="s">
        <v>5172</v>
      </c>
      <c r="B440" s="3" t="s">
        <v>1205</v>
      </c>
      <c r="C440" s="4">
        <v>23.5</v>
      </c>
      <c r="D440" s="4">
        <v>45.2</v>
      </c>
      <c r="E440" s="4">
        <v>18.100000000000001</v>
      </c>
      <c r="F440" s="4">
        <v>6.4</v>
      </c>
      <c r="G440" s="4">
        <v>5.4</v>
      </c>
      <c r="H440" s="4">
        <v>1</v>
      </c>
      <c r="I440" s="4">
        <v>0.3</v>
      </c>
    </row>
    <row r="441" spans="1:9" x14ac:dyDescent="0.35">
      <c r="A441" s="3" t="s">
        <v>3848</v>
      </c>
      <c r="B441" s="3" t="s">
        <v>1207</v>
      </c>
      <c r="C441" s="4">
        <v>34.299999999999997</v>
      </c>
      <c r="D441" s="4">
        <v>41.4</v>
      </c>
      <c r="E441" s="4">
        <v>13.7</v>
      </c>
      <c r="F441" s="4">
        <v>4.5999999999999996</v>
      </c>
      <c r="G441" s="4">
        <v>4.9000000000000004</v>
      </c>
      <c r="H441" s="4">
        <v>0.8</v>
      </c>
      <c r="I441" s="4">
        <v>0.3</v>
      </c>
    </row>
    <row r="442" spans="1:9" x14ac:dyDescent="0.35">
      <c r="A442" s="3" t="s">
        <v>5173</v>
      </c>
      <c r="B442" s="3" t="s">
        <v>1209</v>
      </c>
      <c r="C442" s="4">
        <v>23.5</v>
      </c>
      <c r="D442" s="4">
        <v>45.2</v>
      </c>
      <c r="E442" s="4">
        <v>18.100000000000001</v>
      </c>
      <c r="F442" s="4">
        <v>6.4</v>
      </c>
      <c r="G442" s="4">
        <v>5.4</v>
      </c>
      <c r="H442" s="4">
        <v>1</v>
      </c>
      <c r="I442" s="4">
        <v>0.3</v>
      </c>
    </row>
    <row r="443" spans="1:9" x14ac:dyDescent="0.35">
      <c r="A443" s="3" t="s">
        <v>4733</v>
      </c>
      <c r="B443" s="3" t="s">
        <v>1211</v>
      </c>
      <c r="C443" s="4">
        <v>5.4</v>
      </c>
      <c r="D443" s="4">
        <v>47.3</v>
      </c>
      <c r="E443" s="4">
        <v>26.2</v>
      </c>
      <c r="F443" s="4">
        <v>8.6999999999999993</v>
      </c>
      <c r="G443" s="4">
        <v>11.1</v>
      </c>
      <c r="H443" s="4">
        <v>1.1000000000000001</v>
      </c>
      <c r="I443" s="4">
        <v>0.2</v>
      </c>
    </row>
    <row r="444" spans="1:9" x14ac:dyDescent="0.35">
      <c r="A444" s="3" t="s">
        <v>3852</v>
      </c>
      <c r="B444" s="3" t="s">
        <v>1215</v>
      </c>
      <c r="C444" s="4">
        <v>35.200000000000003</v>
      </c>
      <c r="D444" s="4">
        <v>35.9</v>
      </c>
      <c r="E444" s="4">
        <v>15.5</v>
      </c>
      <c r="F444" s="4">
        <v>5</v>
      </c>
      <c r="G444" s="4">
        <v>6.9</v>
      </c>
      <c r="H444" s="4">
        <v>1.2</v>
      </c>
      <c r="I444" s="4">
        <v>0.3</v>
      </c>
    </row>
    <row r="445" spans="1:9" x14ac:dyDescent="0.35">
      <c r="A445" s="3" t="s">
        <v>5174</v>
      </c>
      <c r="B445" s="3" t="s">
        <v>1217</v>
      </c>
      <c r="C445" s="4">
        <v>22.4</v>
      </c>
      <c r="D445" s="4">
        <v>34.200000000000003</v>
      </c>
      <c r="E445" s="4">
        <v>19</v>
      </c>
      <c r="F445" s="4">
        <v>7</v>
      </c>
      <c r="G445" s="4">
        <v>15.2</v>
      </c>
      <c r="H445" s="4">
        <v>1.4</v>
      </c>
      <c r="I445" s="4">
        <v>0.7</v>
      </c>
    </row>
    <row r="446" spans="1:9" x14ac:dyDescent="0.35">
      <c r="A446" s="3" t="s">
        <v>3856</v>
      </c>
      <c r="B446" s="3" t="s">
        <v>1219</v>
      </c>
      <c r="C446" s="4">
        <v>28.9</v>
      </c>
      <c r="D446" s="4">
        <v>39</v>
      </c>
      <c r="E446" s="4">
        <v>14.7</v>
      </c>
      <c r="F446" s="4">
        <v>6.1</v>
      </c>
      <c r="G446" s="4">
        <v>8.6999999999999993</v>
      </c>
      <c r="H446" s="4">
        <v>1.9</v>
      </c>
      <c r="I446" s="4">
        <v>0.6</v>
      </c>
    </row>
    <row r="447" spans="1:9" x14ac:dyDescent="0.35">
      <c r="A447" s="3" t="s">
        <v>5175</v>
      </c>
      <c r="B447" s="3" t="s">
        <v>1221</v>
      </c>
      <c r="C447" s="4">
        <v>22.4</v>
      </c>
      <c r="D447" s="4">
        <v>34.200000000000003</v>
      </c>
      <c r="E447" s="4">
        <v>19</v>
      </c>
      <c r="F447" s="4">
        <v>7</v>
      </c>
      <c r="G447" s="4">
        <v>15.2</v>
      </c>
      <c r="H447" s="4">
        <v>1.4</v>
      </c>
      <c r="I447" s="4">
        <v>0.7</v>
      </c>
    </row>
    <row r="448" spans="1:9" x14ac:dyDescent="0.35">
      <c r="A448" s="3" t="s">
        <v>5176</v>
      </c>
      <c r="B448" s="3" t="s">
        <v>1227</v>
      </c>
      <c r="C448" s="4">
        <v>5.5</v>
      </c>
      <c r="D448" s="4">
        <v>31.4</v>
      </c>
      <c r="E448" s="4">
        <v>28.3</v>
      </c>
      <c r="F448" s="4">
        <v>11.2</v>
      </c>
      <c r="G448" s="4">
        <v>19.3</v>
      </c>
      <c r="H448" s="4">
        <v>3.5</v>
      </c>
      <c r="I448" s="4">
        <v>0.8</v>
      </c>
    </row>
    <row r="449" spans="1:9" x14ac:dyDescent="0.35">
      <c r="A449" s="3" t="s">
        <v>5177</v>
      </c>
      <c r="B449" s="3" t="s">
        <v>1229</v>
      </c>
      <c r="C449" s="4">
        <v>5.5</v>
      </c>
      <c r="D449" s="4">
        <v>31.4</v>
      </c>
      <c r="E449" s="4">
        <v>28.3</v>
      </c>
      <c r="F449" s="4">
        <v>11.2</v>
      </c>
      <c r="G449" s="4">
        <v>19.3</v>
      </c>
      <c r="H449" s="4">
        <v>3.5</v>
      </c>
      <c r="I449" s="4">
        <v>0.8</v>
      </c>
    </row>
    <row r="450" spans="1:9" x14ac:dyDescent="0.35">
      <c r="A450" s="3" t="s">
        <v>5178</v>
      </c>
      <c r="B450" s="3" t="s">
        <v>1231</v>
      </c>
      <c r="C450" s="4">
        <v>5.5</v>
      </c>
      <c r="D450" s="4">
        <v>31.4</v>
      </c>
      <c r="E450" s="4">
        <v>28.3</v>
      </c>
      <c r="F450" s="4">
        <v>11.2</v>
      </c>
      <c r="G450" s="4">
        <v>19.3</v>
      </c>
      <c r="H450" s="4">
        <v>3.5</v>
      </c>
      <c r="I450" s="4">
        <v>0.8</v>
      </c>
    </row>
    <row r="451" spans="1:9" x14ac:dyDescent="0.35">
      <c r="A451" s="3" t="s">
        <v>4739</v>
      </c>
      <c r="B451" s="3" t="s">
        <v>1235</v>
      </c>
      <c r="C451" s="4">
        <v>7</v>
      </c>
      <c r="D451" s="4">
        <v>24.4</v>
      </c>
      <c r="E451" s="4">
        <v>25.5</v>
      </c>
      <c r="F451" s="4">
        <v>8</v>
      </c>
      <c r="G451" s="4">
        <v>29.1</v>
      </c>
      <c r="H451" s="4">
        <v>4.5</v>
      </c>
      <c r="I451" s="4">
        <v>1.6</v>
      </c>
    </row>
    <row r="452" spans="1:9" x14ac:dyDescent="0.35">
      <c r="A452" s="3" t="s">
        <v>3858</v>
      </c>
      <c r="B452" s="3" t="s">
        <v>1237</v>
      </c>
      <c r="C452" s="4">
        <v>7.8</v>
      </c>
      <c r="D452" s="4">
        <v>31.1</v>
      </c>
      <c r="E452" s="4">
        <v>26.6</v>
      </c>
      <c r="F452" s="4">
        <v>10.8</v>
      </c>
      <c r="G452" s="4">
        <v>20.399999999999999</v>
      </c>
      <c r="H452" s="4">
        <v>2.7</v>
      </c>
      <c r="I452" s="4">
        <v>0.5</v>
      </c>
    </row>
    <row r="453" spans="1:9" x14ac:dyDescent="0.35">
      <c r="A453" s="3" t="s">
        <v>5179</v>
      </c>
      <c r="B453" s="3" t="s">
        <v>1243</v>
      </c>
      <c r="C453" s="4">
        <v>9</v>
      </c>
      <c r="D453" s="4">
        <v>34.5</v>
      </c>
      <c r="E453" s="4">
        <v>27.5</v>
      </c>
      <c r="F453" s="4">
        <v>10.1</v>
      </c>
      <c r="G453" s="4">
        <v>16.2</v>
      </c>
      <c r="H453" s="4">
        <v>2.2000000000000002</v>
      </c>
      <c r="I453" s="4">
        <v>0.7</v>
      </c>
    </row>
    <row r="454" spans="1:9" x14ac:dyDescent="0.35">
      <c r="A454" s="3" t="s">
        <v>5180</v>
      </c>
      <c r="B454" s="3" t="s">
        <v>1245</v>
      </c>
      <c r="C454" s="4">
        <v>9</v>
      </c>
      <c r="D454" s="4">
        <v>34.5</v>
      </c>
      <c r="E454" s="4">
        <v>27.5</v>
      </c>
      <c r="F454" s="4">
        <v>10.1</v>
      </c>
      <c r="G454" s="4">
        <v>16.2</v>
      </c>
      <c r="H454" s="4">
        <v>2.2000000000000002</v>
      </c>
      <c r="I454" s="4">
        <v>0.7</v>
      </c>
    </row>
    <row r="455" spans="1:9" x14ac:dyDescent="0.35">
      <c r="A455" s="3" t="s">
        <v>5181</v>
      </c>
      <c r="B455" s="3" t="s">
        <v>1247</v>
      </c>
      <c r="C455" s="4">
        <v>9</v>
      </c>
      <c r="D455" s="4">
        <v>34.5</v>
      </c>
      <c r="E455" s="4">
        <v>27.5</v>
      </c>
      <c r="F455" s="4">
        <v>10.1</v>
      </c>
      <c r="G455" s="4">
        <v>16.2</v>
      </c>
      <c r="H455" s="4">
        <v>2.2000000000000002</v>
      </c>
      <c r="I455" s="4">
        <v>0.7</v>
      </c>
    </row>
    <row r="456" spans="1:9" x14ac:dyDescent="0.35">
      <c r="A456" s="3" t="s">
        <v>5182</v>
      </c>
      <c r="B456" s="3" t="s">
        <v>1249</v>
      </c>
      <c r="C456" s="4">
        <v>6</v>
      </c>
      <c r="D456" s="4">
        <v>26.9</v>
      </c>
      <c r="E456" s="4">
        <v>27.6</v>
      </c>
      <c r="F456" s="4">
        <v>9.4</v>
      </c>
      <c r="G456" s="4">
        <v>23.8</v>
      </c>
      <c r="H456" s="4">
        <v>5.2</v>
      </c>
      <c r="I456" s="4">
        <v>1.1000000000000001</v>
      </c>
    </row>
    <row r="457" spans="1:9" x14ac:dyDescent="0.35">
      <c r="A457" s="3" t="s">
        <v>3865</v>
      </c>
      <c r="B457" s="3" t="s">
        <v>1251</v>
      </c>
      <c r="C457" s="4">
        <v>8.1</v>
      </c>
      <c r="D457" s="4">
        <v>29.6</v>
      </c>
      <c r="E457" s="4">
        <v>24.2</v>
      </c>
      <c r="F457" s="4">
        <v>10.8</v>
      </c>
      <c r="G457" s="4">
        <v>18.2</v>
      </c>
      <c r="H457" s="4">
        <v>8.1</v>
      </c>
      <c r="I457" s="4">
        <v>1</v>
      </c>
    </row>
    <row r="458" spans="1:9" x14ac:dyDescent="0.35">
      <c r="A458" s="3" t="s">
        <v>5183</v>
      </c>
      <c r="B458" s="3" t="s">
        <v>1255</v>
      </c>
      <c r="C458" s="4">
        <v>6</v>
      </c>
      <c r="D458" s="4">
        <v>26.9</v>
      </c>
      <c r="E458" s="4">
        <v>27.6</v>
      </c>
      <c r="F458" s="4">
        <v>9.4</v>
      </c>
      <c r="G458" s="4">
        <v>23.8</v>
      </c>
      <c r="H458" s="4">
        <v>5.2</v>
      </c>
      <c r="I458" s="4">
        <v>1.1000000000000001</v>
      </c>
    </row>
    <row r="459" spans="1:9" x14ac:dyDescent="0.35">
      <c r="A459" s="3" t="s">
        <v>5184</v>
      </c>
      <c r="B459" s="3" t="s">
        <v>1257</v>
      </c>
      <c r="C459" s="4">
        <v>6</v>
      </c>
      <c r="D459" s="4">
        <v>26.9</v>
      </c>
      <c r="E459" s="4">
        <v>27.6</v>
      </c>
      <c r="F459" s="4">
        <v>9.4</v>
      </c>
      <c r="G459" s="4">
        <v>23.8</v>
      </c>
      <c r="H459" s="4">
        <v>5.2</v>
      </c>
      <c r="I459" s="4">
        <v>1.1000000000000001</v>
      </c>
    </row>
    <row r="460" spans="1:9" x14ac:dyDescent="0.35">
      <c r="A460" s="3" t="s">
        <v>5185</v>
      </c>
      <c r="B460" s="3" t="s">
        <v>1259</v>
      </c>
      <c r="C460" s="4">
        <v>6</v>
      </c>
      <c r="D460" s="4">
        <v>26.9</v>
      </c>
      <c r="E460" s="4">
        <v>27.6</v>
      </c>
      <c r="F460" s="4">
        <v>9.4</v>
      </c>
      <c r="G460" s="4">
        <v>23.8</v>
      </c>
      <c r="H460" s="4">
        <v>5.2</v>
      </c>
      <c r="I460" s="4">
        <v>1.1000000000000001</v>
      </c>
    </row>
    <row r="461" spans="1:9" x14ac:dyDescent="0.35">
      <c r="A461" s="3" t="s">
        <v>5186</v>
      </c>
      <c r="B461" s="3" t="s">
        <v>1261</v>
      </c>
      <c r="C461" s="4">
        <v>6</v>
      </c>
      <c r="D461" s="4">
        <v>26.9</v>
      </c>
      <c r="E461" s="4">
        <v>27.6</v>
      </c>
      <c r="F461" s="4">
        <v>9.4</v>
      </c>
      <c r="G461" s="4">
        <v>23.8</v>
      </c>
      <c r="H461" s="4">
        <v>5.2</v>
      </c>
      <c r="I461" s="4">
        <v>1.1000000000000001</v>
      </c>
    </row>
    <row r="462" spans="1:9" x14ac:dyDescent="0.35">
      <c r="A462" s="3" t="s">
        <v>5187</v>
      </c>
      <c r="B462" s="3" t="s">
        <v>1267</v>
      </c>
      <c r="C462" s="4">
        <v>5.6</v>
      </c>
      <c r="D462" s="4">
        <v>22.9</v>
      </c>
      <c r="E462" s="4">
        <v>30.8</v>
      </c>
      <c r="F462" s="4">
        <v>17</v>
      </c>
      <c r="G462" s="4">
        <v>17.2</v>
      </c>
      <c r="H462" s="4">
        <v>4.7</v>
      </c>
      <c r="I462" s="4">
        <v>1.9</v>
      </c>
    </row>
    <row r="463" spans="1:9" x14ac:dyDescent="0.35">
      <c r="A463" s="3" t="s">
        <v>5188</v>
      </c>
      <c r="B463" s="3" t="s">
        <v>1269</v>
      </c>
      <c r="C463" s="4">
        <v>5.6</v>
      </c>
      <c r="D463" s="4">
        <v>22.9</v>
      </c>
      <c r="E463" s="4">
        <v>30.8</v>
      </c>
      <c r="F463" s="4">
        <v>17</v>
      </c>
      <c r="G463" s="4">
        <v>17.2</v>
      </c>
      <c r="H463" s="4">
        <v>4.7</v>
      </c>
      <c r="I463" s="4">
        <v>1.9</v>
      </c>
    </row>
    <row r="464" spans="1:9" x14ac:dyDescent="0.35">
      <c r="A464" s="3" t="s">
        <v>5189</v>
      </c>
      <c r="B464" s="3" t="s">
        <v>1271</v>
      </c>
      <c r="C464" s="4">
        <v>5.6</v>
      </c>
      <c r="D464" s="4">
        <v>22.9</v>
      </c>
      <c r="E464" s="4">
        <v>30.8</v>
      </c>
      <c r="F464" s="4">
        <v>17</v>
      </c>
      <c r="G464" s="4">
        <v>17.2</v>
      </c>
      <c r="H464" s="4">
        <v>4.7</v>
      </c>
      <c r="I464" s="4">
        <v>1.9</v>
      </c>
    </row>
    <row r="465" spans="1:9" x14ac:dyDescent="0.35">
      <c r="A465" s="3" t="s">
        <v>4747</v>
      </c>
      <c r="B465" s="3" t="s">
        <v>1273</v>
      </c>
      <c r="C465" s="4">
        <v>2.2999999999999998</v>
      </c>
      <c r="D465" s="4">
        <v>7.8</v>
      </c>
      <c r="E465" s="4">
        <v>18.100000000000001</v>
      </c>
      <c r="F465" s="4">
        <v>40.200000000000003</v>
      </c>
      <c r="G465" s="4">
        <v>24.4</v>
      </c>
      <c r="H465" s="4">
        <v>4.2</v>
      </c>
      <c r="I465" s="4">
        <v>3.1</v>
      </c>
    </row>
    <row r="466" spans="1:9" x14ac:dyDescent="0.35">
      <c r="A466" s="3" t="s">
        <v>4748</v>
      </c>
      <c r="B466" s="3" t="s">
        <v>1279</v>
      </c>
      <c r="C466" s="4">
        <v>10.199999999999999</v>
      </c>
      <c r="D466" s="4">
        <v>48.1</v>
      </c>
      <c r="E466" s="4">
        <v>26.1</v>
      </c>
      <c r="F466" s="4">
        <v>8.8000000000000007</v>
      </c>
      <c r="G466" s="4">
        <v>5.7</v>
      </c>
      <c r="H466" s="4">
        <v>0.9</v>
      </c>
      <c r="I466" s="4">
        <v>0.2</v>
      </c>
    </row>
    <row r="467" spans="1:9" x14ac:dyDescent="0.35">
      <c r="A467" s="3" t="s">
        <v>4749</v>
      </c>
      <c r="B467" s="3" t="s">
        <v>1281</v>
      </c>
      <c r="C467" s="4">
        <v>5.5</v>
      </c>
      <c r="D467" s="4">
        <v>43.5</v>
      </c>
      <c r="E467" s="4">
        <v>32.4</v>
      </c>
      <c r="F467" s="4">
        <v>11.5</v>
      </c>
      <c r="G467" s="4">
        <v>5.7</v>
      </c>
      <c r="H467" s="4">
        <v>1.1000000000000001</v>
      </c>
      <c r="I467" s="4">
        <v>0.3</v>
      </c>
    </row>
    <row r="468" spans="1:9" x14ac:dyDescent="0.35">
      <c r="A468" s="3" t="s">
        <v>5190</v>
      </c>
      <c r="B468" s="3" t="s">
        <v>1285</v>
      </c>
      <c r="C468" s="4">
        <v>3.8</v>
      </c>
      <c r="D468" s="4">
        <v>27.4</v>
      </c>
      <c r="E468" s="4">
        <v>37.4</v>
      </c>
      <c r="F468" s="4">
        <v>8.9</v>
      </c>
      <c r="G468" s="4">
        <v>17.7</v>
      </c>
      <c r="H468" s="4">
        <v>4.4000000000000004</v>
      </c>
      <c r="I468" s="4">
        <v>0.3</v>
      </c>
    </row>
    <row r="469" spans="1:9" x14ac:dyDescent="0.35">
      <c r="A469" s="3" t="s">
        <v>4751</v>
      </c>
      <c r="B469" s="3" t="s">
        <v>1287</v>
      </c>
      <c r="C469" s="4">
        <v>27.7</v>
      </c>
      <c r="D469" s="4">
        <v>39.9</v>
      </c>
      <c r="E469" s="4">
        <v>17.600000000000001</v>
      </c>
      <c r="F469" s="4">
        <v>6.8</v>
      </c>
      <c r="G469" s="4">
        <v>6.5</v>
      </c>
      <c r="H469" s="4">
        <v>1</v>
      </c>
      <c r="I469" s="4">
        <v>0.5</v>
      </c>
    </row>
    <row r="470" spans="1:9" x14ac:dyDescent="0.35">
      <c r="A470" s="3" t="s">
        <v>5191</v>
      </c>
      <c r="B470" s="3" t="s">
        <v>1289</v>
      </c>
      <c r="C470" s="4">
        <v>3.8</v>
      </c>
      <c r="D470" s="4">
        <v>27.4</v>
      </c>
      <c r="E470" s="4">
        <v>37.4</v>
      </c>
      <c r="F470" s="4">
        <v>8.9</v>
      </c>
      <c r="G470" s="4">
        <v>17.7</v>
      </c>
      <c r="H470" s="4">
        <v>4.4000000000000004</v>
      </c>
      <c r="I470" s="4">
        <v>0.3</v>
      </c>
    </row>
    <row r="471" spans="1:9" x14ac:dyDescent="0.35">
      <c r="A471" s="3" t="s">
        <v>4753</v>
      </c>
      <c r="B471" s="3" t="s">
        <v>1291</v>
      </c>
      <c r="C471" s="4">
        <v>2.8</v>
      </c>
      <c r="D471" s="4">
        <v>24.2</v>
      </c>
      <c r="E471" s="4">
        <v>35.1</v>
      </c>
      <c r="F471" s="4">
        <v>15.6</v>
      </c>
      <c r="G471" s="4">
        <v>18.8</v>
      </c>
      <c r="H471" s="4">
        <v>2.9</v>
      </c>
      <c r="I471" s="4">
        <v>0.6</v>
      </c>
    </row>
    <row r="472" spans="1:9" x14ac:dyDescent="0.35">
      <c r="A472" s="3" t="s">
        <v>5192</v>
      </c>
      <c r="B472" s="3" t="s">
        <v>1295</v>
      </c>
      <c r="C472" s="4">
        <v>8.6999999999999993</v>
      </c>
      <c r="D472" s="4">
        <v>32.799999999999997</v>
      </c>
      <c r="E472" s="4">
        <v>28.4</v>
      </c>
      <c r="F472" s="4">
        <v>9.6</v>
      </c>
      <c r="G472" s="4">
        <v>17.100000000000001</v>
      </c>
      <c r="H472" s="4">
        <v>3</v>
      </c>
      <c r="I472" s="4">
        <v>0.5</v>
      </c>
    </row>
    <row r="473" spans="1:9" x14ac:dyDescent="0.35">
      <c r="A473" s="3" t="s">
        <v>5193</v>
      </c>
      <c r="B473" s="3" t="s">
        <v>1297</v>
      </c>
      <c r="C473" s="4">
        <v>8.6999999999999993</v>
      </c>
      <c r="D473" s="4">
        <v>32.799999999999997</v>
      </c>
      <c r="E473" s="4">
        <v>28.4</v>
      </c>
      <c r="F473" s="4">
        <v>9.6</v>
      </c>
      <c r="G473" s="4">
        <v>17.100000000000001</v>
      </c>
      <c r="H473" s="4">
        <v>3</v>
      </c>
      <c r="I473" s="4">
        <v>0.5</v>
      </c>
    </row>
    <row r="474" spans="1:9" x14ac:dyDescent="0.35">
      <c r="A474" s="3" t="s">
        <v>4756</v>
      </c>
      <c r="B474" s="3" t="s">
        <v>1301</v>
      </c>
      <c r="C474" s="4">
        <v>3.3</v>
      </c>
      <c r="D474" s="4">
        <v>21.4</v>
      </c>
      <c r="E474" s="4">
        <v>21.5</v>
      </c>
      <c r="F474" s="4">
        <v>5.2</v>
      </c>
      <c r="G474" s="4">
        <v>36.9</v>
      </c>
      <c r="H474" s="4">
        <v>10.199999999999999</v>
      </c>
      <c r="I474" s="4">
        <v>1.5</v>
      </c>
    </row>
    <row r="475" spans="1:9" x14ac:dyDescent="0.35">
      <c r="A475" s="3" t="s">
        <v>4757</v>
      </c>
      <c r="B475" s="3" t="s">
        <v>1305</v>
      </c>
      <c r="C475" s="4">
        <v>11.8</v>
      </c>
      <c r="D475" s="4">
        <v>31.3</v>
      </c>
      <c r="E475" s="4">
        <v>24.1</v>
      </c>
      <c r="F475" s="4">
        <v>11.1</v>
      </c>
      <c r="G475" s="4">
        <v>17.3</v>
      </c>
      <c r="H475" s="4">
        <v>3.7</v>
      </c>
      <c r="I475" s="4">
        <v>0.7</v>
      </c>
    </row>
    <row r="476" spans="1:9" x14ac:dyDescent="0.35">
      <c r="A476" s="3" t="s">
        <v>3872</v>
      </c>
      <c r="B476" s="3" t="s">
        <v>1309</v>
      </c>
      <c r="C476" s="4">
        <v>1.7</v>
      </c>
      <c r="D476" s="4">
        <v>10.7</v>
      </c>
      <c r="E476" s="4">
        <v>18.899999999999999</v>
      </c>
      <c r="F476" s="4">
        <v>9.1999999999999993</v>
      </c>
      <c r="G476" s="4">
        <v>44.3</v>
      </c>
      <c r="H476" s="4">
        <v>13.6</v>
      </c>
      <c r="I476" s="4">
        <v>1.8</v>
      </c>
    </row>
    <row r="477" spans="1:9" x14ac:dyDescent="0.35">
      <c r="A477" s="3" t="s">
        <v>4758</v>
      </c>
      <c r="B477" s="3" t="s">
        <v>1311</v>
      </c>
      <c r="C477" s="4">
        <v>4.2</v>
      </c>
      <c r="D477" s="4">
        <v>22.6</v>
      </c>
      <c r="E477" s="4">
        <v>25</v>
      </c>
      <c r="F477" s="4">
        <v>11.2</v>
      </c>
      <c r="G477" s="4">
        <v>28.6</v>
      </c>
      <c r="H477" s="4">
        <v>7.3</v>
      </c>
      <c r="I477" s="4">
        <v>1</v>
      </c>
    </row>
    <row r="478" spans="1:9" x14ac:dyDescent="0.35">
      <c r="A478" s="3" t="s">
        <v>4759</v>
      </c>
      <c r="B478" s="3" t="s">
        <v>1313</v>
      </c>
      <c r="C478" s="4">
        <v>4.0999999999999996</v>
      </c>
      <c r="D478" s="4">
        <v>21.5</v>
      </c>
      <c r="E478" s="4">
        <v>24.1</v>
      </c>
      <c r="F478" s="4">
        <v>10.1</v>
      </c>
      <c r="G478" s="4">
        <v>29.7</v>
      </c>
      <c r="H478" s="4">
        <v>9.4</v>
      </c>
      <c r="I478" s="4">
        <v>1.1000000000000001</v>
      </c>
    </row>
    <row r="479" spans="1:9" x14ac:dyDescent="0.35">
      <c r="A479" s="3" t="s">
        <v>4760</v>
      </c>
      <c r="B479" s="3" t="s">
        <v>1315</v>
      </c>
      <c r="C479" s="4">
        <v>9.6</v>
      </c>
      <c r="D479" s="4">
        <v>25.6</v>
      </c>
      <c r="E479" s="4">
        <v>26.9</v>
      </c>
      <c r="F479" s="4">
        <v>8.8000000000000007</v>
      </c>
      <c r="G479" s="4">
        <v>22.2</v>
      </c>
      <c r="H479" s="4">
        <v>5.3</v>
      </c>
      <c r="I479" s="4">
        <v>1.7</v>
      </c>
    </row>
    <row r="480" spans="1:9" x14ac:dyDescent="0.35">
      <c r="A480" s="3" t="s">
        <v>4761</v>
      </c>
      <c r="B480" s="3" t="s">
        <v>1319</v>
      </c>
      <c r="C480" s="4">
        <v>5.7</v>
      </c>
      <c r="D480" s="4">
        <v>28.9</v>
      </c>
      <c r="E480" s="4">
        <v>27.9</v>
      </c>
      <c r="F480" s="4">
        <v>10.3</v>
      </c>
      <c r="G480" s="4">
        <v>22</v>
      </c>
      <c r="H480" s="4">
        <v>4.4000000000000004</v>
      </c>
      <c r="I480" s="4">
        <v>0.9</v>
      </c>
    </row>
    <row r="481" spans="1:9" x14ac:dyDescent="0.35">
      <c r="A481" s="3" t="s">
        <v>4762</v>
      </c>
      <c r="B481" s="3" t="s">
        <v>1321</v>
      </c>
      <c r="C481" s="4">
        <v>5.2</v>
      </c>
      <c r="D481" s="4">
        <v>21.7</v>
      </c>
      <c r="E481" s="4">
        <v>22.3</v>
      </c>
      <c r="F481" s="4">
        <v>9.6999999999999993</v>
      </c>
      <c r="G481" s="4">
        <v>31</v>
      </c>
      <c r="H481" s="4">
        <v>8.6999999999999993</v>
      </c>
      <c r="I481" s="4">
        <v>1.4</v>
      </c>
    </row>
    <row r="482" spans="1:9" x14ac:dyDescent="0.35">
      <c r="A482" s="3" t="s">
        <v>5194</v>
      </c>
      <c r="B482" s="3" t="s">
        <v>1327</v>
      </c>
      <c r="C482" s="4">
        <v>14</v>
      </c>
      <c r="D482" s="4">
        <v>41.8</v>
      </c>
      <c r="E482" s="4">
        <v>24.1</v>
      </c>
      <c r="F482" s="4">
        <v>7.7</v>
      </c>
      <c r="G482" s="4">
        <v>10</v>
      </c>
      <c r="H482" s="4">
        <v>1.9</v>
      </c>
      <c r="I482" s="4">
        <v>0.4</v>
      </c>
    </row>
    <row r="483" spans="1:9" x14ac:dyDescent="0.35">
      <c r="A483" s="3" t="s">
        <v>5195</v>
      </c>
      <c r="B483" s="3" t="s">
        <v>1329</v>
      </c>
      <c r="C483" s="4">
        <v>14</v>
      </c>
      <c r="D483" s="4">
        <v>41.8</v>
      </c>
      <c r="E483" s="4">
        <v>24.1</v>
      </c>
      <c r="F483" s="4">
        <v>7.7</v>
      </c>
      <c r="G483" s="4">
        <v>10</v>
      </c>
      <c r="H483" s="4">
        <v>1.9</v>
      </c>
      <c r="I483" s="4">
        <v>0.4</v>
      </c>
    </row>
    <row r="484" spans="1:9" x14ac:dyDescent="0.35">
      <c r="A484" s="3" t="s">
        <v>3900</v>
      </c>
      <c r="B484" s="3" t="s">
        <v>1333</v>
      </c>
      <c r="C484" s="4">
        <v>8.1</v>
      </c>
      <c r="D484" s="4">
        <v>33.1</v>
      </c>
      <c r="E484" s="4">
        <v>27</v>
      </c>
      <c r="F484" s="4">
        <v>9.8000000000000007</v>
      </c>
      <c r="G484" s="4">
        <v>18.2</v>
      </c>
      <c r="H484" s="4">
        <v>3.3</v>
      </c>
      <c r="I484" s="4">
        <v>0.4</v>
      </c>
    </row>
    <row r="485" spans="1:9" x14ac:dyDescent="0.35">
      <c r="A485" s="3" t="s">
        <v>4763</v>
      </c>
      <c r="B485" s="3" t="s">
        <v>1335</v>
      </c>
      <c r="C485" s="4">
        <v>9.1999999999999993</v>
      </c>
      <c r="D485" s="4">
        <v>46.2</v>
      </c>
      <c r="E485" s="4">
        <v>27.5</v>
      </c>
      <c r="F485" s="4">
        <v>9.1999999999999993</v>
      </c>
      <c r="G485" s="4">
        <v>6.9</v>
      </c>
      <c r="H485" s="4">
        <v>0.9</v>
      </c>
      <c r="I485" s="4">
        <v>0.2</v>
      </c>
    </row>
    <row r="486" spans="1:9" x14ac:dyDescent="0.35">
      <c r="A486" s="3" t="s">
        <v>3902</v>
      </c>
      <c r="B486" s="3" t="s">
        <v>1337</v>
      </c>
      <c r="C486" s="4">
        <v>6.4</v>
      </c>
      <c r="D486" s="4">
        <v>29.6</v>
      </c>
      <c r="E486" s="4">
        <v>27.3</v>
      </c>
      <c r="F486" s="4">
        <v>10.199999999999999</v>
      </c>
      <c r="G486" s="4">
        <v>21.8</v>
      </c>
      <c r="H486" s="4">
        <v>3.9</v>
      </c>
      <c r="I486" s="4">
        <v>0.8</v>
      </c>
    </row>
    <row r="487" spans="1:9" x14ac:dyDescent="0.35">
      <c r="A487" s="3" t="s">
        <v>3904</v>
      </c>
      <c r="B487" s="3" t="s">
        <v>1341</v>
      </c>
      <c r="C487" s="4">
        <v>2.2000000000000002</v>
      </c>
      <c r="D487" s="4">
        <v>10</v>
      </c>
      <c r="E487" s="4">
        <v>18.100000000000001</v>
      </c>
      <c r="F487" s="4">
        <v>7.3</v>
      </c>
      <c r="G487" s="4">
        <v>53.1</v>
      </c>
      <c r="H487" s="4">
        <v>8.4</v>
      </c>
      <c r="I487" s="4">
        <v>0.9</v>
      </c>
    </row>
    <row r="488" spans="1:9" x14ac:dyDescent="0.35">
      <c r="A488" s="3" t="s">
        <v>4764</v>
      </c>
      <c r="B488" s="3" t="s">
        <v>1343</v>
      </c>
      <c r="C488" s="4">
        <v>1.4</v>
      </c>
      <c r="D488" s="4">
        <v>15.7</v>
      </c>
      <c r="E488" s="4">
        <v>24.8</v>
      </c>
      <c r="F488" s="4">
        <v>10.7</v>
      </c>
      <c r="G488" s="4">
        <v>38.799999999999997</v>
      </c>
      <c r="H488" s="4">
        <v>7</v>
      </c>
      <c r="I488" s="4">
        <v>1.6</v>
      </c>
    </row>
    <row r="489" spans="1:9" x14ac:dyDescent="0.35">
      <c r="A489" s="3" t="s">
        <v>4765</v>
      </c>
      <c r="B489" s="3" t="s">
        <v>1345</v>
      </c>
      <c r="C489" s="4">
        <v>1.1000000000000001</v>
      </c>
      <c r="D489" s="4">
        <v>6.9</v>
      </c>
      <c r="E489" s="4">
        <v>13.8</v>
      </c>
      <c r="F489" s="4">
        <v>5.7</v>
      </c>
      <c r="G489" s="4">
        <v>50.9</v>
      </c>
      <c r="H489" s="4">
        <v>18.100000000000001</v>
      </c>
      <c r="I489" s="4">
        <v>3.5</v>
      </c>
    </row>
    <row r="490" spans="1:9" x14ac:dyDescent="0.35">
      <c r="A490" s="3" t="s">
        <v>4766</v>
      </c>
      <c r="B490" s="3" t="s">
        <v>1347</v>
      </c>
      <c r="C490" s="4">
        <v>3</v>
      </c>
      <c r="D490" s="4">
        <v>18.899999999999999</v>
      </c>
      <c r="E490" s="4">
        <v>25.5</v>
      </c>
      <c r="F490" s="4">
        <v>12.1</v>
      </c>
      <c r="G490" s="4">
        <v>31.5</v>
      </c>
      <c r="H490" s="4">
        <v>7.7</v>
      </c>
      <c r="I490" s="4">
        <v>1.3</v>
      </c>
    </row>
    <row r="491" spans="1:9" x14ac:dyDescent="0.35">
      <c r="A491" s="3" t="s">
        <v>3906</v>
      </c>
      <c r="B491" s="3" t="s">
        <v>1349</v>
      </c>
      <c r="C491" s="4">
        <v>1.9</v>
      </c>
      <c r="D491" s="4">
        <v>14.5</v>
      </c>
      <c r="E491" s="4">
        <v>21</v>
      </c>
      <c r="F491" s="4">
        <v>7.8</v>
      </c>
      <c r="G491" s="4">
        <v>44.3</v>
      </c>
      <c r="H491" s="4">
        <v>9.4</v>
      </c>
      <c r="I491" s="4">
        <v>1</v>
      </c>
    </row>
    <row r="492" spans="1:9" x14ac:dyDescent="0.35">
      <c r="A492" s="3" t="s">
        <v>5196</v>
      </c>
      <c r="B492" s="3" t="s">
        <v>1353</v>
      </c>
      <c r="C492" s="4">
        <v>3</v>
      </c>
      <c r="D492" s="4">
        <v>17</v>
      </c>
      <c r="E492" s="4">
        <v>21.9</v>
      </c>
      <c r="F492" s="4">
        <v>9.1</v>
      </c>
      <c r="G492" s="4">
        <v>40.799999999999997</v>
      </c>
      <c r="H492" s="4">
        <v>7.2</v>
      </c>
      <c r="I492" s="4">
        <v>0.9</v>
      </c>
    </row>
    <row r="493" spans="1:9" x14ac:dyDescent="0.35">
      <c r="A493" s="3" t="s">
        <v>5197</v>
      </c>
      <c r="B493" s="3" t="s">
        <v>1355</v>
      </c>
      <c r="C493" s="4">
        <v>3</v>
      </c>
      <c r="D493" s="4">
        <v>17</v>
      </c>
      <c r="E493" s="4">
        <v>21.9</v>
      </c>
      <c r="F493" s="4">
        <v>9.1</v>
      </c>
      <c r="G493" s="4">
        <v>40.799999999999997</v>
      </c>
      <c r="H493" s="4">
        <v>7.2</v>
      </c>
      <c r="I493" s="4">
        <v>0.9</v>
      </c>
    </row>
    <row r="494" spans="1:9" x14ac:dyDescent="0.35">
      <c r="A494" s="3" t="s">
        <v>5198</v>
      </c>
      <c r="B494" s="3" t="s">
        <v>1361</v>
      </c>
      <c r="C494" s="4">
        <v>8.6999999999999993</v>
      </c>
      <c r="D494" s="4">
        <v>27</v>
      </c>
      <c r="E494" s="4">
        <v>26.2</v>
      </c>
      <c r="F494" s="4">
        <v>11.8</v>
      </c>
      <c r="G494" s="4">
        <v>19.399999999999999</v>
      </c>
      <c r="H494" s="4">
        <v>5.3</v>
      </c>
      <c r="I494" s="4">
        <v>1.4</v>
      </c>
    </row>
    <row r="495" spans="1:9" x14ac:dyDescent="0.35">
      <c r="A495" s="3" t="s">
        <v>5199</v>
      </c>
      <c r="B495" s="3" t="s">
        <v>1363</v>
      </c>
      <c r="C495" s="4">
        <v>8.6999999999999993</v>
      </c>
      <c r="D495" s="4">
        <v>27</v>
      </c>
      <c r="E495" s="4">
        <v>26.2</v>
      </c>
      <c r="F495" s="4">
        <v>11.8</v>
      </c>
      <c r="G495" s="4">
        <v>19.399999999999999</v>
      </c>
      <c r="H495" s="4">
        <v>5.3</v>
      </c>
      <c r="I495" s="4">
        <v>1.4</v>
      </c>
    </row>
    <row r="496" spans="1:9" x14ac:dyDescent="0.35">
      <c r="A496" s="3" t="s">
        <v>5200</v>
      </c>
      <c r="B496" s="3" t="s">
        <v>1367</v>
      </c>
      <c r="C496" s="4">
        <v>1.4</v>
      </c>
      <c r="D496" s="4">
        <v>12</v>
      </c>
      <c r="E496" s="4">
        <v>24.5</v>
      </c>
      <c r="F496" s="4">
        <v>9.6999999999999993</v>
      </c>
      <c r="G496" s="4">
        <v>39.6</v>
      </c>
      <c r="H496" s="4">
        <v>10.6</v>
      </c>
      <c r="I496" s="4">
        <v>2.2000000000000002</v>
      </c>
    </row>
    <row r="497" spans="1:9" x14ac:dyDescent="0.35">
      <c r="A497" s="3" t="s">
        <v>5201</v>
      </c>
      <c r="B497" s="3" t="s">
        <v>1369</v>
      </c>
      <c r="C497" s="4">
        <v>1.4</v>
      </c>
      <c r="D497" s="4">
        <v>12</v>
      </c>
      <c r="E497" s="4">
        <v>24.5</v>
      </c>
      <c r="F497" s="4">
        <v>9.6999999999999993</v>
      </c>
      <c r="G497" s="4">
        <v>39.6</v>
      </c>
      <c r="H497" s="4">
        <v>10.6</v>
      </c>
      <c r="I497" s="4">
        <v>2.2000000000000002</v>
      </c>
    </row>
    <row r="498" spans="1:9" x14ac:dyDescent="0.35">
      <c r="A498" s="3" t="s">
        <v>4772</v>
      </c>
      <c r="B498" s="3" t="s">
        <v>1371</v>
      </c>
      <c r="C498" s="4">
        <v>0.6</v>
      </c>
      <c r="D498" s="4">
        <v>4.2</v>
      </c>
      <c r="E498" s="4">
        <v>9.9</v>
      </c>
      <c r="F498" s="4">
        <v>7.2</v>
      </c>
      <c r="G498" s="4">
        <v>58.4</v>
      </c>
      <c r="H498" s="4">
        <v>18.3</v>
      </c>
      <c r="I498" s="4">
        <v>1.3</v>
      </c>
    </row>
    <row r="499" spans="1:9" x14ac:dyDescent="0.35">
      <c r="A499" s="3" t="s">
        <v>3911</v>
      </c>
      <c r="B499" s="3" t="s">
        <v>1373</v>
      </c>
      <c r="C499" s="4">
        <v>6.7</v>
      </c>
      <c r="D499" s="4">
        <v>37</v>
      </c>
      <c r="E499" s="4">
        <v>24.9</v>
      </c>
      <c r="F499" s="4">
        <v>11.7</v>
      </c>
      <c r="G499" s="4">
        <v>18</v>
      </c>
      <c r="H499" s="4">
        <v>1</v>
      </c>
      <c r="I499" s="4">
        <v>0.6</v>
      </c>
    </row>
    <row r="500" spans="1:9" x14ac:dyDescent="0.35">
      <c r="A500" s="3" t="s">
        <v>4773</v>
      </c>
      <c r="B500" s="3" t="s">
        <v>1377</v>
      </c>
      <c r="C500" s="4">
        <v>13.6</v>
      </c>
      <c r="D500" s="4">
        <v>29.5</v>
      </c>
      <c r="E500" s="4">
        <v>21.5</v>
      </c>
      <c r="F500" s="4">
        <v>9.6</v>
      </c>
      <c r="G500" s="4">
        <v>20.100000000000001</v>
      </c>
      <c r="H500" s="4">
        <v>4.7</v>
      </c>
      <c r="I500" s="4">
        <v>1</v>
      </c>
    </row>
    <row r="501" spans="1:9" x14ac:dyDescent="0.35">
      <c r="A501" s="3" t="s">
        <v>4774</v>
      </c>
      <c r="B501" s="3" t="s">
        <v>1379</v>
      </c>
      <c r="C501" s="4">
        <v>3.9</v>
      </c>
      <c r="D501" s="4">
        <v>20.7</v>
      </c>
      <c r="E501" s="4">
        <v>21.3</v>
      </c>
      <c r="F501" s="4">
        <v>8.4</v>
      </c>
      <c r="G501" s="4">
        <v>35.799999999999997</v>
      </c>
      <c r="H501" s="4">
        <v>8.6999999999999993</v>
      </c>
      <c r="I501" s="4">
        <v>1.1000000000000001</v>
      </c>
    </row>
    <row r="502" spans="1:9" x14ac:dyDescent="0.35">
      <c r="A502" s="3" t="s">
        <v>3914</v>
      </c>
      <c r="B502" s="3" t="s">
        <v>1383</v>
      </c>
      <c r="C502" s="4">
        <v>2.5</v>
      </c>
      <c r="D502" s="4">
        <v>21.2</v>
      </c>
      <c r="E502" s="4">
        <v>27.7</v>
      </c>
      <c r="F502" s="4">
        <v>12.8</v>
      </c>
      <c r="G502" s="4">
        <v>27.1</v>
      </c>
      <c r="H502" s="4">
        <v>7.5</v>
      </c>
      <c r="I502" s="4">
        <v>1.2</v>
      </c>
    </row>
    <row r="503" spans="1:9" x14ac:dyDescent="0.35">
      <c r="A503" s="3" t="s">
        <v>3917</v>
      </c>
      <c r="B503" s="3" t="s">
        <v>1387</v>
      </c>
      <c r="C503" s="4">
        <v>3</v>
      </c>
      <c r="D503" s="4">
        <v>30.3</v>
      </c>
      <c r="E503" s="4">
        <v>36.9</v>
      </c>
      <c r="F503" s="4">
        <v>12.5</v>
      </c>
      <c r="G503" s="4">
        <v>13.9</v>
      </c>
      <c r="H503" s="4">
        <v>3</v>
      </c>
      <c r="I503" s="4">
        <v>0.5</v>
      </c>
    </row>
    <row r="504" spans="1:9" x14ac:dyDescent="0.35">
      <c r="A504" s="3" t="s">
        <v>3919</v>
      </c>
      <c r="B504" s="3" t="s">
        <v>1389</v>
      </c>
      <c r="C504" s="4">
        <v>3.2</v>
      </c>
      <c r="D504" s="4">
        <v>38.6</v>
      </c>
      <c r="E504" s="4">
        <v>30.8</v>
      </c>
      <c r="F504" s="4">
        <v>8.6999999999999993</v>
      </c>
      <c r="G504" s="4">
        <v>15.9</v>
      </c>
      <c r="H504" s="4">
        <v>2.5</v>
      </c>
      <c r="I504" s="4">
        <v>0.3</v>
      </c>
    </row>
    <row r="505" spans="1:9" x14ac:dyDescent="0.35">
      <c r="A505" s="3" t="s">
        <v>4775</v>
      </c>
      <c r="B505" s="3" t="s">
        <v>1391</v>
      </c>
      <c r="C505" s="4">
        <v>0</v>
      </c>
      <c r="D505" s="4">
        <v>7.7</v>
      </c>
      <c r="E505" s="4">
        <v>33.700000000000003</v>
      </c>
      <c r="F505" s="4">
        <v>12.5</v>
      </c>
      <c r="G505" s="4">
        <v>42.1</v>
      </c>
      <c r="H505" s="4">
        <v>3.4</v>
      </c>
      <c r="I505" s="4">
        <v>0.7</v>
      </c>
    </row>
    <row r="506" spans="1:9" x14ac:dyDescent="0.35">
      <c r="A506" s="3" t="s">
        <v>3921</v>
      </c>
      <c r="B506" s="3" t="s">
        <v>1395</v>
      </c>
      <c r="C506" s="4">
        <v>3.1</v>
      </c>
      <c r="D506" s="4">
        <v>30</v>
      </c>
      <c r="E506" s="4">
        <v>34.5</v>
      </c>
      <c r="F506" s="4">
        <v>14.3</v>
      </c>
      <c r="G506" s="4">
        <v>15.2</v>
      </c>
      <c r="H506" s="4">
        <v>2.2999999999999998</v>
      </c>
      <c r="I506" s="4">
        <v>0.6</v>
      </c>
    </row>
    <row r="507" spans="1:9" x14ac:dyDescent="0.35">
      <c r="A507" s="3" t="s">
        <v>3923</v>
      </c>
      <c r="B507" s="3" t="s">
        <v>1397</v>
      </c>
      <c r="C507" s="4">
        <v>2.5</v>
      </c>
      <c r="D507" s="4">
        <v>27.2</v>
      </c>
      <c r="E507" s="4">
        <v>32.200000000000003</v>
      </c>
      <c r="F507" s="4">
        <v>16.3</v>
      </c>
      <c r="G507" s="4">
        <v>17.7</v>
      </c>
      <c r="H507" s="4">
        <v>3.4</v>
      </c>
      <c r="I507" s="4">
        <v>0.7</v>
      </c>
    </row>
    <row r="508" spans="1:9" x14ac:dyDescent="0.35">
      <c r="A508" s="3" t="s">
        <v>3926</v>
      </c>
      <c r="B508" s="3" t="s">
        <v>1399</v>
      </c>
      <c r="C508" s="4">
        <v>3.5</v>
      </c>
      <c r="D508" s="4">
        <v>26.6</v>
      </c>
      <c r="E508" s="4">
        <v>35.799999999999997</v>
      </c>
      <c r="F508" s="4">
        <v>13.2</v>
      </c>
      <c r="G508" s="4">
        <v>17.100000000000001</v>
      </c>
      <c r="H508" s="4">
        <v>3.3</v>
      </c>
      <c r="I508" s="4">
        <v>0.5</v>
      </c>
    </row>
    <row r="509" spans="1:9" x14ac:dyDescent="0.35">
      <c r="A509" s="3" t="s">
        <v>5202</v>
      </c>
      <c r="B509" s="3" t="s">
        <v>1401</v>
      </c>
      <c r="C509" s="4">
        <v>2</v>
      </c>
      <c r="D509" s="4">
        <v>16.3</v>
      </c>
      <c r="E509" s="4">
        <v>24.7</v>
      </c>
      <c r="F509" s="4">
        <v>10.6</v>
      </c>
      <c r="G509" s="4">
        <v>32.9</v>
      </c>
      <c r="H509" s="4">
        <v>12.8</v>
      </c>
      <c r="I509" s="4">
        <v>0.9</v>
      </c>
    </row>
    <row r="510" spans="1:9" x14ac:dyDescent="0.35">
      <c r="A510" s="3" t="s">
        <v>3934</v>
      </c>
      <c r="B510" s="3" t="s">
        <v>1403</v>
      </c>
      <c r="C510" s="4">
        <v>2.6</v>
      </c>
      <c r="D510" s="4">
        <v>23</v>
      </c>
      <c r="E510" s="4">
        <v>31.1</v>
      </c>
      <c r="F510" s="4">
        <v>16.899999999999999</v>
      </c>
      <c r="G510" s="4">
        <v>21.7</v>
      </c>
      <c r="H510" s="4">
        <v>4.2</v>
      </c>
      <c r="I510" s="4">
        <v>0.6</v>
      </c>
    </row>
    <row r="511" spans="1:9" x14ac:dyDescent="0.35">
      <c r="A511" s="3" t="s">
        <v>3936</v>
      </c>
      <c r="B511" s="3" t="s">
        <v>1405</v>
      </c>
      <c r="C511" s="4">
        <v>2.2999999999999998</v>
      </c>
      <c r="D511" s="4">
        <v>19</v>
      </c>
      <c r="E511" s="4">
        <v>26.3</v>
      </c>
      <c r="F511" s="4">
        <v>12.2</v>
      </c>
      <c r="G511" s="4">
        <v>30.6</v>
      </c>
      <c r="H511" s="4">
        <v>8.6</v>
      </c>
      <c r="I511" s="4">
        <v>1</v>
      </c>
    </row>
    <row r="512" spans="1:9" x14ac:dyDescent="0.35">
      <c r="A512" s="3" t="s">
        <v>3938</v>
      </c>
      <c r="B512" s="3" t="s">
        <v>1407</v>
      </c>
      <c r="C512" s="4">
        <v>1.5</v>
      </c>
      <c r="D512" s="4">
        <v>33.9</v>
      </c>
      <c r="E512" s="4">
        <v>30.7</v>
      </c>
      <c r="F512" s="4">
        <v>13.8</v>
      </c>
      <c r="G512" s="4">
        <v>17.5</v>
      </c>
      <c r="H512" s="4">
        <v>2.4</v>
      </c>
      <c r="I512" s="4">
        <v>0.2</v>
      </c>
    </row>
    <row r="513" spans="1:9" x14ac:dyDescent="0.35">
      <c r="A513" s="3" t="s">
        <v>5203</v>
      </c>
      <c r="B513" s="3" t="s">
        <v>1409</v>
      </c>
      <c r="C513" s="4">
        <v>2</v>
      </c>
      <c r="D513" s="4">
        <v>16.3</v>
      </c>
      <c r="E513" s="4">
        <v>24.7</v>
      </c>
      <c r="F513" s="4">
        <v>10.6</v>
      </c>
      <c r="G513" s="4">
        <v>32.9</v>
      </c>
      <c r="H513" s="4">
        <v>12.8</v>
      </c>
      <c r="I513" s="4">
        <v>0.9</v>
      </c>
    </row>
    <row r="514" spans="1:9" x14ac:dyDescent="0.35">
      <c r="A514" s="3" t="s">
        <v>5204</v>
      </c>
      <c r="B514" s="3" t="s">
        <v>1413</v>
      </c>
      <c r="C514" s="4">
        <v>2.1</v>
      </c>
      <c r="D514" s="4">
        <v>19.2</v>
      </c>
      <c r="E514" s="4">
        <v>28</v>
      </c>
      <c r="F514" s="4">
        <v>14.2</v>
      </c>
      <c r="G514" s="4">
        <v>26.4</v>
      </c>
      <c r="H514" s="4">
        <v>8.6999999999999993</v>
      </c>
      <c r="I514" s="4">
        <v>1.5</v>
      </c>
    </row>
    <row r="515" spans="1:9" x14ac:dyDescent="0.35">
      <c r="A515" s="3" t="s">
        <v>5205</v>
      </c>
      <c r="B515" s="3" t="s">
        <v>1415</v>
      </c>
      <c r="C515" s="4">
        <v>6.7</v>
      </c>
      <c r="D515" s="4">
        <v>31</v>
      </c>
      <c r="E515" s="4">
        <v>28.7</v>
      </c>
      <c r="F515" s="4">
        <v>10.4</v>
      </c>
      <c r="G515" s="4">
        <v>19.600000000000001</v>
      </c>
      <c r="H515" s="4">
        <v>3.1</v>
      </c>
      <c r="I515" s="4">
        <v>0.6</v>
      </c>
    </row>
    <row r="516" spans="1:9" x14ac:dyDescent="0.35">
      <c r="A516" s="3" t="s">
        <v>4776</v>
      </c>
      <c r="B516" s="3" t="s">
        <v>1417</v>
      </c>
      <c r="C516" s="4">
        <v>1.3</v>
      </c>
      <c r="D516" s="4">
        <v>24.1</v>
      </c>
      <c r="E516" s="4">
        <v>30.4</v>
      </c>
      <c r="F516" s="4">
        <v>15.2</v>
      </c>
      <c r="G516" s="4">
        <v>22.9</v>
      </c>
      <c r="H516" s="4">
        <v>4.4000000000000004</v>
      </c>
      <c r="I516" s="4">
        <v>1.6</v>
      </c>
    </row>
    <row r="517" spans="1:9" x14ac:dyDescent="0.35">
      <c r="A517" s="3" t="s">
        <v>3946</v>
      </c>
      <c r="B517" s="3" t="s">
        <v>1419</v>
      </c>
      <c r="C517" s="4">
        <v>0.9</v>
      </c>
      <c r="D517" s="4">
        <v>24.8</v>
      </c>
      <c r="E517" s="4">
        <v>33.1</v>
      </c>
      <c r="F517" s="4">
        <v>12.7</v>
      </c>
      <c r="G517" s="4">
        <v>22.5</v>
      </c>
      <c r="H517" s="4">
        <v>5.3</v>
      </c>
      <c r="I517" s="4">
        <v>0.7</v>
      </c>
    </row>
    <row r="518" spans="1:9" x14ac:dyDescent="0.35">
      <c r="A518" s="3" t="s">
        <v>3948</v>
      </c>
      <c r="B518" s="3" t="s">
        <v>1421</v>
      </c>
      <c r="C518" s="4">
        <v>4.0999999999999996</v>
      </c>
      <c r="D518" s="4">
        <v>26.6</v>
      </c>
      <c r="E518" s="4">
        <v>29.7</v>
      </c>
      <c r="F518" s="4">
        <v>12</v>
      </c>
      <c r="G518" s="4">
        <v>22.6</v>
      </c>
      <c r="H518" s="4">
        <v>4.4000000000000004</v>
      </c>
      <c r="I518" s="4">
        <v>0.6</v>
      </c>
    </row>
    <row r="519" spans="1:9" x14ac:dyDescent="0.35">
      <c r="A519" s="3" t="s">
        <v>4777</v>
      </c>
      <c r="B519" s="3" t="s">
        <v>1423</v>
      </c>
      <c r="C519" s="4">
        <v>1.2</v>
      </c>
      <c r="D519" s="4">
        <v>11.7</v>
      </c>
      <c r="E519" s="4">
        <v>23.6</v>
      </c>
      <c r="F519" s="4">
        <v>13.9</v>
      </c>
      <c r="G519" s="4">
        <v>38.200000000000003</v>
      </c>
      <c r="H519" s="4">
        <v>10.1</v>
      </c>
      <c r="I519" s="4">
        <v>1.3</v>
      </c>
    </row>
    <row r="520" spans="1:9" x14ac:dyDescent="0.35">
      <c r="A520" s="3" t="s">
        <v>3962</v>
      </c>
      <c r="B520" s="3" t="s">
        <v>1425</v>
      </c>
      <c r="C520" s="4">
        <v>4.3</v>
      </c>
      <c r="D520" s="4">
        <v>26</v>
      </c>
      <c r="E520" s="4">
        <v>29.3</v>
      </c>
      <c r="F520" s="4">
        <v>13.7</v>
      </c>
      <c r="G520" s="4">
        <v>20.100000000000001</v>
      </c>
      <c r="H520" s="4">
        <v>5.3</v>
      </c>
      <c r="I520" s="4">
        <v>1.3</v>
      </c>
    </row>
    <row r="521" spans="1:9" x14ac:dyDescent="0.35">
      <c r="A521" s="3" t="s">
        <v>4778</v>
      </c>
      <c r="B521" s="3" t="s">
        <v>1427</v>
      </c>
      <c r="C521" s="4">
        <v>6.8</v>
      </c>
      <c r="D521" s="4">
        <v>31.7</v>
      </c>
      <c r="E521" s="4">
        <v>29.4</v>
      </c>
      <c r="F521" s="4">
        <v>11.1</v>
      </c>
      <c r="G521" s="4">
        <v>16.5</v>
      </c>
      <c r="H521" s="4">
        <v>3.6</v>
      </c>
      <c r="I521" s="4">
        <v>0.8</v>
      </c>
    </row>
    <row r="522" spans="1:9" x14ac:dyDescent="0.35">
      <c r="A522" s="3" t="s">
        <v>3964</v>
      </c>
      <c r="B522" s="3" t="s">
        <v>1429</v>
      </c>
      <c r="C522" s="4">
        <v>2.1</v>
      </c>
      <c r="D522" s="4">
        <v>24.3</v>
      </c>
      <c r="E522" s="4">
        <v>30.7</v>
      </c>
      <c r="F522" s="4">
        <v>12.5</v>
      </c>
      <c r="G522" s="4">
        <v>22.2</v>
      </c>
      <c r="H522" s="4">
        <v>7.2</v>
      </c>
      <c r="I522" s="4">
        <v>0.9</v>
      </c>
    </row>
    <row r="523" spans="1:9" x14ac:dyDescent="0.35">
      <c r="A523" s="3" t="s">
        <v>3967</v>
      </c>
      <c r="B523" s="3" t="s">
        <v>1431</v>
      </c>
      <c r="C523" s="4">
        <v>2</v>
      </c>
      <c r="D523" s="4">
        <v>13.5</v>
      </c>
      <c r="E523" s="4">
        <v>22.8</v>
      </c>
      <c r="F523" s="4">
        <v>13.3</v>
      </c>
      <c r="G523" s="4">
        <v>34.700000000000003</v>
      </c>
      <c r="H523" s="4">
        <v>11.9</v>
      </c>
      <c r="I523" s="4">
        <v>1.9</v>
      </c>
    </row>
    <row r="524" spans="1:9" x14ac:dyDescent="0.35">
      <c r="A524" s="3" t="s">
        <v>3969</v>
      </c>
      <c r="B524" s="3" t="s">
        <v>1433</v>
      </c>
      <c r="C524" s="4">
        <v>2.2000000000000002</v>
      </c>
      <c r="D524" s="4">
        <v>24</v>
      </c>
      <c r="E524" s="4">
        <v>30.6</v>
      </c>
      <c r="F524" s="4">
        <v>12.7</v>
      </c>
      <c r="G524" s="4">
        <v>26.2</v>
      </c>
      <c r="H524" s="4">
        <v>3.7</v>
      </c>
      <c r="I524" s="4">
        <v>0.5</v>
      </c>
    </row>
    <row r="525" spans="1:9" x14ac:dyDescent="0.35">
      <c r="A525" s="3" t="s">
        <v>3971</v>
      </c>
      <c r="B525" s="3" t="s">
        <v>1435</v>
      </c>
      <c r="C525" s="4">
        <v>1.1000000000000001</v>
      </c>
      <c r="D525" s="4">
        <v>23.1</v>
      </c>
      <c r="E525" s="4">
        <v>32.1</v>
      </c>
      <c r="F525" s="4">
        <v>14.9</v>
      </c>
      <c r="G525" s="4">
        <v>26.6</v>
      </c>
      <c r="H525" s="4">
        <v>2.2999999999999998</v>
      </c>
      <c r="I525" s="4">
        <v>0</v>
      </c>
    </row>
    <row r="526" spans="1:9" x14ac:dyDescent="0.35">
      <c r="A526" s="3" t="s">
        <v>5206</v>
      </c>
      <c r="B526" s="3" t="s">
        <v>1437</v>
      </c>
      <c r="C526" s="4">
        <v>6.7</v>
      </c>
      <c r="D526" s="4">
        <v>31</v>
      </c>
      <c r="E526" s="4">
        <v>28.7</v>
      </c>
      <c r="F526" s="4">
        <v>10.4</v>
      </c>
      <c r="G526" s="4">
        <v>19.600000000000001</v>
      </c>
      <c r="H526" s="4">
        <v>3.1</v>
      </c>
      <c r="I526" s="4">
        <v>0.6</v>
      </c>
    </row>
    <row r="527" spans="1:9" x14ac:dyDescent="0.35">
      <c r="A527" s="3" t="s">
        <v>3975</v>
      </c>
      <c r="B527" s="3" t="s">
        <v>1439</v>
      </c>
      <c r="C527" s="4">
        <v>1.9</v>
      </c>
      <c r="D527" s="4">
        <v>18.399999999999999</v>
      </c>
      <c r="E527" s="4">
        <v>25</v>
      </c>
      <c r="F527" s="4">
        <v>9.5</v>
      </c>
      <c r="G527" s="4">
        <v>33</v>
      </c>
      <c r="H527" s="4">
        <v>11.8</v>
      </c>
      <c r="I527" s="4">
        <v>0.4</v>
      </c>
    </row>
    <row r="528" spans="1:9" x14ac:dyDescent="0.35">
      <c r="A528" s="3" t="s">
        <v>3977</v>
      </c>
      <c r="B528" s="3" t="s">
        <v>1441</v>
      </c>
      <c r="C528" s="4">
        <v>3.6</v>
      </c>
      <c r="D528" s="4">
        <v>32.6</v>
      </c>
      <c r="E528" s="4">
        <v>31.7</v>
      </c>
      <c r="F528" s="4">
        <v>13.8</v>
      </c>
      <c r="G528" s="4">
        <v>15.3</v>
      </c>
      <c r="H528" s="4">
        <v>2.6</v>
      </c>
      <c r="I528" s="4">
        <v>0.4</v>
      </c>
    </row>
    <row r="529" spans="1:9" x14ac:dyDescent="0.35">
      <c r="A529" s="3" t="s">
        <v>3980</v>
      </c>
      <c r="B529" s="3" t="s">
        <v>1443</v>
      </c>
      <c r="C529" s="4">
        <v>3.2</v>
      </c>
      <c r="D529" s="4">
        <v>26</v>
      </c>
      <c r="E529" s="4">
        <v>30.1</v>
      </c>
      <c r="F529" s="4">
        <v>11.7</v>
      </c>
      <c r="G529" s="4">
        <v>24</v>
      </c>
      <c r="H529" s="4">
        <v>4.2</v>
      </c>
      <c r="I529" s="4">
        <v>0.9</v>
      </c>
    </row>
    <row r="530" spans="1:9" x14ac:dyDescent="0.35">
      <c r="A530" s="3" t="s">
        <v>5207</v>
      </c>
      <c r="B530" s="3" t="s">
        <v>1445</v>
      </c>
      <c r="C530" s="4">
        <v>2.1</v>
      </c>
      <c r="D530" s="4">
        <v>19.2</v>
      </c>
      <c r="E530" s="4">
        <v>28</v>
      </c>
      <c r="F530" s="4">
        <v>14.2</v>
      </c>
      <c r="G530" s="4">
        <v>26.4</v>
      </c>
      <c r="H530" s="4">
        <v>8.6999999999999993</v>
      </c>
      <c r="I530" s="4">
        <v>1.5</v>
      </c>
    </row>
    <row r="531" spans="1:9" x14ac:dyDescent="0.35">
      <c r="A531" s="3" t="s">
        <v>4780</v>
      </c>
      <c r="B531" s="3" t="s">
        <v>1449</v>
      </c>
      <c r="C531" s="4">
        <v>3.9</v>
      </c>
      <c r="D531" s="4">
        <v>31.5</v>
      </c>
      <c r="E531" s="4">
        <v>27.5</v>
      </c>
      <c r="F531" s="4">
        <v>11</v>
      </c>
      <c r="G531" s="4">
        <v>21.4</v>
      </c>
      <c r="H531" s="4">
        <v>3.4</v>
      </c>
      <c r="I531" s="4">
        <v>1.3</v>
      </c>
    </row>
    <row r="532" spans="1:9" x14ac:dyDescent="0.35">
      <c r="A532" s="3" t="s">
        <v>3982</v>
      </c>
      <c r="B532" s="3" t="s">
        <v>1451</v>
      </c>
      <c r="C532" s="4">
        <v>7.9</v>
      </c>
      <c r="D532" s="4">
        <v>33.799999999999997</v>
      </c>
      <c r="E532" s="4">
        <v>29.7</v>
      </c>
      <c r="F532" s="4">
        <v>10.7</v>
      </c>
      <c r="G532" s="4">
        <v>14.2</v>
      </c>
      <c r="H532" s="4">
        <v>2.8</v>
      </c>
      <c r="I532" s="4">
        <v>0.9</v>
      </c>
    </row>
    <row r="533" spans="1:9" x14ac:dyDescent="0.35">
      <c r="A533" s="3" t="s">
        <v>4781</v>
      </c>
      <c r="B533" s="3" t="s">
        <v>1455</v>
      </c>
      <c r="C533" s="4">
        <v>1.2</v>
      </c>
      <c r="D533" s="4">
        <v>22.9</v>
      </c>
      <c r="E533" s="4">
        <v>39.299999999999997</v>
      </c>
      <c r="F533" s="4">
        <v>14.7</v>
      </c>
      <c r="G533" s="4">
        <v>19.2</v>
      </c>
      <c r="H533" s="4">
        <v>2.6</v>
      </c>
      <c r="I533" s="4">
        <v>0.2</v>
      </c>
    </row>
    <row r="534" spans="1:9" x14ac:dyDescent="0.35">
      <c r="A534" s="3" t="s">
        <v>3986</v>
      </c>
      <c r="B534" s="3" t="s">
        <v>1457</v>
      </c>
      <c r="C534" s="4">
        <v>7.5</v>
      </c>
      <c r="D534" s="4">
        <v>31.8</v>
      </c>
      <c r="E534" s="4">
        <v>32.200000000000003</v>
      </c>
      <c r="F534" s="4">
        <v>11.2</v>
      </c>
      <c r="G534" s="4">
        <v>14.4</v>
      </c>
      <c r="H534" s="4">
        <v>2.5</v>
      </c>
      <c r="I534" s="4">
        <v>0.4</v>
      </c>
    </row>
    <row r="535" spans="1:9" x14ac:dyDescent="0.35">
      <c r="A535" s="3" t="s">
        <v>3990</v>
      </c>
      <c r="B535" s="3" t="s">
        <v>1459</v>
      </c>
      <c r="C535" s="4">
        <v>4.2</v>
      </c>
      <c r="D535" s="4">
        <v>51.9</v>
      </c>
      <c r="E535" s="4">
        <v>31.7</v>
      </c>
      <c r="F535" s="4">
        <v>7.1</v>
      </c>
      <c r="G535" s="4">
        <v>4.9000000000000004</v>
      </c>
      <c r="H535" s="4">
        <v>0.3</v>
      </c>
      <c r="I535" s="4">
        <v>0</v>
      </c>
    </row>
    <row r="536" spans="1:9" x14ac:dyDescent="0.35">
      <c r="A536" s="3" t="s">
        <v>4782</v>
      </c>
      <c r="B536" s="3" t="s">
        <v>1463</v>
      </c>
      <c r="C536" s="4">
        <v>2.7</v>
      </c>
      <c r="D536" s="4">
        <v>33.299999999999997</v>
      </c>
      <c r="E536" s="4">
        <v>34.5</v>
      </c>
      <c r="F536" s="4">
        <v>13</v>
      </c>
      <c r="G536" s="4">
        <v>13</v>
      </c>
      <c r="H536" s="4">
        <v>2.9</v>
      </c>
      <c r="I536" s="4">
        <v>0.6</v>
      </c>
    </row>
    <row r="537" spans="1:9" x14ac:dyDescent="0.35">
      <c r="A537" s="3" t="s">
        <v>4783</v>
      </c>
      <c r="B537" s="3" t="s">
        <v>1465</v>
      </c>
      <c r="C537" s="4">
        <v>2.2999999999999998</v>
      </c>
      <c r="D537" s="4">
        <v>34.1</v>
      </c>
      <c r="E537" s="4">
        <v>34.299999999999997</v>
      </c>
      <c r="F537" s="4">
        <v>12.7</v>
      </c>
      <c r="G537" s="4">
        <v>14.1</v>
      </c>
      <c r="H537" s="4">
        <v>2.1</v>
      </c>
      <c r="I537" s="4">
        <v>0.4</v>
      </c>
    </row>
    <row r="538" spans="1:9" x14ac:dyDescent="0.35">
      <c r="A538" s="3" t="s">
        <v>3994</v>
      </c>
      <c r="B538" s="3" t="s">
        <v>1467</v>
      </c>
      <c r="C538" s="4">
        <v>5.6</v>
      </c>
      <c r="D538" s="4">
        <v>32</v>
      </c>
      <c r="E538" s="4">
        <v>34.700000000000003</v>
      </c>
      <c r="F538" s="4">
        <v>11.2</v>
      </c>
      <c r="G538" s="4">
        <v>13.6</v>
      </c>
      <c r="H538" s="4">
        <v>2.6</v>
      </c>
      <c r="I538" s="4">
        <v>0.4</v>
      </c>
    </row>
    <row r="539" spans="1:9" x14ac:dyDescent="0.35">
      <c r="A539" s="3" t="s">
        <v>4784</v>
      </c>
      <c r="B539" s="3" t="s">
        <v>1469</v>
      </c>
      <c r="C539" s="4">
        <v>2.7</v>
      </c>
      <c r="D539" s="4">
        <v>23.1</v>
      </c>
      <c r="E539" s="4">
        <v>26.3</v>
      </c>
      <c r="F539" s="4">
        <v>11.6</v>
      </c>
      <c r="G539" s="4">
        <v>28.2</v>
      </c>
      <c r="H539" s="4">
        <v>7.3</v>
      </c>
      <c r="I539" s="4">
        <v>0.8</v>
      </c>
    </row>
    <row r="540" spans="1:9" x14ac:dyDescent="0.35">
      <c r="A540" s="3" t="s">
        <v>3997</v>
      </c>
      <c r="B540" s="3" t="s">
        <v>1471</v>
      </c>
      <c r="C540" s="4">
        <v>11.3</v>
      </c>
      <c r="D540" s="4">
        <v>43.2</v>
      </c>
      <c r="E540" s="4">
        <v>25.9</v>
      </c>
      <c r="F540" s="4">
        <v>8.4</v>
      </c>
      <c r="G540" s="4">
        <v>9.8000000000000007</v>
      </c>
      <c r="H540" s="4">
        <v>1.2</v>
      </c>
      <c r="I540" s="4">
        <v>0.2</v>
      </c>
    </row>
    <row r="541" spans="1:9" x14ac:dyDescent="0.35">
      <c r="A541" s="3" t="s">
        <v>4003</v>
      </c>
      <c r="B541" s="3" t="s">
        <v>1473</v>
      </c>
      <c r="C541" s="4">
        <v>10.5</v>
      </c>
      <c r="D541" s="4">
        <v>37.799999999999997</v>
      </c>
      <c r="E541" s="4">
        <v>26.6</v>
      </c>
      <c r="F541" s="4">
        <v>10.6</v>
      </c>
      <c r="G541" s="4">
        <v>11.8</v>
      </c>
      <c r="H541" s="4">
        <v>2.2000000000000002</v>
      </c>
      <c r="I541" s="4">
        <v>0.4</v>
      </c>
    </row>
    <row r="542" spans="1:9" x14ac:dyDescent="0.35">
      <c r="A542" s="3" t="s">
        <v>4005</v>
      </c>
      <c r="B542" s="3" t="s">
        <v>1477</v>
      </c>
      <c r="C542" s="4">
        <v>0.9</v>
      </c>
      <c r="D542" s="4">
        <v>15.2</v>
      </c>
      <c r="E542" s="4">
        <v>27.3</v>
      </c>
      <c r="F542" s="4">
        <v>13.9</v>
      </c>
      <c r="G542" s="4">
        <v>34.700000000000003</v>
      </c>
      <c r="H542" s="4">
        <v>7</v>
      </c>
      <c r="I542" s="4">
        <v>1</v>
      </c>
    </row>
    <row r="543" spans="1:9" x14ac:dyDescent="0.35">
      <c r="A543" s="3" t="s">
        <v>4009</v>
      </c>
      <c r="B543" s="3" t="s">
        <v>1479</v>
      </c>
      <c r="C543" s="4">
        <v>2</v>
      </c>
      <c r="D543" s="4">
        <v>22.6</v>
      </c>
      <c r="E543" s="4">
        <v>33.4</v>
      </c>
      <c r="F543" s="4">
        <v>20.7</v>
      </c>
      <c r="G543" s="4">
        <v>17.600000000000001</v>
      </c>
      <c r="H543" s="4">
        <v>3</v>
      </c>
      <c r="I543" s="4">
        <v>0.8</v>
      </c>
    </row>
    <row r="544" spans="1:9" x14ac:dyDescent="0.35">
      <c r="A544" s="3" t="s">
        <v>4011</v>
      </c>
      <c r="B544" s="3" t="s">
        <v>1481</v>
      </c>
      <c r="C544" s="4">
        <v>3.2</v>
      </c>
      <c r="D544" s="4">
        <v>25.2</v>
      </c>
      <c r="E544" s="4">
        <v>35.9</v>
      </c>
      <c r="F544" s="4">
        <v>15.6</v>
      </c>
      <c r="G544" s="4">
        <v>16.5</v>
      </c>
      <c r="H544" s="4">
        <v>2.9</v>
      </c>
      <c r="I544" s="4">
        <v>0.7</v>
      </c>
    </row>
    <row r="545" spans="1:9" x14ac:dyDescent="0.35">
      <c r="A545" s="3" t="s">
        <v>4014</v>
      </c>
      <c r="B545" s="3" t="s">
        <v>1483</v>
      </c>
      <c r="C545" s="4">
        <v>2.6</v>
      </c>
      <c r="D545" s="4">
        <v>25.7</v>
      </c>
      <c r="E545" s="4">
        <v>30.7</v>
      </c>
      <c r="F545" s="4">
        <v>14.6</v>
      </c>
      <c r="G545" s="4">
        <v>21.4</v>
      </c>
      <c r="H545" s="4">
        <v>4.4000000000000004</v>
      </c>
      <c r="I545" s="4">
        <v>0.7</v>
      </c>
    </row>
    <row r="546" spans="1:9" x14ac:dyDescent="0.35">
      <c r="A546" s="3" t="s">
        <v>4023</v>
      </c>
      <c r="B546" s="3" t="s">
        <v>1489</v>
      </c>
      <c r="C546" s="4">
        <v>3.4</v>
      </c>
      <c r="D546" s="4">
        <v>27</v>
      </c>
      <c r="E546" s="4">
        <v>31.2</v>
      </c>
      <c r="F546" s="4">
        <v>14.2</v>
      </c>
      <c r="G546" s="4">
        <v>20</v>
      </c>
      <c r="H546" s="4">
        <v>3.7</v>
      </c>
      <c r="I546" s="4">
        <v>0.6</v>
      </c>
    </row>
    <row r="547" spans="1:9" x14ac:dyDescent="0.35">
      <c r="A547" s="3" t="s">
        <v>4025</v>
      </c>
      <c r="B547" s="3" t="s">
        <v>1491</v>
      </c>
      <c r="C547" s="4">
        <v>1.6</v>
      </c>
      <c r="D547" s="4">
        <v>26.6</v>
      </c>
      <c r="E547" s="4">
        <v>31.8</v>
      </c>
      <c r="F547" s="4">
        <v>17.600000000000001</v>
      </c>
      <c r="G547" s="4">
        <v>17.2</v>
      </c>
      <c r="H547" s="4">
        <v>4.4000000000000004</v>
      </c>
      <c r="I547" s="4">
        <v>0.7</v>
      </c>
    </row>
    <row r="548" spans="1:9" x14ac:dyDescent="0.35">
      <c r="A548" s="3" t="s">
        <v>5208</v>
      </c>
      <c r="B548" s="3" t="s">
        <v>1493</v>
      </c>
      <c r="C548" s="4">
        <v>2.1</v>
      </c>
      <c r="D548" s="4">
        <v>18.100000000000001</v>
      </c>
      <c r="E548" s="4">
        <v>26.1</v>
      </c>
      <c r="F548" s="4">
        <v>12.5</v>
      </c>
      <c r="G548" s="4">
        <v>29.5</v>
      </c>
      <c r="H548" s="4">
        <v>10.199999999999999</v>
      </c>
      <c r="I548" s="4">
        <v>1.3</v>
      </c>
    </row>
    <row r="549" spans="1:9" x14ac:dyDescent="0.35">
      <c r="A549" s="3" t="s">
        <v>4029</v>
      </c>
      <c r="B549" s="3" t="s">
        <v>1495</v>
      </c>
      <c r="C549" s="4">
        <v>2</v>
      </c>
      <c r="D549" s="4">
        <v>24.8</v>
      </c>
      <c r="E549" s="4">
        <v>32.799999999999997</v>
      </c>
      <c r="F549" s="4">
        <v>13.3</v>
      </c>
      <c r="G549" s="4">
        <v>21.8</v>
      </c>
      <c r="H549" s="4">
        <v>4.2</v>
      </c>
      <c r="I549" s="4">
        <v>1.2</v>
      </c>
    </row>
    <row r="550" spans="1:9" x14ac:dyDescent="0.35">
      <c r="A550" s="3" t="s">
        <v>4031</v>
      </c>
      <c r="B550" s="3" t="s">
        <v>1497</v>
      </c>
      <c r="C550" s="4">
        <v>8.4</v>
      </c>
      <c r="D550" s="4">
        <v>40.200000000000003</v>
      </c>
      <c r="E550" s="4">
        <v>23.1</v>
      </c>
      <c r="F550" s="4">
        <v>11.2</v>
      </c>
      <c r="G550" s="4">
        <v>14.1</v>
      </c>
      <c r="H550" s="4">
        <v>2.5</v>
      </c>
      <c r="I550" s="4">
        <v>0.5</v>
      </c>
    </row>
    <row r="551" spans="1:9" x14ac:dyDescent="0.35">
      <c r="A551" s="3" t="s">
        <v>4033</v>
      </c>
      <c r="B551" s="3" t="s">
        <v>1499</v>
      </c>
      <c r="C551" s="4">
        <v>3.5</v>
      </c>
      <c r="D551" s="4">
        <v>30.3</v>
      </c>
      <c r="E551" s="4">
        <v>30.8</v>
      </c>
      <c r="F551" s="4">
        <v>13.2</v>
      </c>
      <c r="G551" s="4">
        <v>17.7</v>
      </c>
      <c r="H551" s="4">
        <v>3.8</v>
      </c>
      <c r="I551" s="4">
        <v>0.7</v>
      </c>
    </row>
    <row r="552" spans="1:9" x14ac:dyDescent="0.35">
      <c r="A552" s="3" t="s">
        <v>4038</v>
      </c>
      <c r="B552" s="3" t="s">
        <v>1501</v>
      </c>
      <c r="C552" s="4">
        <v>10</v>
      </c>
      <c r="D552" s="4">
        <v>35.4</v>
      </c>
      <c r="E552" s="4">
        <v>28.7</v>
      </c>
      <c r="F552" s="4">
        <v>9.4</v>
      </c>
      <c r="G552" s="4">
        <v>14</v>
      </c>
      <c r="H552" s="4">
        <v>2.4</v>
      </c>
      <c r="I552" s="4">
        <v>0.1</v>
      </c>
    </row>
    <row r="553" spans="1:9" x14ac:dyDescent="0.35">
      <c r="A553" s="3" t="s">
        <v>4785</v>
      </c>
      <c r="B553" s="3" t="s">
        <v>1503</v>
      </c>
      <c r="C553" s="4">
        <v>0.4</v>
      </c>
      <c r="D553" s="4">
        <v>18.8</v>
      </c>
      <c r="E553" s="4">
        <v>17.100000000000001</v>
      </c>
      <c r="F553" s="4">
        <v>5.3</v>
      </c>
      <c r="G553" s="4">
        <v>39.4</v>
      </c>
      <c r="H553" s="4">
        <v>17.2</v>
      </c>
      <c r="I553" s="4">
        <v>1.8</v>
      </c>
    </row>
    <row r="554" spans="1:9" x14ac:dyDescent="0.35">
      <c r="A554" s="3" t="s">
        <v>4040</v>
      </c>
      <c r="B554" s="3" t="s">
        <v>1505</v>
      </c>
      <c r="C554" s="4">
        <v>1</v>
      </c>
      <c r="D554" s="4">
        <v>15.4</v>
      </c>
      <c r="E554" s="4">
        <v>26.3</v>
      </c>
      <c r="F554" s="4">
        <v>10.1</v>
      </c>
      <c r="G554" s="4">
        <v>33.6</v>
      </c>
      <c r="H554" s="4">
        <v>12.5</v>
      </c>
      <c r="I554" s="4">
        <v>1.1000000000000001</v>
      </c>
    </row>
    <row r="555" spans="1:9" x14ac:dyDescent="0.35">
      <c r="A555" s="3" t="s">
        <v>5209</v>
      </c>
      <c r="B555" s="3" t="s">
        <v>1507</v>
      </c>
      <c r="C555" s="4">
        <v>2.1</v>
      </c>
      <c r="D555" s="4">
        <v>18.100000000000001</v>
      </c>
      <c r="E555" s="4">
        <v>26.1</v>
      </c>
      <c r="F555" s="4">
        <v>12.5</v>
      </c>
      <c r="G555" s="4">
        <v>29.5</v>
      </c>
      <c r="H555" s="4">
        <v>10.199999999999999</v>
      </c>
      <c r="I555" s="4">
        <v>1.3</v>
      </c>
    </row>
    <row r="556" spans="1:9" x14ac:dyDescent="0.35">
      <c r="A556" s="3" t="s">
        <v>4786</v>
      </c>
      <c r="B556" s="3" t="s">
        <v>1511</v>
      </c>
      <c r="C556" s="4">
        <v>35.200000000000003</v>
      </c>
      <c r="D556" s="4">
        <v>30.5</v>
      </c>
      <c r="E556" s="4">
        <v>16.7</v>
      </c>
      <c r="F556" s="4">
        <v>5.3</v>
      </c>
      <c r="G556" s="4">
        <v>9.8000000000000007</v>
      </c>
      <c r="H556" s="4">
        <v>1.9</v>
      </c>
      <c r="I556" s="4">
        <v>0.5</v>
      </c>
    </row>
    <row r="557" spans="1:9" x14ac:dyDescent="0.35">
      <c r="A557" s="3" t="s">
        <v>4787</v>
      </c>
      <c r="B557" s="3" t="s">
        <v>1515</v>
      </c>
      <c r="C557" s="4">
        <v>4.5</v>
      </c>
      <c r="D557" s="4">
        <v>21.4</v>
      </c>
      <c r="E557" s="4">
        <v>23.1</v>
      </c>
      <c r="F557" s="4">
        <v>9.3000000000000007</v>
      </c>
      <c r="G557" s="4">
        <v>34.6</v>
      </c>
      <c r="H557" s="4">
        <v>6.7</v>
      </c>
      <c r="I557" s="4">
        <v>0.4</v>
      </c>
    </row>
    <row r="558" spans="1:9" x14ac:dyDescent="0.35">
      <c r="A558" s="3" t="s">
        <v>5210</v>
      </c>
      <c r="B558" s="3" t="s">
        <v>1517</v>
      </c>
      <c r="C558" s="4">
        <v>48.9</v>
      </c>
      <c r="D558" s="4">
        <v>28.2</v>
      </c>
      <c r="E558" s="4">
        <v>11.1</v>
      </c>
      <c r="F558" s="4">
        <v>4.2</v>
      </c>
      <c r="G558" s="4">
        <v>6.5</v>
      </c>
      <c r="H558" s="4">
        <v>1</v>
      </c>
      <c r="I558" s="4">
        <v>0.3</v>
      </c>
    </row>
    <row r="559" spans="1:9" x14ac:dyDescent="0.35">
      <c r="A559" s="3" t="s">
        <v>4047</v>
      </c>
      <c r="B559" s="3" t="s">
        <v>1519</v>
      </c>
      <c r="C559" s="4">
        <v>49.9</v>
      </c>
      <c r="D559" s="4">
        <v>30.8</v>
      </c>
      <c r="E559" s="4">
        <v>10.5</v>
      </c>
      <c r="F559" s="4">
        <v>1.4</v>
      </c>
      <c r="G559" s="4">
        <v>5.9</v>
      </c>
      <c r="H559" s="4">
        <v>0.7</v>
      </c>
      <c r="I559" s="4">
        <v>0.8</v>
      </c>
    </row>
    <row r="560" spans="1:9" x14ac:dyDescent="0.35">
      <c r="A560" s="3" t="s">
        <v>5211</v>
      </c>
      <c r="B560" s="3" t="s">
        <v>1523</v>
      </c>
      <c r="C560" s="4">
        <v>48.9</v>
      </c>
      <c r="D560" s="4">
        <v>28.2</v>
      </c>
      <c r="E560" s="4">
        <v>11.1</v>
      </c>
      <c r="F560" s="4">
        <v>4.2</v>
      </c>
      <c r="G560" s="4">
        <v>6.5</v>
      </c>
      <c r="H560" s="4">
        <v>1</v>
      </c>
      <c r="I560" s="4">
        <v>0.3</v>
      </c>
    </row>
    <row r="561" spans="1:9" x14ac:dyDescent="0.35">
      <c r="A561" s="3" t="s">
        <v>5212</v>
      </c>
      <c r="B561" s="3" t="s">
        <v>1525</v>
      </c>
      <c r="C561" s="4">
        <v>48.9</v>
      </c>
      <c r="D561" s="4">
        <v>28.2</v>
      </c>
      <c r="E561" s="4">
        <v>11.1</v>
      </c>
      <c r="F561" s="4">
        <v>4.2</v>
      </c>
      <c r="G561" s="4">
        <v>6.5</v>
      </c>
      <c r="H561" s="4">
        <v>1</v>
      </c>
      <c r="I561" s="4">
        <v>0.3</v>
      </c>
    </row>
    <row r="562" spans="1:9" x14ac:dyDescent="0.35">
      <c r="A562" s="3" t="s">
        <v>5213</v>
      </c>
      <c r="B562" s="3" t="s">
        <v>1527</v>
      </c>
      <c r="C562" s="4">
        <v>48.9</v>
      </c>
      <c r="D562" s="4">
        <v>28.2</v>
      </c>
      <c r="E562" s="4">
        <v>11.1</v>
      </c>
      <c r="F562" s="4">
        <v>4.2</v>
      </c>
      <c r="G562" s="4">
        <v>6.5</v>
      </c>
      <c r="H562" s="4">
        <v>1</v>
      </c>
      <c r="I562" s="4">
        <v>0.3</v>
      </c>
    </row>
    <row r="563" spans="1:9" x14ac:dyDescent="0.35">
      <c r="A563" s="3" t="s">
        <v>5214</v>
      </c>
      <c r="B563" s="3" t="s">
        <v>1529</v>
      </c>
      <c r="C563" s="4">
        <v>48.9</v>
      </c>
      <c r="D563" s="4">
        <v>28.2</v>
      </c>
      <c r="E563" s="4">
        <v>11.1</v>
      </c>
      <c r="F563" s="4">
        <v>4.2</v>
      </c>
      <c r="G563" s="4">
        <v>6.5</v>
      </c>
      <c r="H563" s="4">
        <v>1</v>
      </c>
      <c r="I563" s="4">
        <v>0.3</v>
      </c>
    </row>
    <row r="564" spans="1:9" x14ac:dyDescent="0.35">
      <c r="A564" s="3" t="s">
        <v>4789</v>
      </c>
      <c r="B564" s="3" t="s">
        <v>1533</v>
      </c>
      <c r="C564" s="4">
        <v>21.8</v>
      </c>
      <c r="D564" s="4">
        <v>37.5</v>
      </c>
      <c r="E564" s="4">
        <v>23.1</v>
      </c>
      <c r="F564" s="4">
        <v>4.9000000000000004</v>
      </c>
      <c r="G564" s="4">
        <v>10.5</v>
      </c>
      <c r="H564" s="4">
        <v>2</v>
      </c>
      <c r="I564" s="4">
        <v>0.2</v>
      </c>
    </row>
    <row r="565" spans="1:9" x14ac:dyDescent="0.35">
      <c r="A565" s="3" t="s">
        <v>4061</v>
      </c>
      <c r="B565" s="3" t="s">
        <v>1537</v>
      </c>
      <c r="C565" s="4">
        <v>27.7</v>
      </c>
      <c r="D565" s="4">
        <v>28.7</v>
      </c>
      <c r="E565" s="4">
        <v>16.899999999999999</v>
      </c>
      <c r="F565" s="4">
        <v>4.8</v>
      </c>
      <c r="G565" s="4">
        <v>14</v>
      </c>
      <c r="H565" s="4">
        <v>6.6</v>
      </c>
      <c r="I565" s="4">
        <v>1.2</v>
      </c>
    </row>
    <row r="566" spans="1:9" x14ac:dyDescent="0.35">
      <c r="A566" s="3" t="s">
        <v>5215</v>
      </c>
      <c r="B566" s="3" t="s">
        <v>1541</v>
      </c>
      <c r="C566" s="4">
        <v>26.5</v>
      </c>
      <c r="D566" s="4">
        <v>49</v>
      </c>
      <c r="E566" s="4">
        <v>13.6</v>
      </c>
      <c r="F566" s="4">
        <v>5.2</v>
      </c>
      <c r="G566" s="4">
        <v>5</v>
      </c>
      <c r="H566" s="4">
        <v>0.5</v>
      </c>
      <c r="I566" s="4">
        <v>0.3</v>
      </c>
    </row>
    <row r="567" spans="1:9" x14ac:dyDescent="0.35">
      <c r="A567" s="3" t="s">
        <v>5216</v>
      </c>
      <c r="B567" s="3" t="s">
        <v>1543</v>
      </c>
      <c r="C567" s="4">
        <v>26.5</v>
      </c>
      <c r="D567" s="4">
        <v>49</v>
      </c>
      <c r="E567" s="4">
        <v>13.6</v>
      </c>
      <c r="F567" s="4">
        <v>5.2</v>
      </c>
      <c r="G567" s="4">
        <v>5</v>
      </c>
      <c r="H567" s="4">
        <v>0.5</v>
      </c>
      <c r="I567" s="4">
        <v>0.3</v>
      </c>
    </row>
    <row r="568" spans="1:9" x14ac:dyDescent="0.35">
      <c r="A568" s="3" t="s">
        <v>5217</v>
      </c>
      <c r="B568" s="3" t="s">
        <v>1545</v>
      </c>
      <c r="C568" s="4">
        <v>26.5</v>
      </c>
      <c r="D568" s="4">
        <v>49</v>
      </c>
      <c r="E568" s="4">
        <v>13.6</v>
      </c>
      <c r="F568" s="4">
        <v>5.2</v>
      </c>
      <c r="G568" s="4">
        <v>5</v>
      </c>
      <c r="H568" s="4">
        <v>0.5</v>
      </c>
      <c r="I568" s="4">
        <v>0.3</v>
      </c>
    </row>
    <row r="569" spans="1:9" x14ac:dyDescent="0.35">
      <c r="A569" s="3" t="s">
        <v>5218</v>
      </c>
      <c r="B569" s="3" t="s">
        <v>1547</v>
      </c>
      <c r="C569" s="4">
        <v>26.5</v>
      </c>
      <c r="D569" s="4">
        <v>49</v>
      </c>
      <c r="E569" s="4">
        <v>13.6</v>
      </c>
      <c r="F569" s="4">
        <v>5.2</v>
      </c>
      <c r="G569" s="4">
        <v>5</v>
      </c>
      <c r="H569" s="4">
        <v>0.5</v>
      </c>
      <c r="I569" s="4">
        <v>0.3</v>
      </c>
    </row>
    <row r="570" spans="1:9" x14ac:dyDescent="0.35">
      <c r="A570" s="3" t="s">
        <v>4067</v>
      </c>
      <c r="B570" s="3" t="s">
        <v>1551</v>
      </c>
      <c r="C570" s="4">
        <v>16.899999999999999</v>
      </c>
      <c r="D570" s="4">
        <v>44</v>
      </c>
      <c r="E570" s="4">
        <v>21.9</v>
      </c>
      <c r="F570" s="4">
        <v>7.1</v>
      </c>
      <c r="G570" s="4">
        <v>8.3000000000000007</v>
      </c>
      <c r="H570" s="4">
        <v>1.4</v>
      </c>
      <c r="I570" s="4">
        <v>0.3</v>
      </c>
    </row>
    <row r="571" spans="1:9" x14ac:dyDescent="0.35">
      <c r="A571" s="3" t="s">
        <v>4073</v>
      </c>
      <c r="B571" s="3" t="s">
        <v>1555</v>
      </c>
      <c r="C571" s="4">
        <v>6.9</v>
      </c>
      <c r="D571" s="4">
        <v>54.9</v>
      </c>
      <c r="E571" s="4">
        <v>29.1</v>
      </c>
      <c r="F571" s="4">
        <v>5.8</v>
      </c>
      <c r="G571" s="4">
        <v>2.9</v>
      </c>
      <c r="H571" s="4">
        <v>0.3</v>
      </c>
      <c r="I571" s="4">
        <v>0</v>
      </c>
    </row>
    <row r="572" spans="1:9" x14ac:dyDescent="0.35">
      <c r="A572" s="3" t="s">
        <v>5219</v>
      </c>
      <c r="B572" s="3" t="s">
        <v>1559</v>
      </c>
      <c r="C572" s="4">
        <v>34</v>
      </c>
      <c r="D572" s="4">
        <v>44.7</v>
      </c>
      <c r="E572" s="4">
        <v>14.4</v>
      </c>
      <c r="F572" s="4">
        <v>3.4</v>
      </c>
      <c r="G572" s="4">
        <v>3.3</v>
      </c>
      <c r="H572" s="4">
        <v>0.2</v>
      </c>
      <c r="I572" s="4">
        <v>0.1</v>
      </c>
    </row>
    <row r="573" spans="1:9" x14ac:dyDescent="0.35">
      <c r="A573" s="3" t="s">
        <v>5220</v>
      </c>
      <c r="B573" s="3" t="s">
        <v>1561</v>
      </c>
      <c r="C573" s="4">
        <v>34</v>
      </c>
      <c r="D573" s="4">
        <v>44.7</v>
      </c>
      <c r="E573" s="4">
        <v>14.4</v>
      </c>
      <c r="F573" s="4">
        <v>3.4</v>
      </c>
      <c r="G573" s="4">
        <v>3.3</v>
      </c>
      <c r="H573" s="4">
        <v>0.2</v>
      </c>
      <c r="I573" s="4">
        <v>0.1</v>
      </c>
    </row>
    <row r="574" spans="1:9" x14ac:dyDescent="0.35">
      <c r="A574" s="3" t="s">
        <v>4792</v>
      </c>
      <c r="B574" s="3" t="s">
        <v>1563</v>
      </c>
      <c r="C574" s="4">
        <v>24.9</v>
      </c>
      <c r="D574" s="4">
        <v>42.5</v>
      </c>
      <c r="E574" s="4">
        <v>19.399999999999999</v>
      </c>
      <c r="F574" s="4">
        <v>5.6</v>
      </c>
      <c r="G574" s="4">
        <v>6.4</v>
      </c>
      <c r="H574" s="4">
        <v>0.9</v>
      </c>
      <c r="I574" s="4">
        <v>0.3</v>
      </c>
    </row>
    <row r="575" spans="1:9" x14ac:dyDescent="0.35">
      <c r="A575" s="3" t="s">
        <v>5221</v>
      </c>
      <c r="B575" s="3" t="s">
        <v>1567</v>
      </c>
      <c r="C575" s="4">
        <v>31.7</v>
      </c>
      <c r="D575" s="4">
        <v>42.3</v>
      </c>
      <c r="E575" s="4">
        <v>15.6</v>
      </c>
      <c r="F575" s="4">
        <v>4.5</v>
      </c>
      <c r="G575" s="4">
        <v>5.2</v>
      </c>
      <c r="H575" s="4">
        <v>0.6</v>
      </c>
      <c r="I575" s="4">
        <v>0.2</v>
      </c>
    </row>
    <row r="576" spans="1:9" x14ac:dyDescent="0.35">
      <c r="A576" s="3" t="s">
        <v>5222</v>
      </c>
      <c r="B576" s="3" t="s">
        <v>1569</v>
      </c>
      <c r="C576" s="4">
        <v>31.7</v>
      </c>
      <c r="D576" s="4">
        <v>42.3</v>
      </c>
      <c r="E576" s="4">
        <v>15.6</v>
      </c>
      <c r="F576" s="4">
        <v>4.5</v>
      </c>
      <c r="G576" s="4">
        <v>5.2</v>
      </c>
      <c r="H576" s="4">
        <v>0.6</v>
      </c>
      <c r="I576" s="4">
        <v>0.2</v>
      </c>
    </row>
    <row r="577" spans="1:9" x14ac:dyDescent="0.35">
      <c r="A577" s="3" t="s">
        <v>5223</v>
      </c>
      <c r="B577" s="3" t="s">
        <v>1571</v>
      </c>
      <c r="C577" s="4">
        <v>31.7</v>
      </c>
      <c r="D577" s="4">
        <v>42.3</v>
      </c>
      <c r="E577" s="4">
        <v>15.6</v>
      </c>
      <c r="F577" s="4">
        <v>4.5</v>
      </c>
      <c r="G577" s="4">
        <v>5.2</v>
      </c>
      <c r="H577" s="4">
        <v>0.6</v>
      </c>
      <c r="I577" s="4">
        <v>0.2</v>
      </c>
    </row>
    <row r="578" spans="1:9" x14ac:dyDescent="0.35">
      <c r="A578" s="3" t="s">
        <v>5224</v>
      </c>
      <c r="B578" s="3" t="s">
        <v>1573</v>
      </c>
      <c r="C578" s="4">
        <v>31.7</v>
      </c>
      <c r="D578" s="4">
        <v>42.3</v>
      </c>
      <c r="E578" s="4">
        <v>15.6</v>
      </c>
      <c r="F578" s="4">
        <v>4.5</v>
      </c>
      <c r="G578" s="4">
        <v>5.2</v>
      </c>
      <c r="H578" s="4">
        <v>0.6</v>
      </c>
      <c r="I578" s="4">
        <v>0.2</v>
      </c>
    </row>
    <row r="579" spans="1:9" x14ac:dyDescent="0.35">
      <c r="A579" s="3" t="s">
        <v>5225</v>
      </c>
      <c r="B579" s="3" t="s">
        <v>1577</v>
      </c>
      <c r="C579" s="4">
        <v>41.2</v>
      </c>
      <c r="D579" s="4">
        <v>41.6</v>
      </c>
      <c r="E579" s="4">
        <v>11.9</v>
      </c>
      <c r="F579" s="4">
        <v>3.1</v>
      </c>
      <c r="G579" s="4">
        <v>1.9</v>
      </c>
      <c r="H579" s="4">
        <v>0.4</v>
      </c>
      <c r="I579" s="4">
        <v>0</v>
      </c>
    </row>
    <row r="580" spans="1:9" x14ac:dyDescent="0.35">
      <c r="A580" s="3" t="s">
        <v>5226</v>
      </c>
      <c r="B580" s="3" t="s">
        <v>1579</v>
      </c>
      <c r="C580" s="4">
        <v>41.2</v>
      </c>
      <c r="D580" s="4">
        <v>41.6</v>
      </c>
      <c r="E580" s="4">
        <v>11.9</v>
      </c>
      <c r="F580" s="4">
        <v>3.1</v>
      </c>
      <c r="G580" s="4">
        <v>1.9</v>
      </c>
      <c r="H580" s="4">
        <v>0.4</v>
      </c>
      <c r="I580" s="4">
        <v>0</v>
      </c>
    </row>
    <row r="581" spans="1:9" x14ac:dyDescent="0.35">
      <c r="A581" s="3" t="s">
        <v>4098</v>
      </c>
      <c r="B581" s="3" t="s">
        <v>1581</v>
      </c>
      <c r="C581" s="4">
        <v>33.5</v>
      </c>
      <c r="D581" s="4">
        <v>39.700000000000003</v>
      </c>
      <c r="E581" s="4">
        <v>15.6</v>
      </c>
      <c r="F581" s="4">
        <v>4.5</v>
      </c>
      <c r="G581" s="4">
        <v>5.4</v>
      </c>
      <c r="H581" s="4">
        <v>1</v>
      </c>
      <c r="I581" s="4">
        <v>0.3</v>
      </c>
    </row>
    <row r="582" spans="1:9" x14ac:dyDescent="0.35">
      <c r="A582" s="3" t="s">
        <v>5227</v>
      </c>
      <c r="B582" s="3" t="s">
        <v>1585</v>
      </c>
      <c r="C582" s="4">
        <v>20.399999999999999</v>
      </c>
      <c r="D582" s="4">
        <v>52.7</v>
      </c>
      <c r="E582" s="4">
        <v>17.7</v>
      </c>
      <c r="F582" s="4">
        <v>6</v>
      </c>
      <c r="G582" s="4">
        <v>2.6</v>
      </c>
      <c r="H582" s="4">
        <v>0.5</v>
      </c>
      <c r="I582" s="4">
        <v>0.1</v>
      </c>
    </row>
    <row r="583" spans="1:9" x14ac:dyDescent="0.35">
      <c r="A583" s="3" t="s">
        <v>5228</v>
      </c>
      <c r="B583" s="3" t="s">
        <v>1587</v>
      </c>
      <c r="C583" s="4">
        <v>20.399999999999999</v>
      </c>
      <c r="D583" s="4">
        <v>52.7</v>
      </c>
      <c r="E583" s="4">
        <v>17.7</v>
      </c>
      <c r="F583" s="4">
        <v>6</v>
      </c>
      <c r="G583" s="4">
        <v>2.6</v>
      </c>
      <c r="H583" s="4">
        <v>0.5</v>
      </c>
      <c r="I583" s="4">
        <v>0.1</v>
      </c>
    </row>
    <row r="584" spans="1:9" x14ac:dyDescent="0.35">
      <c r="A584" s="3" t="s">
        <v>5229</v>
      </c>
      <c r="B584" s="3" t="s">
        <v>1589</v>
      </c>
      <c r="C584" s="4">
        <v>20.399999999999999</v>
      </c>
      <c r="D584" s="4">
        <v>52.7</v>
      </c>
      <c r="E584" s="4">
        <v>17.7</v>
      </c>
      <c r="F584" s="4">
        <v>6</v>
      </c>
      <c r="G584" s="4">
        <v>2.6</v>
      </c>
      <c r="H584" s="4">
        <v>0.5</v>
      </c>
      <c r="I584" s="4">
        <v>0.1</v>
      </c>
    </row>
    <row r="585" spans="1:9" x14ac:dyDescent="0.35">
      <c r="A585" s="3" t="s">
        <v>5230</v>
      </c>
      <c r="B585" s="3" t="s">
        <v>1593</v>
      </c>
      <c r="C585" s="4">
        <v>43.8</v>
      </c>
      <c r="D585" s="4">
        <v>40.4</v>
      </c>
      <c r="E585" s="4">
        <v>10.9</v>
      </c>
      <c r="F585" s="4">
        <v>3</v>
      </c>
      <c r="G585" s="4">
        <v>1.7</v>
      </c>
      <c r="H585" s="4">
        <v>0.1</v>
      </c>
      <c r="I585" s="4">
        <v>0.1</v>
      </c>
    </row>
    <row r="586" spans="1:9" x14ac:dyDescent="0.35">
      <c r="A586" s="3" t="s">
        <v>5231</v>
      </c>
      <c r="B586" s="3" t="s">
        <v>1595</v>
      </c>
      <c r="C586" s="4">
        <v>43.8</v>
      </c>
      <c r="D586" s="4">
        <v>40.4</v>
      </c>
      <c r="E586" s="4">
        <v>10.9</v>
      </c>
      <c r="F586" s="4">
        <v>3</v>
      </c>
      <c r="G586" s="4">
        <v>1.7</v>
      </c>
      <c r="H586" s="4">
        <v>0.1</v>
      </c>
      <c r="I586" s="4">
        <v>0.1</v>
      </c>
    </row>
    <row r="587" spans="1:9" x14ac:dyDescent="0.35">
      <c r="A587" s="3" t="s">
        <v>4116</v>
      </c>
      <c r="B587" s="3" t="s">
        <v>1597</v>
      </c>
      <c r="C587" s="4">
        <v>8.1</v>
      </c>
      <c r="D587" s="4">
        <v>38</v>
      </c>
      <c r="E587" s="4">
        <v>30.3</v>
      </c>
      <c r="F587" s="4">
        <v>15.7</v>
      </c>
      <c r="G587" s="4">
        <v>6.6</v>
      </c>
      <c r="H587" s="4">
        <v>1</v>
      </c>
      <c r="I587" s="4">
        <v>0.3</v>
      </c>
    </row>
    <row r="588" spans="1:9" x14ac:dyDescent="0.35">
      <c r="A588" s="3" t="s">
        <v>4796</v>
      </c>
      <c r="B588" s="3" t="s">
        <v>1599</v>
      </c>
      <c r="C588" s="4">
        <v>17.899999999999999</v>
      </c>
      <c r="D588" s="4">
        <v>45.6</v>
      </c>
      <c r="E588" s="4">
        <v>25.4</v>
      </c>
      <c r="F588" s="4">
        <v>6</v>
      </c>
      <c r="G588" s="4">
        <v>4</v>
      </c>
      <c r="H588" s="4">
        <v>1.1000000000000001</v>
      </c>
      <c r="I588" s="4">
        <v>0</v>
      </c>
    </row>
    <row r="589" spans="1:9" x14ac:dyDescent="0.35">
      <c r="A589" s="3" t="s">
        <v>5232</v>
      </c>
      <c r="B589" s="3" t="s">
        <v>1603</v>
      </c>
      <c r="C589" s="4">
        <v>32.799999999999997</v>
      </c>
      <c r="D589" s="4">
        <v>43.6</v>
      </c>
      <c r="E589" s="4">
        <v>13.7</v>
      </c>
      <c r="F589" s="4">
        <v>3.9</v>
      </c>
      <c r="G589" s="4">
        <v>5.6</v>
      </c>
      <c r="H589" s="4">
        <v>0.5</v>
      </c>
      <c r="I589" s="4">
        <v>0</v>
      </c>
    </row>
    <row r="590" spans="1:9" x14ac:dyDescent="0.35">
      <c r="A590" s="3" t="s">
        <v>5233</v>
      </c>
      <c r="B590" s="3" t="s">
        <v>1605</v>
      </c>
      <c r="C590" s="4">
        <v>32.799999999999997</v>
      </c>
      <c r="D590" s="4">
        <v>43.6</v>
      </c>
      <c r="E590" s="4">
        <v>13.7</v>
      </c>
      <c r="F590" s="4">
        <v>3.9</v>
      </c>
      <c r="G590" s="4">
        <v>5.6</v>
      </c>
      <c r="H590" s="4">
        <v>0.5</v>
      </c>
      <c r="I590" s="4">
        <v>0</v>
      </c>
    </row>
    <row r="591" spans="1:9" x14ac:dyDescent="0.35">
      <c r="A591" s="3" t="s">
        <v>5234</v>
      </c>
      <c r="B591" s="3" t="s">
        <v>1609</v>
      </c>
      <c r="C591" s="4">
        <v>33.5</v>
      </c>
      <c r="D591" s="4">
        <v>39.299999999999997</v>
      </c>
      <c r="E591" s="4">
        <v>15.3</v>
      </c>
      <c r="F591" s="4">
        <v>4.5999999999999996</v>
      </c>
      <c r="G591" s="4">
        <v>5.8</v>
      </c>
      <c r="H591" s="4">
        <v>1.2</v>
      </c>
      <c r="I591" s="4">
        <v>0.2</v>
      </c>
    </row>
    <row r="592" spans="1:9" x14ac:dyDescent="0.35">
      <c r="A592" s="3" t="s">
        <v>5235</v>
      </c>
      <c r="B592" s="3" t="s">
        <v>1611</v>
      </c>
      <c r="C592" s="4">
        <v>33.5</v>
      </c>
      <c r="D592" s="4">
        <v>39.299999999999997</v>
      </c>
      <c r="E592" s="4">
        <v>15.3</v>
      </c>
      <c r="F592" s="4">
        <v>4.5999999999999996</v>
      </c>
      <c r="G592" s="4">
        <v>5.8</v>
      </c>
      <c r="H592" s="4">
        <v>1.2</v>
      </c>
      <c r="I592" s="4">
        <v>0.2</v>
      </c>
    </row>
    <row r="593" spans="1:9" x14ac:dyDescent="0.35">
      <c r="A593" s="3" t="s">
        <v>4801</v>
      </c>
      <c r="B593" s="3" t="s">
        <v>1615</v>
      </c>
      <c r="C593" s="4">
        <v>26.8</v>
      </c>
      <c r="D593" s="4">
        <v>45.5</v>
      </c>
      <c r="E593" s="4">
        <v>19.100000000000001</v>
      </c>
      <c r="F593" s="4">
        <v>4</v>
      </c>
      <c r="G593" s="4">
        <v>3.1</v>
      </c>
      <c r="H593" s="4">
        <v>0.9</v>
      </c>
      <c r="I593" s="4">
        <v>0.5</v>
      </c>
    </row>
    <row r="594" spans="1:9" x14ac:dyDescent="0.35">
      <c r="A594" s="3" t="s">
        <v>4802</v>
      </c>
      <c r="B594" s="3" t="s">
        <v>1617</v>
      </c>
      <c r="C594" s="4">
        <v>14.6</v>
      </c>
      <c r="D594" s="4">
        <v>45.5</v>
      </c>
      <c r="E594" s="4">
        <v>25.3</v>
      </c>
      <c r="F594" s="4">
        <v>8.3000000000000007</v>
      </c>
      <c r="G594" s="4">
        <v>5.3</v>
      </c>
      <c r="H594" s="4">
        <v>0.8</v>
      </c>
      <c r="I594" s="4">
        <v>0.2</v>
      </c>
    </row>
    <row r="595" spans="1:9" x14ac:dyDescent="0.35">
      <c r="A595" s="3" t="s">
        <v>4803</v>
      </c>
      <c r="B595" s="3" t="s">
        <v>1619</v>
      </c>
      <c r="C595" s="4">
        <v>52.2</v>
      </c>
      <c r="D595" s="4">
        <v>31.2</v>
      </c>
      <c r="E595" s="4">
        <v>11</v>
      </c>
      <c r="F595" s="4">
        <v>1.8</v>
      </c>
      <c r="G595" s="4">
        <v>3.1</v>
      </c>
      <c r="H595" s="4">
        <v>0.6</v>
      </c>
      <c r="I595" s="4">
        <v>0</v>
      </c>
    </row>
    <row r="596" spans="1:9" x14ac:dyDescent="0.35">
      <c r="A596" s="3" t="s">
        <v>5236</v>
      </c>
      <c r="B596" s="3" t="s">
        <v>1621</v>
      </c>
      <c r="C596" s="4">
        <v>34</v>
      </c>
      <c r="D596" s="4">
        <v>44.7</v>
      </c>
      <c r="E596" s="4">
        <v>14.4</v>
      </c>
      <c r="F596" s="4">
        <v>3.4</v>
      </c>
      <c r="G596" s="4">
        <v>3.3</v>
      </c>
      <c r="H596" s="4">
        <v>0.2</v>
      </c>
      <c r="I596" s="4">
        <v>0.1</v>
      </c>
    </row>
    <row r="597" spans="1:9" x14ac:dyDescent="0.35">
      <c r="A597" s="3" t="s">
        <v>4804</v>
      </c>
      <c r="B597" s="3" t="s">
        <v>1623</v>
      </c>
      <c r="C597" s="4">
        <v>44.6</v>
      </c>
      <c r="D597" s="4">
        <v>39.299999999999997</v>
      </c>
      <c r="E597" s="4">
        <v>10.1</v>
      </c>
      <c r="F597" s="4">
        <v>2.5</v>
      </c>
      <c r="G597" s="4">
        <v>3.1</v>
      </c>
      <c r="H597" s="4">
        <v>0.3</v>
      </c>
      <c r="I597" s="4">
        <v>0.2</v>
      </c>
    </row>
    <row r="598" spans="1:9" x14ac:dyDescent="0.35">
      <c r="A598" s="3" t="s">
        <v>4121</v>
      </c>
      <c r="B598" s="3" t="s">
        <v>1625</v>
      </c>
      <c r="C598" s="4">
        <v>12.8</v>
      </c>
      <c r="D598" s="4">
        <v>48.5</v>
      </c>
      <c r="E598" s="4">
        <v>23.8</v>
      </c>
      <c r="F598" s="4">
        <v>8.6</v>
      </c>
      <c r="G598" s="4">
        <v>5.8</v>
      </c>
      <c r="H598" s="4">
        <v>0.5</v>
      </c>
      <c r="I598" s="4">
        <v>0.1</v>
      </c>
    </row>
    <row r="599" spans="1:9" x14ac:dyDescent="0.35">
      <c r="A599" s="3" t="s">
        <v>4123</v>
      </c>
      <c r="B599" s="3" t="s">
        <v>1627</v>
      </c>
      <c r="C599" s="4">
        <v>15.1</v>
      </c>
      <c r="D599" s="4">
        <v>46.6</v>
      </c>
      <c r="E599" s="4">
        <v>25.4</v>
      </c>
      <c r="F599" s="4">
        <v>6.6</v>
      </c>
      <c r="G599" s="4">
        <v>5.6</v>
      </c>
      <c r="H599" s="4">
        <v>0.4</v>
      </c>
      <c r="I599" s="4">
        <v>0.3</v>
      </c>
    </row>
    <row r="600" spans="1:9" x14ac:dyDescent="0.35">
      <c r="A600" s="3" t="s">
        <v>4125</v>
      </c>
      <c r="B600" s="3" t="s">
        <v>1629</v>
      </c>
      <c r="C600" s="4">
        <v>9.5</v>
      </c>
      <c r="D600" s="4">
        <v>29.5</v>
      </c>
      <c r="E600" s="4">
        <v>25.8</v>
      </c>
      <c r="F600" s="4">
        <v>17</v>
      </c>
      <c r="G600" s="4">
        <v>12.7</v>
      </c>
      <c r="H600" s="4">
        <v>3.2</v>
      </c>
      <c r="I600" s="4">
        <v>2.2000000000000002</v>
      </c>
    </row>
    <row r="601" spans="1:9" x14ac:dyDescent="0.35">
      <c r="A601" s="3" t="s">
        <v>5237</v>
      </c>
      <c r="B601" s="3" t="s">
        <v>1633</v>
      </c>
      <c r="C601" s="4">
        <v>28.8</v>
      </c>
      <c r="D601" s="4">
        <v>45.4</v>
      </c>
      <c r="E601" s="4">
        <v>12.8</v>
      </c>
      <c r="F601" s="4">
        <v>4.7</v>
      </c>
      <c r="G601" s="4">
        <v>5.6</v>
      </c>
      <c r="H601" s="4">
        <v>1.6</v>
      </c>
      <c r="I601" s="4">
        <v>1.1000000000000001</v>
      </c>
    </row>
    <row r="602" spans="1:9" x14ac:dyDescent="0.35">
      <c r="A602" s="3" t="s">
        <v>5238</v>
      </c>
      <c r="B602" s="3" t="s">
        <v>1635</v>
      </c>
      <c r="C602" s="4">
        <v>28.8</v>
      </c>
      <c r="D602" s="4">
        <v>45.4</v>
      </c>
      <c r="E602" s="4">
        <v>12.8</v>
      </c>
      <c r="F602" s="4">
        <v>4.7</v>
      </c>
      <c r="G602" s="4">
        <v>5.6</v>
      </c>
      <c r="H602" s="4">
        <v>1.6</v>
      </c>
      <c r="I602" s="4">
        <v>1.1000000000000001</v>
      </c>
    </row>
    <row r="603" spans="1:9" x14ac:dyDescent="0.35">
      <c r="A603" s="3" t="s">
        <v>5239</v>
      </c>
      <c r="B603" s="3" t="s">
        <v>1637</v>
      </c>
      <c r="C603" s="4">
        <v>28.8</v>
      </c>
      <c r="D603" s="4">
        <v>45.4</v>
      </c>
      <c r="E603" s="4">
        <v>12.8</v>
      </c>
      <c r="F603" s="4">
        <v>4.7</v>
      </c>
      <c r="G603" s="4">
        <v>5.6</v>
      </c>
      <c r="H603" s="4">
        <v>1.6</v>
      </c>
      <c r="I603" s="4">
        <v>1.1000000000000001</v>
      </c>
    </row>
    <row r="604" spans="1:9" x14ac:dyDescent="0.35">
      <c r="A604" s="3" t="s">
        <v>5240</v>
      </c>
      <c r="B604" s="3" t="s">
        <v>1639</v>
      </c>
      <c r="C604" s="4">
        <v>28.8</v>
      </c>
      <c r="D604" s="4">
        <v>45.4</v>
      </c>
      <c r="E604" s="4">
        <v>12.8</v>
      </c>
      <c r="F604" s="4">
        <v>4.7</v>
      </c>
      <c r="G604" s="4">
        <v>5.6</v>
      </c>
      <c r="H604" s="4">
        <v>1.6</v>
      </c>
      <c r="I604" s="4">
        <v>1.1000000000000001</v>
      </c>
    </row>
    <row r="605" spans="1:9" x14ac:dyDescent="0.35">
      <c r="A605" s="3" t="s">
        <v>5241</v>
      </c>
      <c r="B605" s="3" t="s">
        <v>1641</v>
      </c>
      <c r="C605" s="4">
        <v>28.8</v>
      </c>
      <c r="D605" s="4">
        <v>45.4</v>
      </c>
      <c r="E605" s="4">
        <v>12.8</v>
      </c>
      <c r="F605" s="4">
        <v>4.7</v>
      </c>
      <c r="G605" s="4">
        <v>5.6</v>
      </c>
      <c r="H605" s="4">
        <v>1.6</v>
      </c>
      <c r="I605" s="4">
        <v>1.1000000000000001</v>
      </c>
    </row>
    <row r="606" spans="1:9" x14ac:dyDescent="0.35">
      <c r="A606" s="3" t="s">
        <v>5242</v>
      </c>
      <c r="B606" s="3" t="s">
        <v>1643</v>
      </c>
      <c r="C606" s="4">
        <v>28.8</v>
      </c>
      <c r="D606" s="4">
        <v>45.4</v>
      </c>
      <c r="E606" s="4">
        <v>12.8</v>
      </c>
      <c r="F606" s="4">
        <v>4.7</v>
      </c>
      <c r="G606" s="4">
        <v>5.6</v>
      </c>
      <c r="H606" s="4">
        <v>1.6</v>
      </c>
      <c r="I606" s="4">
        <v>1.1000000000000001</v>
      </c>
    </row>
    <row r="607" spans="1:9" x14ac:dyDescent="0.35">
      <c r="A607" s="3" t="s">
        <v>5243</v>
      </c>
      <c r="B607" s="3" t="s">
        <v>1645</v>
      </c>
      <c r="C607" s="4">
        <v>28.8</v>
      </c>
      <c r="D607" s="4">
        <v>45.4</v>
      </c>
      <c r="E607" s="4">
        <v>12.8</v>
      </c>
      <c r="F607" s="4">
        <v>4.7</v>
      </c>
      <c r="G607" s="4">
        <v>5.6</v>
      </c>
      <c r="H607" s="4">
        <v>1.6</v>
      </c>
      <c r="I607" s="4">
        <v>1.1000000000000001</v>
      </c>
    </row>
    <row r="608" spans="1:9" x14ac:dyDescent="0.35">
      <c r="A608" s="3" t="s">
        <v>4133</v>
      </c>
      <c r="B608" s="3" t="s">
        <v>1649</v>
      </c>
      <c r="C608" s="4">
        <v>2.4</v>
      </c>
      <c r="D608" s="4">
        <v>26</v>
      </c>
      <c r="E608" s="4">
        <v>27.2</v>
      </c>
      <c r="F608" s="4">
        <v>13.5</v>
      </c>
      <c r="G608" s="4">
        <v>24</v>
      </c>
      <c r="H608" s="4">
        <v>6.2</v>
      </c>
      <c r="I608" s="4">
        <v>0.7</v>
      </c>
    </row>
    <row r="609" spans="1:9" x14ac:dyDescent="0.35">
      <c r="A609" s="3" t="s">
        <v>4810</v>
      </c>
      <c r="B609" s="3" t="s">
        <v>1651</v>
      </c>
      <c r="C609" s="4">
        <v>5.6</v>
      </c>
      <c r="D609" s="4">
        <v>47.2</v>
      </c>
      <c r="E609" s="4">
        <v>28.7</v>
      </c>
      <c r="F609" s="4">
        <v>8.6999999999999993</v>
      </c>
      <c r="G609" s="4">
        <v>7.8</v>
      </c>
      <c r="H609" s="4">
        <v>1.9</v>
      </c>
      <c r="I609" s="4">
        <v>0.1</v>
      </c>
    </row>
    <row r="610" spans="1:9" x14ac:dyDescent="0.35">
      <c r="A610" s="3" t="s">
        <v>4811</v>
      </c>
      <c r="B610" s="3" t="s">
        <v>1653</v>
      </c>
      <c r="C610" s="4">
        <v>32.799999999999997</v>
      </c>
      <c r="D610" s="4">
        <v>41.7</v>
      </c>
      <c r="E610" s="4">
        <v>15.7</v>
      </c>
      <c r="F610" s="4">
        <v>2.9</v>
      </c>
      <c r="G610" s="4">
        <v>6.5</v>
      </c>
      <c r="H610" s="4">
        <v>0.4</v>
      </c>
      <c r="I610" s="4">
        <v>0</v>
      </c>
    </row>
    <row r="611" spans="1:9" x14ac:dyDescent="0.35">
      <c r="A611" s="3" t="s">
        <v>4136</v>
      </c>
      <c r="B611" s="3" t="s">
        <v>1655</v>
      </c>
      <c r="C611" s="4">
        <v>13.4</v>
      </c>
      <c r="D611" s="4">
        <v>40.4</v>
      </c>
      <c r="E611" s="4">
        <v>25.7</v>
      </c>
      <c r="F611" s="4">
        <v>8.3000000000000007</v>
      </c>
      <c r="G611" s="4">
        <v>10</v>
      </c>
      <c r="H611" s="4">
        <v>1.8</v>
      </c>
      <c r="I611" s="4">
        <v>0.4</v>
      </c>
    </row>
    <row r="612" spans="1:9" x14ac:dyDescent="0.35">
      <c r="A612" s="3" t="s">
        <v>4140</v>
      </c>
      <c r="B612" s="3" t="s">
        <v>1657</v>
      </c>
      <c r="C612" s="4">
        <v>9.6</v>
      </c>
      <c r="D612" s="4">
        <v>53.3</v>
      </c>
      <c r="E612" s="4">
        <v>24.8</v>
      </c>
      <c r="F612" s="4">
        <v>7.3</v>
      </c>
      <c r="G612" s="4">
        <v>4.3</v>
      </c>
      <c r="H612" s="4">
        <v>0.6</v>
      </c>
      <c r="I612" s="4">
        <v>0.1</v>
      </c>
    </row>
    <row r="613" spans="1:9" x14ac:dyDescent="0.35">
      <c r="A613" s="3" t="s">
        <v>4812</v>
      </c>
      <c r="B613" s="3" t="s">
        <v>1659</v>
      </c>
      <c r="C613" s="4">
        <v>7.8</v>
      </c>
      <c r="D613" s="4">
        <v>45.6</v>
      </c>
      <c r="E613" s="4">
        <v>35.5</v>
      </c>
      <c r="F613" s="4">
        <v>6</v>
      </c>
      <c r="G613" s="4">
        <v>4.5999999999999996</v>
      </c>
      <c r="H613" s="4">
        <v>0.4</v>
      </c>
      <c r="I613" s="4">
        <v>0</v>
      </c>
    </row>
    <row r="614" spans="1:9" x14ac:dyDescent="0.35">
      <c r="A614" s="3" t="s">
        <v>5244</v>
      </c>
      <c r="B614" s="3" t="s">
        <v>1661</v>
      </c>
      <c r="C614" s="4">
        <v>20.6</v>
      </c>
      <c r="D614" s="4">
        <v>45.9</v>
      </c>
      <c r="E614" s="4">
        <v>19.8</v>
      </c>
      <c r="F614" s="4">
        <v>5.5</v>
      </c>
      <c r="G614" s="4">
        <v>7.5</v>
      </c>
      <c r="H614" s="4">
        <v>0.6</v>
      </c>
      <c r="I614" s="4">
        <v>0.1</v>
      </c>
    </row>
    <row r="615" spans="1:9" x14ac:dyDescent="0.35">
      <c r="A615" s="3" t="s">
        <v>5245</v>
      </c>
      <c r="B615" s="3" t="s">
        <v>1663</v>
      </c>
      <c r="C615" s="4">
        <v>20.6</v>
      </c>
      <c r="D615" s="4">
        <v>45.9</v>
      </c>
      <c r="E615" s="4">
        <v>19.8</v>
      </c>
      <c r="F615" s="4">
        <v>5.5</v>
      </c>
      <c r="G615" s="4">
        <v>7.5</v>
      </c>
      <c r="H615" s="4">
        <v>0.6</v>
      </c>
      <c r="I615" s="4">
        <v>0.1</v>
      </c>
    </row>
    <row r="616" spans="1:9" x14ac:dyDescent="0.35">
      <c r="A616" s="3" t="s">
        <v>5246</v>
      </c>
      <c r="B616" s="3" t="s">
        <v>1669</v>
      </c>
      <c r="C616" s="4">
        <v>20.9</v>
      </c>
      <c r="D616" s="4">
        <v>44.2</v>
      </c>
      <c r="E616" s="4">
        <v>23</v>
      </c>
      <c r="F616" s="4">
        <v>4.5</v>
      </c>
      <c r="G616" s="4">
        <v>6.2</v>
      </c>
      <c r="H616" s="4">
        <v>0.9</v>
      </c>
      <c r="I616" s="4">
        <v>0.3</v>
      </c>
    </row>
    <row r="617" spans="1:9" x14ac:dyDescent="0.35">
      <c r="A617" s="3" t="s">
        <v>5247</v>
      </c>
      <c r="B617" s="3" t="s">
        <v>1671</v>
      </c>
      <c r="C617" s="4">
        <v>20.9</v>
      </c>
      <c r="D617" s="4">
        <v>44.2</v>
      </c>
      <c r="E617" s="4">
        <v>23</v>
      </c>
      <c r="F617" s="4">
        <v>4.5</v>
      </c>
      <c r="G617" s="4">
        <v>6.2</v>
      </c>
      <c r="H617" s="4">
        <v>0.9</v>
      </c>
      <c r="I617" s="4">
        <v>0.3</v>
      </c>
    </row>
    <row r="618" spans="1:9" x14ac:dyDescent="0.35">
      <c r="A618" s="3" t="s">
        <v>5248</v>
      </c>
      <c r="B618" s="3" t="s">
        <v>1673</v>
      </c>
      <c r="C618" s="4">
        <v>20.9</v>
      </c>
      <c r="D618" s="4">
        <v>44.2</v>
      </c>
      <c r="E618" s="4">
        <v>23</v>
      </c>
      <c r="F618" s="4">
        <v>4.5</v>
      </c>
      <c r="G618" s="4">
        <v>6.2</v>
      </c>
      <c r="H618" s="4">
        <v>0.9</v>
      </c>
      <c r="I618" s="4">
        <v>0.3</v>
      </c>
    </row>
    <row r="619" spans="1:9" x14ac:dyDescent="0.35">
      <c r="A619" s="3" t="s">
        <v>5249</v>
      </c>
      <c r="B619" s="3" t="s">
        <v>1677</v>
      </c>
      <c r="C619" s="4">
        <v>17.7</v>
      </c>
      <c r="D619" s="4">
        <v>52.5</v>
      </c>
      <c r="E619" s="4">
        <v>20.100000000000001</v>
      </c>
      <c r="F619" s="4">
        <v>4.7</v>
      </c>
      <c r="G619" s="4">
        <v>4.7</v>
      </c>
      <c r="H619" s="4">
        <v>0.2</v>
      </c>
      <c r="I619" s="4">
        <v>0.1</v>
      </c>
    </row>
    <row r="620" spans="1:9" x14ac:dyDescent="0.35">
      <c r="A620" s="3" t="s">
        <v>5250</v>
      </c>
      <c r="B620" s="3" t="s">
        <v>1679</v>
      </c>
      <c r="C620" s="4">
        <v>17.7</v>
      </c>
      <c r="D620" s="4">
        <v>52.5</v>
      </c>
      <c r="E620" s="4">
        <v>20.100000000000001</v>
      </c>
      <c r="F620" s="4">
        <v>4.7</v>
      </c>
      <c r="G620" s="4">
        <v>4.7</v>
      </c>
      <c r="H620" s="4">
        <v>0.2</v>
      </c>
      <c r="I620" s="4">
        <v>0.1</v>
      </c>
    </row>
    <row r="621" spans="1:9" x14ac:dyDescent="0.35">
      <c r="A621" s="3" t="s">
        <v>4154</v>
      </c>
      <c r="B621" s="3" t="s">
        <v>1681</v>
      </c>
      <c r="C621" s="4">
        <v>10.6</v>
      </c>
      <c r="D621" s="4">
        <v>46.5</v>
      </c>
      <c r="E621" s="4">
        <v>25.1</v>
      </c>
      <c r="F621" s="4">
        <v>6.5</v>
      </c>
      <c r="G621" s="4">
        <v>8.5</v>
      </c>
      <c r="H621" s="4">
        <v>2.7</v>
      </c>
      <c r="I621" s="4">
        <v>0</v>
      </c>
    </row>
    <row r="622" spans="1:9" x14ac:dyDescent="0.35">
      <c r="A622" s="3" t="s">
        <v>5251</v>
      </c>
      <c r="B622" s="3" t="s">
        <v>1685</v>
      </c>
      <c r="C622" s="4">
        <v>10.6</v>
      </c>
      <c r="D622" s="4">
        <v>51.7</v>
      </c>
      <c r="E622" s="4">
        <v>24</v>
      </c>
      <c r="F622" s="4">
        <v>6.9</v>
      </c>
      <c r="G622" s="4">
        <v>6</v>
      </c>
      <c r="H622" s="4">
        <v>0.6</v>
      </c>
      <c r="I622" s="4">
        <v>0.3</v>
      </c>
    </row>
    <row r="623" spans="1:9" x14ac:dyDescent="0.35">
      <c r="A623" s="3" t="s">
        <v>5252</v>
      </c>
      <c r="B623" s="3" t="s">
        <v>1687</v>
      </c>
      <c r="C623" s="4">
        <v>10.6</v>
      </c>
      <c r="D623" s="4">
        <v>51.7</v>
      </c>
      <c r="E623" s="4">
        <v>24</v>
      </c>
      <c r="F623" s="4">
        <v>6.9</v>
      </c>
      <c r="G623" s="4">
        <v>6</v>
      </c>
      <c r="H623" s="4">
        <v>0.6</v>
      </c>
      <c r="I623" s="4">
        <v>0.3</v>
      </c>
    </row>
    <row r="624" spans="1:9" x14ac:dyDescent="0.35">
      <c r="A624" s="3" t="s">
        <v>5253</v>
      </c>
      <c r="B624" s="3" t="s">
        <v>1689</v>
      </c>
      <c r="C624" s="4">
        <v>10.6</v>
      </c>
      <c r="D624" s="4">
        <v>51.7</v>
      </c>
      <c r="E624" s="4">
        <v>24</v>
      </c>
      <c r="F624" s="4">
        <v>6.9</v>
      </c>
      <c r="G624" s="4">
        <v>6</v>
      </c>
      <c r="H624" s="4">
        <v>0.6</v>
      </c>
      <c r="I624" s="4">
        <v>0.3</v>
      </c>
    </row>
    <row r="625" spans="1:9" x14ac:dyDescent="0.35">
      <c r="A625" s="3" t="s">
        <v>5254</v>
      </c>
      <c r="B625" s="3" t="s">
        <v>1691</v>
      </c>
      <c r="C625" s="4">
        <v>10.6</v>
      </c>
      <c r="D625" s="4">
        <v>51.7</v>
      </c>
      <c r="E625" s="4">
        <v>24</v>
      </c>
      <c r="F625" s="4">
        <v>6.9</v>
      </c>
      <c r="G625" s="4">
        <v>6</v>
      </c>
      <c r="H625" s="4">
        <v>0.6</v>
      </c>
      <c r="I625" s="4">
        <v>0.3</v>
      </c>
    </row>
    <row r="626" spans="1:9" x14ac:dyDescent="0.35">
      <c r="A626" s="3" t="s">
        <v>5255</v>
      </c>
      <c r="B626" s="3" t="s">
        <v>1693</v>
      </c>
      <c r="C626" s="4">
        <v>17.5</v>
      </c>
      <c r="D626" s="4">
        <v>53.8</v>
      </c>
      <c r="E626" s="4">
        <v>16.7</v>
      </c>
      <c r="F626" s="4">
        <v>6.2</v>
      </c>
      <c r="G626" s="4">
        <v>5</v>
      </c>
      <c r="H626" s="4">
        <v>0.7</v>
      </c>
      <c r="I626" s="4">
        <v>0.1</v>
      </c>
    </row>
    <row r="627" spans="1:9" x14ac:dyDescent="0.35">
      <c r="A627" s="3" t="s">
        <v>5256</v>
      </c>
      <c r="B627" s="3" t="s">
        <v>1695</v>
      </c>
      <c r="C627" s="4">
        <v>20.9</v>
      </c>
      <c r="D627" s="4">
        <v>44.2</v>
      </c>
      <c r="E627" s="4">
        <v>23</v>
      </c>
      <c r="F627" s="4">
        <v>4.5</v>
      </c>
      <c r="G627" s="4">
        <v>6.2</v>
      </c>
      <c r="H627" s="4">
        <v>0.9</v>
      </c>
      <c r="I627" s="4">
        <v>0.3</v>
      </c>
    </row>
    <row r="628" spans="1:9" x14ac:dyDescent="0.35">
      <c r="A628" s="3" t="s">
        <v>5257</v>
      </c>
      <c r="B628" s="3" t="s">
        <v>1697</v>
      </c>
      <c r="C628" s="4">
        <v>17.5</v>
      </c>
      <c r="D628" s="4">
        <v>53.8</v>
      </c>
      <c r="E628" s="4">
        <v>16.7</v>
      </c>
      <c r="F628" s="4">
        <v>6.2</v>
      </c>
      <c r="G628" s="4">
        <v>5</v>
      </c>
      <c r="H628" s="4">
        <v>0.7</v>
      </c>
      <c r="I628" s="4">
        <v>0.1</v>
      </c>
    </row>
    <row r="629" spans="1:9" x14ac:dyDescent="0.35">
      <c r="A629" s="3" t="s">
        <v>5258</v>
      </c>
      <c r="B629" s="3" t="s">
        <v>1699</v>
      </c>
      <c r="C629" s="4">
        <v>17.5</v>
      </c>
      <c r="D629" s="4">
        <v>53.8</v>
      </c>
      <c r="E629" s="4">
        <v>16.7</v>
      </c>
      <c r="F629" s="4">
        <v>6.2</v>
      </c>
      <c r="G629" s="4">
        <v>5</v>
      </c>
      <c r="H629" s="4">
        <v>0.7</v>
      </c>
      <c r="I629" s="4">
        <v>0.1</v>
      </c>
    </row>
    <row r="630" spans="1:9" x14ac:dyDescent="0.35">
      <c r="A630" s="3" t="s">
        <v>4161</v>
      </c>
      <c r="B630" s="3" t="s">
        <v>1703</v>
      </c>
      <c r="C630" s="4">
        <v>6</v>
      </c>
      <c r="D630" s="4">
        <v>37</v>
      </c>
      <c r="E630" s="4">
        <v>28.7</v>
      </c>
      <c r="F630" s="4">
        <v>13.8</v>
      </c>
      <c r="G630" s="4">
        <v>11.8</v>
      </c>
      <c r="H630" s="4">
        <v>2.7</v>
      </c>
      <c r="I630" s="4">
        <v>0.1</v>
      </c>
    </row>
    <row r="631" spans="1:9" x14ac:dyDescent="0.35">
      <c r="A631" s="3" t="s">
        <v>4164</v>
      </c>
      <c r="B631" s="3" t="s">
        <v>1707</v>
      </c>
      <c r="C631" s="4">
        <v>2.1</v>
      </c>
      <c r="D631" s="4">
        <v>18.8</v>
      </c>
      <c r="E631" s="4">
        <v>30.7</v>
      </c>
      <c r="F631" s="4">
        <v>21.2</v>
      </c>
      <c r="G631" s="4">
        <v>22.1</v>
      </c>
      <c r="H631" s="4">
        <v>4.3</v>
      </c>
      <c r="I631" s="4">
        <v>0.7</v>
      </c>
    </row>
    <row r="632" spans="1:9" x14ac:dyDescent="0.35">
      <c r="A632" s="3" t="s">
        <v>5259</v>
      </c>
      <c r="B632" s="3" t="s">
        <v>1711</v>
      </c>
      <c r="C632" s="4">
        <v>4.2</v>
      </c>
      <c r="D632" s="4">
        <v>28.3</v>
      </c>
      <c r="E632" s="4">
        <v>35.200000000000003</v>
      </c>
      <c r="F632" s="4">
        <v>17.2</v>
      </c>
      <c r="G632" s="4">
        <v>11.9</v>
      </c>
      <c r="H632" s="4">
        <v>2.9</v>
      </c>
      <c r="I632" s="4">
        <v>0.2</v>
      </c>
    </row>
    <row r="633" spans="1:9" x14ac:dyDescent="0.35">
      <c r="A633" s="3" t="s">
        <v>5260</v>
      </c>
      <c r="B633" s="3" t="s">
        <v>1713</v>
      </c>
      <c r="C633" s="4">
        <v>4.2</v>
      </c>
      <c r="D633" s="4">
        <v>28.3</v>
      </c>
      <c r="E633" s="4">
        <v>35.200000000000003</v>
      </c>
      <c r="F633" s="4">
        <v>17.2</v>
      </c>
      <c r="G633" s="4">
        <v>11.9</v>
      </c>
      <c r="H633" s="4">
        <v>2.9</v>
      </c>
      <c r="I633" s="4">
        <v>0.2</v>
      </c>
    </row>
    <row r="634" spans="1:9" x14ac:dyDescent="0.35">
      <c r="A634" s="3" t="s">
        <v>4820</v>
      </c>
      <c r="B634" s="3" t="s">
        <v>1717</v>
      </c>
      <c r="C634" s="4">
        <v>3.1</v>
      </c>
      <c r="D634" s="4">
        <v>22.3</v>
      </c>
      <c r="E634" s="4">
        <v>36.200000000000003</v>
      </c>
      <c r="F634" s="4">
        <v>28.2</v>
      </c>
      <c r="G634" s="4">
        <v>8.4</v>
      </c>
      <c r="H634" s="4">
        <v>1.8</v>
      </c>
      <c r="I634" s="4">
        <v>0</v>
      </c>
    </row>
    <row r="635" spans="1:9" x14ac:dyDescent="0.35">
      <c r="A635" s="3" t="s">
        <v>4821</v>
      </c>
      <c r="B635" s="3" t="s">
        <v>1719</v>
      </c>
      <c r="C635" s="4">
        <v>3.9</v>
      </c>
      <c r="D635" s="4">
        <v>41.2</v>
      </c>
      <c r="E635" s="4">
        <v>28.1</v>
      </c>
      <c r="F635" s="4">
        <v>18.3</v>
      </c>
      <c r="G635" s="4">
        <v>8.1</v>
      </c>
      <c r="H635" s="4">
        <v>0.1</v>
      </c>
      <c r="I635" s="4">
        <v>0.2</v>
      </c>
    </row>
    <row r="636" spans="1:9" x14ac:dyDescent="0.35">
      <c r="A636" s="3" t="s">
        <v>5261</v>
      </c>
      <c r="B636" s="3" t="s">
        <v>1721</v>
      </c>
      <c r="C636" s="4">
        <v>8.4</v>
      </c>
      <c r="D636" s="4">
        <v>32.1</v>
      </c>
      <c r="E636" s="4">
        <v>28.2</v>
      </c>
      <c r="F636" s="4">
        <v>20.6</v>
      </c>
      <c r="G636" s="4">
        <v>8.6</v>
      </c>
      <c r="H636" s="4">
        <v>0.9</v>
      </c>
      <c r="I636" s="4">
        <v>1.2</v>
      </c>
    </row>
    <row r="637" spans="1:9" x14ac:dyDescent="0.35">
      <c r="A637" s="3" t="s">
        <v>5262</v>
      </c>
      <c r="B637" s="3" t="s">
        <v>1723</v>
      </c>
      <c r="C637" s="4">
        <v>8.4</v>
      </c>
      <c r="D637" s="4">
        <v>32.1</v>
      </c>
      <c r="E637" s="4">
        <v>28.2</v>
      </c>
      <c r="F637" s="4">
        <v>20.6</v>
      </c>
      <c r="G637" s="4">
        <v>8.6</v>
      </c>
      <c r="H637" s="4">
        <v>0.9</v>
      </c>
      <c r="I637" s="4">
        <v>1.2</v>
      </c>
    </row>
    <row r="638" spans="1:9" x14ac:dyDescent="0.35">
      <c r="A638" s="3" t="s">
        <v>5263</v>
      </c>
      <c r="B638" s="3" t="s">
        <v>1725</v>
      </c>
      <c r="C638" s="4">
        <v>8.4</v>
      </c>
      <c r="D638" s="4">
        <v>32.1</v>
      </c>
      <c r="E638" s="4">
        <v>28.2</v>
      </c>
      <c r="F638" s="4">
        <v>20.6</v>
      </c>
      <c r="G638" s="4">
        <v>8.6</v>
      </c>
      <c r="H638" s="4">
        <v>0.9</v>
      </c>
      <c r="I638" s="4">
        <v>1.2</v>
      </c>
    </row>
    <row r="639" spans="1:9" x14ac:dyDescent="0.35">
      <c r="A639" s="3" t="s">
        <v>5264</v>
      </c>
      <c r="B639" s="3" t="s">
        <v>1727</v>
      </c>
      <c r="C639" s="4">
        <v>8.4</v>
      </c>
      <c r="D639" s="4">
        <v>32.1</v>
      </c>
      <c r="E639" s="4">
        <v>28.2</v>
      </c>
      <c r="F639" s="4">
        <v>20.6</v>
      </c>
      <c r="G639" s="4">
        <v>8.6</v>
      </c>
      <c r="H639" s="4">
        <v>0.9</v>
      </c>
      <c r="I639" s="4">
        <v>1.2</v>
      </c>
    </row>
    <row r="640" spans="1:9" x14ac:dyDescent="0.35">
      <c r="A640" s="3" t="s">
        <v>4186</v>
      </c>
      <c r="B640" s="3" t="s">
        <v>1729</v>
      </c>
      <c r="C640" s="4">
        <v>8</v>
      </c>
      <c r="D640" s="4">
        <v>33.799999999999997</v>
      </c>
      <c r="E640" s="4">
        <v>32.1</v>
      </c>
      <c r="F640" s="4">
        <v>16</v>
      </c>
      <c r="G640" s="4">
        <v>7.9</v>
      </c>
      <c r="H640" s="4">
        <v>1.9</v>
      </c>
      <c r="I640" s="4">
        <v>0.2</v>
      </c>
    </row>
    <row r="641" spans="1:9" x14ac:dyDescent="0.35">
      <c r="A641" s="3" t="s">
        <v>4823</v>
      </c>
      <c r="B641" s="3" t="s">
        <v>1731</v>
      </c>
      <c r="C641" s="4">
        <v>7.4</v>
      </c>
      <c r="D641" s="4">
        <v>35.9</v>
      </c>
      <c r="E641" s="4">
        <v>34</v>
      </c>
      <c r="F641" s="4">
        <v>10.4</v>
      </c>
      <c r="G641" s="4">
        <v>10.8</v>
      </c>
      <c r="H641" s="4">
        <v>1.3</v>
      </c>
      <c r="I641" s="4">
        <v>0.2</v>
      </c>
    </row>
    <row r="642" spans="1:9" x14ac:dyDescent="0.35">
      <c r="A642" s="3" t="s">
        <v>4824</v>
      </c>
      <c r="B642" s="3" t="s">
        <v>1735</v>
      </c>
      <c r="C642" s="4">
        <v>3.7</v>
      </c>
      <c r="D642" s="4">
        <v>28.2</v>
      </c>
      <c r="E642" s="4">
        <v>33.799999999999997</v>
      </c>
      <c r="F642" s="4">
        <v>23.6</v>
      </c>
      <c r="G642" s="4">
        <v>8.9</v>
      </c>
      <c r="H642" s="4">
        <v>1.6</v>
      </c>
      <c r="I642" s="4">
        <v>0.3</v>
      </c>
    </row>
    <row r="643" spans="1:9" x14ac:dyDescent="0.35">
      <c r="A643" s="3" t="s">
        <v>4190</v>
      </c>
      <c r="B643" s="3" t="s">
        <v>1739</v>
      </c>
      <c r="C643" s="4">
        <v>24.1</v>
      </c>
      <c r="D643" s="4">
        <v>47.6</v>
      </c>
      <c r="E643" s="4">
        <v>18.399999999999999</v>
      </c>
      <c r="F643" s="4">
        <v>6.9</v>
      </c>
      <c r="G643" s="4">
        <v>2.2999999999999998</v>
      </c>
      <c r="H643" s="4">
        <v>0.7</v>
      </c>
      <c r="I643" s="4">
        <v>0</v>
      </c>
    </row>
    <row r="644" spans="1:9" x14ac:dyDescent="0.35">
      <c r="A644" s="3" t="s">
        <v>4825</v>
      </c>
      <c r="B644" s="3" t="s">
        <v>1741</v>
      </c>
      <c r="C644" s="4">
        <v>14.9</v>
      </c>
      <c r="D644" s="4">
        <v>49.7</v>
      </c>
      <c r="E644" s="4">
        <v>25.6</v>
      </c>
      <c r="F644" s="4">
        <v>6.4</v>
      </c>
      <c r="G644" s="4">
        <v>3</v>
      </c>
      <c r="H644" s="4">
        <v>0.3</v>
      </c>
      <c r="I644" s="4">
        <v>0</v>
      </c>
    </row>
    <row r="645" spans="1:9" x14ac:dyDescent="0.35">
      <c r="A645" s="3" t="s">
        <v>4192</v>
      </c>
      <c r="B645" s="3" t="s">
        <v>1743</v>
      </c>
      <c r="C645" s="4">
        <v>15.9</v>
      </c>
      <c r="D645" s="4">
        <v>44.4</v>
      </c>
      <c r="E645" s="4">
        <v>22.3</v>
      </c>
      <c r="F645" s="4">
        <v>13</v>
      </c>
      <c r="G645" s="4">
        <v>3.8</v>
      </c>
      <c r="H645" s="4">
        <v>0.5</v>
      </c>
      <c r="I645" s="4">
        <v>0.2</v>
      </c>
    </row>
    <row r="646" spans="1:9" x14ac:dyDescent="0.35">
      <c r="A646" s="3" t="s">
        <v>4197</v>
      </c>
      <c r="B646" s="3" t="s">
        <v>1745</v>
      </c>
      <c r="C646" s="4">
        <v>12.9</v>
      </c>
      <c r="D646" s="4">
        <v>47.2</v>
      </c>
      <c r="E646" s="4">
        <v>22.8</v>
      </c>
      <c r="F646" s="4">
        <v>13.5</v>
      </c>
      <c r="G646" s="4">
        <v>3.2</v>
      </c>
      <c r="H646" s="4">
        <v>0.4</v>
      </c>
      <c r="I646" s="4">
        <v>0.1</v>
      </c>
    </row>
    <row r="647" spans="1:9" x14ac:dyDescent="0.35">
      <c r="A647" s="3" t="s">
        <v>5265</v>
      </c>
      <c r="B647" s="3" t="s">
        <v>1749</v>
      </c>
      <c r="C647" s="4">
        <v>11.1</v>
      </c>
      <c r="D647" s="4">
        <v>46.9</v>
      </c>
      <c r="E647" s="4">
        <v>24.5</v>
      </c>
      <c r="F647" s="4">
        <v>13.1</v>
      </c>
      <c r="G647" s="4">
        <v>3.6</v>
      </c>
      <c r="H647" s="4">
        <v>0.6</v>
      </c>
      <c r="I647" s="4">
        <v>0.1</v>
      </c>
    </row>
    <row r="648" spans="1:9" x14ac:dyDescent="0.35">
      <c r="A648" s="3" t="s">
        <v>5266</v>
      </c>
      <c r="B648" s="3" t="s">
        <v>1751</v>
      </c>
      <c r="C648" s="4">
        <v>11.1</v>
      </c>
      <c r="D648" s="4">
        <v>46.9</v>
      </c>
      <c r="E648" s="4">
        <v>24.5</v>
      </c>
      <c r="F648" s="4">
        <v>13.1</v>
      </c>
      <c r="G648" s="4">
        <v>3.6</v>
      </c>
      <c r="H648" s="4">
        <v>0.6</v>
      </c>
      <c r="I648" s="4">
        <v>0.1</v>
      </c>
    </row>
    <row r="649" spans="1:9" x14ac:dyDescent="0.35">
      <c r="A649" s="3" t="s">
        <v>5267</v>
      </c>
      <c r="B649" s="3" t="s">
        <v>1753</v>
      </c>
      <c r="C649" s="4">
        <v>11.1</v>
      </c>
      <c r="D649" s="4">
        <v>46.9</v>
      </c>
      <c r="E649" s="4">
        <v>24.5</v>
      </c>
      <c r="F649" s="4">
        <v>13.1</v>
      </c>
      <c r="G649" s="4">
        <v>3.6</v>
      </c>
      <c r="H649" s="4">
        <v>0.6</v>
      </c>
      <c r="I649" s="4">
        <v>0.1</v>
      </c>
    </row>
    <row r="650" spans="1:9" x14ac:dyDescent="0.35">
      <c r="A650" s="3" t="s">
        <v>5268</v>
      </c>
      <c r="B650" s="3" t="s">
        <v>1757</v>
      </c>
      <c r="C650" s="4">
        <v>11.6</v>
      </c>
      <c r="D650" s="4">
        <v>44.4</v>
      </c>
      <c r="E650" s="4">
        <v>27.6</v>
      </c>
      <c r="F650" s="4">
        <v>11</v>
      </c>
      <c r="G650" s="4">
        <v>4.7</v>
      </c>
      <c r="H650" s="4">
        <v>0.5</v>
      </c>
      <c r="I650" s="4">
        <v>0.2</v>
      </c>
    </row>
    <row r="651" spans="1:9" x14ac:dyDescent="0.35">
      <c r="A651" s="3" t="s">
        <v>5269</v>
      </c>
      <c r="B651" s="3" t="s">
        <v>1759</v>
      </c>
      <c r="C651" s="4">
        <v>11.6</v>
      </c>
      <c r="D651" s="4">
        <v>44.4</v>
      </c>
      <c r="E651" s="4">
        <v>27.6</v>
      </c>
      <c r="F651" s="4">
        <v>11</v>
      </c>
      <c r="G651" s="4">
        <v>4.7</v>
      </c>
      <c r="H651" s="4">
        <v>0.5</v>
      </c>
      <c r="I651" s="4">
        <v>0.2</v>
      </c>
    </row>
    <row r="652" spans="1:9" x14ac:dyDescent="0.35">
      <c r="A652" s="3" t="s">
        <v>5270</v>
      </c>
      <c r="B652" s="3" t="s">
        <v>1761</v>
      </c>
      <c r="C652" s="4">
        <v>11.6</v>
      </c>
      <c r="D652" s="4">
        <v>44.4</v>
      </c>
      <c r="E652" s="4">
        <v>27.6</v>
      </c>
      <c r="F652" s="4">
        <v>11</v>
      </c>
      <c r="G652" s="4">
        <v>4.7</v>
      </c>
      <c r="H652" s="4">
        <v>0.5</v>
      </c>
      <c r="I652" s="4">
        <v>0.2</v>
      </c>
    </row>
    <row r="653" spans="1:9" x14ac:dyDescent="0.35">
      <c r="A653" s="3" t="s">
        <v>5271</v>
      </c>
      <c r="B653" s="3" t="s">
        <v>1765</v>
      </c>
      <c r="C653" s="4">
        <v>21.4</v>
      </c>
      <c r="D653" s="4">
        <v>45.4</v>
      </c>
      <c r="E653" s="4">
        <v>17</v>
      </c>
      <c r="F653" s="4">
        <v>8.5</v>
      </c>
      <c r="G653" s="4">
        <v>6.9</v>
      </c>
      <c r="H653" s="4">
        <v>0.7</v>
      </c>
      <c r="I653" s="4">
        <v>0.2</v>
      </c>
    </row>
    <row r="654" spans="1:9" x14ac:dyDescent="0.35">
      <c r="A654" s="3" t="s">
        <v>5272</v>
      </c>
      <c r="B654" s="3" t="s">
        <v>1767</v>
      </c>
      <c r="C654" s="4">
        <v>21.4</v>
      </c>
      <c r="D654" s="4">
        <v>45.4</v>
      </c>
      <c r="E654" s="4">
        <v>17</v>
      </c>
      <c r="F654" s="4">
        <v>8.5</v>
      </c>
      <c r="G654" s="4">
        <v>6.9</v>
      </c>
      <c r="H654" s="4">
        <v>0.7</v>
      </c>
      <c r="I654" s="4">
        <v>0.2</v>
      </c>
    </row>
    <row r="655" spans="1:9" x14ac:dyDescent="0.35">
      <c r="A655" s="3" t="s">
        <v>5273</v>
      </c>
      <c r="B655" s="3" t="s">
        <v>1769</v>
      </c>
      <c r="C655" s="4">
        <v>21.4</v>
      </c>
      <c r="D655" s="4">
        <v>45.4</v>
      </c>
      <c r="E655" s="4">
        <v>17</v>
      </c>
      <c r="F655" s="4">
        <v>8.5</v>
      </c>
      <c r="G655" s="4">
        <v>6.9</v>
      </c>
      <c r="H655" s="4">
        <v>0.7</v>
      </c>
      <c r="I655" s="4">
        <v>0.2</v>
      </c>
    </row>
    <row r="656" spans="1:9" x14ac:dyDescent="0.35">
      <c r="A656" s="3" t="s">
        <v>5274</v>
      </c>
      <c r="B656" s="3" t="s">
        <v>1775</v>
      </c>
      <c r="C656" s="4">
        <v>5.8</v>
      </c>
      <c r="D656" s="4">
        <v>40</v>
      </c>
      <c r="E656" s="4">
        <v>32.5</v>
      </c>
      <c r="F656" s="4">
        <v>13.3</v>
      </c>
      <c r="G656" s="4">
        <v>7.9</v>
      </c>
      <c r="H656" s="4">
        <v>0.5</v>
      </c>
      <c r="I656" s="4">
        <v>0.1</v>
      </c>
    </row>
    <row r="657" spans="1:9" x14ac:dyDescent="0.35">
      <c r="A657" s="3" t="s">
        <v>5275</v>
      </c>
      <c r="B657" s="3" t="s">
        <v>1777</v>
      </c>
      <c r="C657" s="4">
        <v>5.8</v>
      </c>
      <c r="D657" s="4">
        <v>40</v>
      </c>
      <c r="E657" s="4">
        <v>32.5</v>
      </c>
      <c r="F657" s="4">
        <v>13.3</v>
      </c>
      <c r="G657" s="4">
        <v>7.9</v>
      </c>
      <c r="H657" s="4">
        <v>0.5</v>
      </c>
      <c r="I657" s="4">
        <v>0.1</v>
      </c>
    </row>
    <row r="658" spans="1:9" x14ac:dyDescent="0.35">
      <c r="A658" s="3" t="s">
        <v>4222</v>
      </c>
      <c r="B658" s="3" t="s">
        <v>1779</v>
      </c>
      <c r="C658" s="4">
        <v>10</v>
      </c>
      <c r="D658" s="4">
        <v>39.299999999999997</v>
      </c>
      <c r="E658" s="4">
        <v>29.7</v>
      </c>
      <c r="F658" s="4">
        <v>14.9</v>
      </c>
      <c r="G658" s="4">
        <v>5.0999999999999996</v>
      </c>
      <c r="H658" s="4">
        <v>0.8</v>
      </c>
      <c r="I658" s="4">
        <v>0.2</v>
      </c>
    </row>
    <row r="659" spans="1:9" x14ac:dyDescent="0.35">
      <c r="A659" s="3" t="s">
        <v>4829</v>
      </c>
      <c r="B659" s="3" t="s">
        <v>1781</v>
      </c>
      <c r="C659" s="4">
        <v>12.7</v>
      </c>
      <c r="D659" s="4">
        <v>36.6</v>
      </c>
      <c r="E659" s="4">
        <v>26.9</v>
      </c>
      <c r="F659" s="4">
        <v>11.4</v>
      </c>
      <c r="G659" s="4">
        <v>9.5</v>
      </c>
      <c r="H659" s="4">
        <v>2</v>
      </c>
      <c r="I659" s="4">
        <v>1</v>
      </c>
    </row>
    <row r="660" spans="1:9" x14ac:dyDescent="0.35">
      <c r="A660" s="3" t="s">
        <v>5276</v>
      </c>
      <c r="B660" s="3" t="s">
        <v>1785</v>
      </c>
      <c r="C660" s="4">
        <v>9.4</v>
      </c>
      <c r="D660" s="4">
        <v>41.3</v>
      </c>
      <c r="E660" s="4">
        <v>26.6</v>
      </c>
      <c r="F660" s="4">
        <v>15</v>
      </c>
      <c r="G660" s="4">
        <v>6.7</v>
      </c>
      <c r="H660" s="4">
        <v>0.8</v>
      </c>
      <c r="I660" s="4">
        <v>0.2</v>
      </c>
    </row>
    <row r="661" spans="1:9" x14ac:dyDescent="0.35">
      <c r="A661" s="3" t="s">
        <v>4262</v>
      </c>
      <c r="B661" s="3" t="s">
        <v>1787</v>
      </c>
      <c r="C661" s="4">
        <v>9</v>
      </c>
      <c r="D661" s="4">
        <v>50.1</v>
      </c>
      <c r="E661" s="4">
        <v>21.3</v>
      </c>
      <c r="F661" s="4">
        <v>11.7</v>
      </c>
      <c r="G661" s="4">
        <v>6.1</v>
      </c>
      <c r="H661" s="4">
        <v>1.3</v>
      </c>
      <c r="I661" s="4">
        <v>0.5</v>
      </c>
    </row>
    <row r="662" spans="1:9" x14ac:dyDescent="0.35">
      <c r="A662" s="3" t="s">
        <v>4264</v>
      </c>
      <c r="B662" s="3" t="s">
        <v>1789</v>
      </c>
      <c r="C662" s="4">
        <v>8.1999999999999993</v>
      </c>
      <c r="D662" s="4">
        <v>42.7</v>
      </c>
      <c r="E662" s="4">
        <v>30.9</v>
      </c>
      <c r="F662" s="4">
        <v>12.6</v>
      </c>
      <c r="G662" s="4">
        <v>4.5</v>
      </c>
      <c r="H662" s="4">
        <v>0.9</v>
      </c>
      <c r="I662" s="4">
        <v>0.2</v>
      </c>
    </row>
    <row r="663" spans="1:9" x14ac:dyDescent="0.35">
      <c r="A663" s="3" t="s">
        <v>5277</v>
      </c>
      <c r="B663" s="3" t="s">
        <v>1791</v>
      </c>
      <c r="C663" s="4">
        <v>9.4</v>
      </c>
      <c r="D663" s="4">
        <v>41.3</v>
      </c>
      <c r="E663" s="4">
        <v>26.6</v>
      </c>
      <c r="F663" s="4">
        <v>15</v>
      </c>
      <c r="G663" s="4">
        <v>6.7</v>
      </c>
      <c r="H663" s="4">
        <v>0.8</v>
      </c>
      <c r="I663" s="4">
        <v>0.2</v>
      </c>
    </row>
    <row r="664" spans="1:9" x14ac:dyDescent="0.35">
      <c r="A664" s="3" t="s">
        <v>4830</v>
      </c>
      <c r="B664" s="3" t="s">
        <v>1795</v>
      </c>
      <c r="C664" s="4">
        <v>5</v>
      </c>
      <c r="D664" s="4">
        <v>39.6</v>
      </c>
      <c r="E664" s="4">
        <v>30.3</v>
      </c>
      <c r="F664" s="4">
        <v>16.5</v>
      </c>
      <c r="G664" s="4">
        <v>7.6</v>
      </c>
      <c r="H664" s="4">
        <v>0.8</v>
      </c>
      <c r="I664" s="4">
        <v>0.3</v>
      </c>
    </row>
    <row r="665" spans="1:9" x14ac:dyDescent="0.35">
      <c r="A665" s="3" t="s">
        <v>4272</v>
      </c>
      <c r="B665" s="3" t="s">
        <v>1797</v>
      </c>
      <c r="C665" s="4">
        <v>5</v>
      </c>
      <c r="D665" s="4">
        <v>35.9</v>
      </c>
      <c r="E665" s="4">
        <v>34.299999999999997</v>
      </c>
      <c r="F665" s="4">
        <v>13.5</v>
      </c>
      <c r="G665" s="4">
        <v>9.1999999999999993</v>
      </c>
      <c r="H665" s="4">
        <v>1.8</v>
      </c>
      <c r="I665" s="4">
        <v>0.2</v>
      </c>
    </row>
    <row r="666" spans="1:9" x14ac:dyDescent="0.35">
      <c r="A666" s="3" t="s">
        <v>5278</v>
      </c>
      <c r="B666" s="3" t="s">
        <v>1801</v>
      </c>
      <c r="C666" s="4">
        <v>3.2</v>
      </c>
      <c r="D666" s="4">
        <v>23.8</v>
      </c>
      <c r="E666" s="4">
        <v>26.1</v>
      </c>
      <c r="F666" s="4">
        <v>23.3</v>
      </c>
      <c r="G666" s="4">
        <v>19.3</v>
      </c>
      <c r="H666" s="4">
        <v>3.5</v>
      </c>
      <c r="I666" s="4">
        <v>0.7</v>
      </c>
    </row>
    <row r="667" spans="1:9" x14ac:dyDescent="0.35">
      <c r="A667" s="3" t="s">
        <v>5279</v>
      </c>
      <c r="B667" s="3" t="s">
        <v>1803</v>
      </c>
      <c r="C667" s="4">
        <v>3.2</v>
      </c>
      <c r="D667" s="4">
        <v>23.8</v>
      </c>
      <c r="E667" s="4">
        <v>26.1</v>
      </c>
      <c r="F667" s="4">
        <v>23.3</v>
      </c>
      <c r="G667" s="4">
        <v>19.3</v>
      </c>
      <c r="H667" s="4">
        <v>3.5</v>
      </c>
      <c r="I667" s="4">
        <v>0.7</v>
      </c>
    </row>
    <row r="668" spans="1:9" x14ac:dyDescent="0.35">
      <c r="A668" s="3" t="s">
        <v>5280</v>
      </c>
      <c r="B668" s="3" t="s">
        <v>1805</v>
      </c>
      <c r="C668" s="4">
        <v>3.2</v>
      </c>
      <c r="D668" s="4">
        <v>23.8</v>
      </c>
      <c r="E668" s="4">
        <v>26.1</v>
      </c>
      <c r="F668" s="4">
        <v>23.3</v>
      </c>
      <c r="G668" s="4">
        <v>19.3</v>
      </c>
      <c r="H668" s="4">
        <v>3.5</v>
      </c>
      <c r="I668" s="4">
        <v>0.7</v>
      </c>
    </row>
    <row r="669" spans="1:9" x14ac:dyDescent="0.35">
      <c r="A669" s="3" t="s">
        <v>5281</v>
      </c>
      <c r="B669" s="3" t="s">
        <v>1807</v>
      </c>
      <c r="C669" s="4">
        <v>3.2</v>
      </c>
      <c r="D669" s="4">
        <v>23.8</v>
      </c>
      <c r="E669" s="4">
        <v>26.1</v>
      </c>
      <c r="F669" s="4">
        <v>23.3</v>
      </c>
      <c r="G669" s="4">
        <v>19.3</v>
      </c>
      <c r="H669" s="4">
        <v>3.5</v>
      </c>
      <c r="I669" s="4">
        <v>0.7</v>
      </c>
    </row>
    <row r="670" spans="1:9" x14ac:dyDescent="0.35">
      <c r="A670" s="3" t="s">
        <v>5282</v>
      </c>
      <c r="B670" s="3" t="s">
        <v>1809</v>
      </c>
      <c r="C670" s="4">
        <v>3.2</v>
      </c>
      <c r="D670" s="4">
        <v>23.8</v>
      </c>
      <c r="E670" s="4">
        <v>26.1</v>
      </c>
      <c r="F670" s="4">
        <v>23.3</v>
      </c>
      <c r="G670" s="4">
        <v>19.3</v>
      </c>
      <c r="H670" s="4">
        <v>3.5</v>
      </c>
      <c r="I670" s="4">
        <v>0.7</v>
      </c>
    </row>
    <row r="671" spans="1:9" x14ac:dyDescent="0.35">
      <c r="A671" s="3" t="s">
        <v>4279</v>
      </c>
      <c r="B671" s="3" t="s">
        <v>1811</v>
      </c>
      <c r="C671" s="4">
        <v>12.4</v>
      </c>
      <c r="D671" s="4">
        <v>43</v>
      </c>
      <c r="E671" s="4">
        <v>24.5</v>
      </c>
      <c r="F671" s="4">
        <v>11.4</v>
      </c>
      <c r="G671" s="4">
        <v>7.3</v>
      </c>
      <c r="H671" s="4">
        <v>1</v>
      </c>
      <c r="I671" s="4">
        <v>0.3</v>
      </c>
    </row>
    <row r="672" spans="1:9" x14ac:dyDescent="0.35">
      <c r="A672" s="3" t="s">
        <v>5283</v>
      </c>
      <c r="B672" s="3" t="s">
        <v>1813</v>
      </c>
      <c r="C672" s="4">
        <v>13.1</v>
      </c>
      <c r="D672" s="4">
        <v>39.1</v>
      </c>
      <c r="E672" s="4">
        <v>27.1</v>
      </c>
      <c r="F672" s="4">
        <v>9.6999999999999993</v>
      </c>
      <c r="G672" s="4">
        <v>9.3000000000000007</v>
      </c>
      <c r="H672" s="4">
        <v>1.4</v>
      </c>
      <c r="I672" s="4">
        <v>0.3</v>
      </c>
    </row>
    <row r="673" spans="1:9" x14ac:dyDescent="0.35">
      <c r="A673" s="3" t="s">
        <v>4285</v>
      </c>
      <c r="B673" s="3" t="s">
        <v>1817</v>
      </c>
      <c r="C673" s="4">
        <v>8.3000000000000007</v>
      </c>
      <c r="D673" s="4">
        <v>42.1</v>
      </c>
      <c r="E673" s="4">
        <v>27.7</v>
      </c>
      <c r="F673" s="4">
        <v>11.7</v>
      </c>
      <c r="G673" s="4">
        <v>8.4</v>
      </c>
      <c r="H673" s="4">
        <v>1.2</v>
      </c>
      <c r="I673" s="4">
        <v>0.5</v>
      </c>
    </row>
    <row r="674" spans="1:9" x14ac:dyDescent="0.35">
      <c r="A674" s="3" t="s">
        <v>5284</v>
      </c>
      <c r="B674" s="3" t="s">
        <v>1819</v>
      </c>
      <c r="C674" s="4">
        <v>13.1</v>
      </c>
      <c r="D674" s="4">
        <v>39.1</v>
      </c>
      <c r="E674" s="4">
        <v>27.1</v>
      </c>
      <c r="F674" s="4">
        <v>9.6999999999999993</v>
      </c>
      <c r="G674" s="4">
        <v>9.3000000000000007</v>
      </c>
      <c r="H674" s="4">
        <v>1.4</v>
      </c>
      <c r="I674" s="4">
        <v>0.3</v>
      </c>
    </row>
    <row r="675" spans="1:9" x14ac:dyDescent="0.35">
      <c r="A675" s="3" t="s">
        <v>4289</v>
      </c>
      <c r="B675" s="3" t="s">
        <v>1821</v>
      </c>
      <c r="C675" s="4">
        <v>5.4</v>
      </c>
      <c r="D675" s="4">
        <v>47.8</v>
      </c>
      <c r="E675" s="4">
        <v>28.1</v>
      </c>
      <c r="F675" s="4">
        <v>9</v>
      </c>
      <c r="G675" s="4">
        <v>8.6999999999999993</v>
      </c>
      <c r="H675" s="4">
        <v>1</v>
      </c>
      <c r="I675" s="4">
        <v>0</v>
      </c>
    </row>
    <row r="676" spans="1:9" x14ac:dyDescent="0.35">
      <c r="A676" s="3" t="s">
        <v>5285</v>
      </c>
      <c r="B676" s="3" t="s">
        <v>1823</v>
      </c>
      <c r="C676" s="4">
        <v>13.1</v>
      </c>
      <c r="D676" s="4">
        <v>39.1</v>
      </c>
      <c r="E676" s="4">
        <v>27.1</v>
      </c>
      <c r="F676" s="4">
        <v>9.6999999999999993</v>
      </c>
      <c r="G676" s="4">
        <v>9.3000000000000007</v>
      </c>
      <c r="H676" s="4">
        <v>1.4</v>
      </c>
      <c r="I676" s="4">
        <v>0.3</v>
      </c>
    </row>
    <row r="677" spans="1:9" x14ac:dyDescent="0.35">
      <c r="A677" s="3" t="s">
        <v>4834</v>
      </c>
      <c r="B677" s="3" t="s">
        <v>1825</v>
      </c>
      <c r="C677" s="4">
        <v>7.4</v>
      </c>
      <c r="D677" s="4">
        <v>55.5</v>
      </c>
      <c r="E677" s="4">
        <v>19.899999999999999</v>
      </c>
      <c r="F677" s="4">
        <v>5.4</v>
      </c>
      <c r="G677" s="4">
        <v>9.5</v>
      </c>
      <c r="H677" s="4">
        <v>2.2999999999999998</v>
      </c>
      <c r="I677" s="4">
        <v>0</v>
      </c>
    </row>
    <row r="678" spans="1:9" x14ac:dyDescent="0.35">
      <c r="A678" s="3" t="s">
        <v>5286</v>
      </c>
      <c r="B678" s="3" t="s">
        <v>1827</v>
      </c>
      <c r="C678" s="4">
        <v>13.1</v>
      </c>
      <c r="D678" s="4">
        <v>39.1</v>
      </c>
      <c r="E678" s="4">
        <v>27.1</v>
      </c>
      <c r="F678" s="4">
        <v>9.6999999999999993</v>
      </c>
      <c r="G678" s="4">
        <v>9.3000000000000007</v>
      </c>
      <c r="H678" s="4">
        <v>1.4</v>
      </c>
      <c r="I678" s="4">
        <v>0.3</v>
      </c>
    </row>
    <row r="679" spans="1:9" x14ac:dyDescent="0.35">
      <c r="A679" s="3" t="s">
        <v>4836</v>
      </c>
      <c r="B679" s="3" t="s">
        <v>1829</v>
      </c>
      <c r="C679" s="4">
        <v>29.3</v>
      </c>
      <c r="D679" s="4">
        <v>42.6</v>
      </c>
      <c r="E679" s="4">
        <v>18.600000000000001</v>
      </c>
      <c r="F679" s="4">
        <v>3.1</v>
      </c>
      <c r="G679" s="4">
        <v>5.9</v>
      </c>
      <c r="H679" s="4">
        <v>0.5</v>
      </c>
      <c r="I679" s="4">
        <v>0</v>
      </c>
    </row>
    <row r="680" spans="1:9" x14ac:dyDescent="0.35">
      <c r="A680" s="3" t="s">
        <v>5287</v>
      </c>
      <c r="B680" s="3" t="s">
        <v>1831</v>
      </c>
      <c r="C680" s="4">
        <v>13.1</v>
      </c>
      <c r="D680" s="4">
        <v>39.1</v>
      </c>
      <c r="E680" s="4">
        <v>27.1</v>
      </c>
      <c r="F680" s="4">
        <v>9.6999999999999993</v>
      </c>
      <c r="G680" s="4">
        <v>9.3000000000000007</v>
      </c>
      <c r="H680" s="4">
        <v>1.4</v>
      </c>
      <c r="I680" s="4">
        <v>0.3</v>
      </c>
    </row>
    <row r="681" spans="1:9" x14ac:dyDescent="0.35">
      <c r="A681" s="3" t="s">
        <v>4838</v>
      </c>
      <c r="B681" s="3" t="s">
        <v>1835</v>
      </c>
      <c r="C681" s="4">
        <v>9.6999999999999993</v>
      </c>
      <c r="D681" s="4">
        <v>38.5</v>
      </c>
      <c r="E681" s="4">
        <v>26</v>
      </c>
      <c r="F681" s="4">
        <v>9.5</v>
      </c>
      <c r="G681" s="4">
        <v>13</v>
      </c>
      <c r="H681" s="4">
        <v>2.9</v>
      </c>
      <c r="I681" s="4">
        <v>0.4</v>
      </c>
    </row>
    <row r="682" spans="1:9" x14ac:dyDescent="0.35">
      <c r="A682" s="3" t="s">
        <v>5288</v>
      </c>
      <c r="B682" s="3" t="s">
        <v>1839</v>
      </c>
      <c r="C682" s="4">
        <v>16.100000000000001</v>
      </c>
      <c r="D682" s="4">
        <v>47.5</v>
      </c>
      <c r="E682" s="4">
        <v>21.4</v>
      </c>
      <c r="F682" s="4">
        <v>7.4</v>
      </c>
      <c r="G682" s="4">
        <v>6.4</v>
      </c>
      <c r="H682" s="4">
        <v>0.9</v>
      </c>
      <c r="I682" s="4">
        <v>0.3</v>
      </c>
    </row>
    <row r="683" spans="1:9" x14ac:dyDescent="0.35">
      <c r="A683" s="3" t="s">
        <v>5289</v>
      </c>
      <c r="B683" s="3" t="s">
        <v>1843</v>
      </c>
      <c r="C683" s="4">
        <v>16.899999999999999</v>
      </c>
      <c r="D683" s="4">
        <v>44.1</v>
      </c>
      <c r="E683" s="4">
        <v>22.6</v>
      </c>
      <c r="F683" s="4">
        <v>8.4</v>
      </c>
      <c r="G683" s="4">
        <v>6.7</v>
      </c>
      <c r="H683" s="4">
        <v>1</v>
      </c>
      <c r="I683" s="4">
        <v>0.4</v>
      </c>
    </row>
    <row r="684" spans="1:9" x14ac:dyDescent="0.35">
      <c r="A684" s="3" t="s">
        <v>5290</v>
      </c>
      <c r="B684" s="3" t="s">
        <v>1845</v>
      </c>
      <c r="C684" s="4">
        <v>16.899999999999999</v>
      </c>
      <c r="D684" s="4">
        <v>44.1</v>
      </c>
      <c r="E684" s="4">
        <v>22.6</v>
      </c>
      <c r="F684" s="4">
        <v>8.4</v>
      </c>
      <c r="G684" s="4">
        <v>6.7</v>
      </c>
      <c r="H684" s="4">
        <v>1</v>
      </c>
      <c r="I684" s="4">
        <v>0.4</v>
      </c>
    </row>
    <row r="685" spans="1:9" x14ac:dyDescent="0.35">
      <c r="A685" s="3" t="s">
        <v>4299</v>
      </c>
      <c r="B685" s="3" t="s">
        <v>1847</v>
      </c>
      <c r="C685" s="4">
        <v>11.2</v>
      </c>
      <c r="D685" s="4">
        <v>42</v>
      </c>
      <c r="E685" s="4">
        <v>33.9</v>
      </c>
      <c r="F685" s="4">
        <v>5.8</v>
      </c>
      <c r="G685" s="4">
        <v>6.2</v>
      </c>
      <c r="H685" s="4">
        <v>0.8</v>
      </c>
      <c r="I685" s="4">
        <v>0</v>
      </c>
    </row>
    <row r="686" spans="1:9" x14ac:dyDescent="0.35">
      <c r="A686" s="3" t="s">
        <v>4302</v>
      </c>
      <c r="B686" s="3" t="s">
        <v>1849</v>
      </c>
      <c r="C686" s="4">
        <v>12</v>
      </c>
      <c r="D686" s="4">
        <v>48.6</v>
      </c>
      <c r="E686" s="4">
        <v>24</v>
      </c>
      <c r="F686" s="4">
        <v>9.3000000000000007</v>
      </c>
      <c r="G686" s="4">
        <v>5.0999999999999996</v>
      </c>
      <c r="H686" s="4">
        <v>1.1000000000000001</v>
      </c>
      <c r="I686" s="4">
        <v>0</v>
      </c>
    </row>
    <row r="687" spans="1:9" x14ac:dyDescent="0.35">
      <c r="A687" s="3" t="s">
        <v>5291</v>
      </c>
      <c r="B687" s="3" t="s">
        <v>1851</v>
      </c>
      <c r="C687" s="4">
        <v>16.100000000000001</v>
      </c>
      <c r="D687" s="4">
        <v>47.5</v>
      </c>
      <c r="E687" s="4">
        <v>21.4</v>
      </c>
      <c r="F687" s="4">
        <v>7.4</v>
      </c>
      <c r="G687" s="4">
        <v>6.4</v>
      </c>
      <c r="H687" s="4">
        <v>0.9</v>
      </c>
      <c r="I687" s="4">
        <v>0.3</v>
      </c>
    </row>
    <row r="688" spans="1:9" x14ac:dyDescent="0.35">
      <c r="A688" s="3" t="s">
        <v>5292</v>
      </c>
      <c r="B688" s="3" t="s">
        <v>1853</v>
      </c>
      <c r="C688" s="4">
        <v>16.100000000000001</v>
      </c>
      <c r="D688" s="4">
        <v>47.5</v>
      </c>
      <c r="E688" s="4">
        <v>21.4</v>
      </c>
      <c r="F688" s="4">
        <v>7.4</v>
      </c>
      <c r="G688" s="4">
        <v>6.4</v>
      </c>
      <c r="H688" s="4">
        <v>0.9</v>
      </c>
      <c r="I688" s="4">
        <v>0.3</v>
      </c>
    </row>
    <row r="689" spans="1:9" x14ac:dyDescent="0.35">
      <c r="A689" s="3" t="s">
        <v>5293</v>
      </c>
      <c r="B689" s="3" t="s">
        <v>1855</v>
      </c>
      <c r="C689" s="4">
        <v>16.100000000000001</v>
      </c>
      <c r="D689" s="4">
        <v>47.5</v>
      </c>
      <c r="E689" s="4">
        <v>21.4</v>
      </c>
      <c r="F689" s="4">
        <v>7.4</v>
      </c>
      <c r="G689" s="4">
        <v>6.4</v>
      </c>
      <c r="H689" s="4">
        <v>0.9</v>
      </c>
      <c r="I689" s="4">
        <v>0.3</v>
      </c>
    </row>
    <row r="690" spans="1:9" x14ac:dyDescent="0.35">
      <c r="A690" s="3" t="s">
        <v>4307</v>
      </c>
      <c r="B690" s="3" t="s">
        <v>1859</v>
      </c>
      <c r="C690" s="4">
        <v>19.600000000000001</v>
      </c>
      <c r="D690" s="4">
        <v>37.6</v>
      </c>
      <c r="E690" s="4">
        <v>20.399999999999999</v>
      </c>
      <c r="F690" s="4">
        <v>8.8000000000000007</v>
      </c>
      <c r="G690" s="4">
        <v>11.4</v>
      </c>
      <c r="H690" s="4">
        <v>1.4</v>
      </c>
      <c r="I690" s="4">
        <v>0.7</v>
      </c>
    </row>
    <row r="691" spans="1:9" x14ac:dyDescent="0.35">
      <c r="A691" s="3" t="s">
        <v>5294</v>
      </c>
      <c r="B691" s="3" t="s">
        <v>1863</v>
      </c>
      <c r="C691" s="4">
        <v>28.5</v>
      </c>
      <c r="D691" s="4">
        <v>43</v>
      </c>
      <c r="E691" s="4">
        <v>18.899999999999999</v>
      </c>
      <c r="F691" s="4">
        <v>4.5999999999999996</v>
      </c>
      <c r="G691" s="4">
        <v>4.5</v>
      </c>
      <c r="H691" s="4">
        <v>0.6</v>
      </c>
      <c r="I691" s="4">
        <v>0.1</v>
      </c>
    </row>
    <row r="692" spans="1:9" x14ac:dyDescent="0.35">
      <c r="A692" s="3" t="s">
        <v>5295</v>
      </c>
      <c r="B692" s="3" t="s">
        <v>1865</v>
      </c>
      <c r="C692" s="4">
        <v>28.5</v>
      </c>
      <c r="D692" s="4">
        <v>43</v>
      </c>
      <c r="E692" s="4">
        <v>18.899999999999999</v>
      </c>
      <c r="F692" s="4">
        <v>4.5999999999999996</v>
      </c>
      <c r="G692" s="4">
        <v>4.5</v>
      </c>
      <c r="H692" s="4">
        <v>0.6</v>
      </c>
      <c r="I692" s="4">
        <v>0.1</v>
      </c>
    </row>
    <row r="693" spans="1:9" x14ac:dyDescent="0.35">
      <c r="A693" s="3" t="s">
        <v>5296</v>
      </c>
      <c r="B693" s="3" t="s">
        <v>1867</v>
      </c>
      <c r="C693" s="4">
        <v>28.5</v>
      </c>
      <c r="D693" s="4">
        <v>43</v>
      </c>
      <c r="E693" s="4">
        <v>18.899999999999999</v>
      </c>
      <c r="F693" s="4">
        <v>4.5999999999999996</v>
      </c>
      <c r="G693" s="4">
        <v>4.5</v>
      </c>
      <c r="H693" s="4">
        <v>0.6</v>
      </c>
      <c r="I693" s="4">
        <v>0.1</v>
      </c>
    </row>
    <row r="694" spans="1:9" x14ac:dyDescent="0.35">
      <c r="A694" s="3" t="s">
        <v>4842</v>
      </c>
      <c r="B694" s="3" t="s">
        <v>1871</v>
      </c>
      <c r="C694" s="4">
        <v>13.2</v>
      </c>
      <c r="D694" s="4">
        <v>46.3</v>
      </c>
      <c r="E694" s="4">
        <v>20.7</v>
      </c>
      <c r="F694" s="4">
        <v>3.6</v>
      </c>
      <c r="G694" s="4">
        <v>14.5</v>
      </c>
      <c r="H694" s="4">
        <v>1.7</v>
      </c>
      <c r="I694" s="4">
        <v>0</v>
      </c>
    </row>
    <row r="695" spans="1:9" x14ac:dyDescent="0.35">
      <c r="A695" s="3" t="s">
        <v>4311</v>
      </c>
      <c r="B695" s="3" t="s">
        <v>1873</v>
      </c>
      <c r="C695" s="4">
        <v>19.5</v>
      </c>
      <c r="D695" s="4">
        <v>38.299999999999997</v>
      </c>
      <c r="E695" s="4">
        <v>24.3</v>
      </c>
      <c r="F695" s="4">
        <v>8.1999999999999993</v>
      </c>
      <c r="G695" s="4">
        <v>8.1</v>
      </c>
      <c r="H695" s="4">
        <v>1.2</v>
      </c>
      <c r="I695" s="4">
        <v>0.5</v>
      </c>
    </row>
    <row r="696" spans="1:9" x14ac:dyDescent="0.35">
      <c r="A696" s="3" t="s">
        <v>4313</v>
      </c>
      <c r="B696" s="3" t="s">
        <v>1875</v>
      </c>
      <c r="C696" s="4">
        <v>23.8</v>
      </c>
      <c r="D696" s="4">
        <v>43.8</v>
      </c>
      <c r="E696" s="4">
        <v>14.3</v>
      </c>
      <c r="F696" s="4">
        <v>6.5</v>
      </c>
      <c r="G696" s="4">
        <v>9.6</v>
      </c>
      <c r="H696" s="4">
        <v>0.9</v>
      </c>
      <c r="I696" s="4">
        <v>1.2</v>
      </c>
    </row>
    <row r="697" spans="1:9" x14ac:dyDescent="0.35">
      <c r="A697" s="3" t="s">
        <v>4843</v>
      </c>
      <c r="B697" s="3" t="s">
        <v>1877</v>
      </c>
      <c r="C697" s="4">
        <v>25.3</v>
      </c>
      <c r="D697" s="4">
        <v>44.6</v>
      </c>
      <c r="E697" s="4">
        <v>19.600000000000001</v>
      </c>
      <c r="F697" s="4">
        <v>5.8</v>
      </c>
      <c r="G697" s="4">
        <v>3.8</v>
      </c>
      <c r="H697" s="4">
        <v>0.7</v>
      </c>
      <c r="I697" s="4">
        <v>0.2</v>
      </c>
    </row>
    <row r="698" spans="1:9" x14ac:dyDescent="0.35">
      <c r="A698" s="3" t="s">
        <v>5297</v>
      </c>
      <c r="B698" s="3" t="s">
        <v>1883</v>
      </c>
      <c r="C698" s="4">
        <v>14.4</v>
      </c>
      <c r="D698" s="4">
        <v>48.6</v>
      </c>
      <c r="E698" s="4">
        <v>23.1</v>
      </c>
      <c r="F698" s="4">
        <v>9.4</v>
      </c>
      <c r="G698" s="4">
        <v>2.5</v>
      </c>
      <c r="H698" s="4">
        <v>1.4</v>
      </c>
      <c r="I698" s="4">
        <v>0.5</v>
      </c>
    </row>
    <row r="699" spans="1:9" x14ac:dyDescent="0.35">
      <c r="A699" s="3" t="s">
        <v>5298</v>
      </c>
      <c r="B699" s="3" t="s">
        <v>1885</v>
      </c>
      <c r="C699" s="4">
        <v>14.4</v>
      </c>
      <c r="D699" s="4">
        <v>48.6</v>
      </c>
      <c r="E699" s="4">
        <v>23.1</v>
      </c>
      <c r="F699" s="4">
        <v>9.4</v>
      </c>
      <c r="G699" s="4">
        <v>2.5</v>
      </c>
      <c r="H699" s="4">
        <v>1.4</v>
      </c>
      <c r="I699" s="4">
        <v>0.5</v>
      </c>
    </row>
    <row r="700" spans="1:9" x14ac:dyDescent="0.35">
      <c r="A700" s="3" t="s">
        <v>5299</v>
      </c>
      <c r="B700" s="3" t="s">
        <v>1887</v>
      </c>
      <c r="C700" s="4">
        <v>14.4</v>
      </c>
      <c r="D700" s="4">
        <v>48.6</v>
      </c>
      <c r="E700" s="4">
        <v>23.1</v>
      </c>
      <c r="F700" s="4">
        <v>9.4</v>
      </c>
      <c r="G700" s="4">
        <v>2.5</v>
      </c>
      <c r="H700" s="4">
        <v>1.4</v>
      </c>
      <c r="I700" s="4">
        <v>0.5</v>
      </c>
    </row>
    <row r="701" spans="1:9" x14ac:dyDescent="0.35">
      <c r="A701" s="3" t="s">
        <v>4321</v>
      </c>
      <c r="B701" s="3" t="s">
        <v>1891</v>
      </c>
      <c r="C701" s="4">
        <v>18.5</v>
      </c>
      <c r="D701" s="4">
        <v>53.1</v>
      </c>
      <c r="E701" s="4">
        <v>18.8</v>
      </c>
      <c r="F701" s="4">
        <v>5.9</v>
      </c>
      <c r="G701" s="4">
        <v>3.4</v>
      </c>
      <c r="H701" s="4">
        <v>0.1</v>
      </c>
      <c r="I701" s="4">
        <v>0.2</v>
      </c>
    </row>
    <row r="702" spans="1:9" x14ac:dyDescent="0.35">
      <c r="A702" s="3" t="s">
        <v>5300</v>
      </c>
      <c r="B702" s="3" t="s">
        <v>1893</v>
      </c>
      <c r="C702" s="4">
        <v>15.4</v>
      </c>
      <c r="D702" s="4">
        <v>46.6</v>
      </c>
      <c r="E702" s="4">
        <v>28.8</v>
      </c>
      <c r="F702" s="4">
        <v>5.4</v>
      </c>
      <c r="G702" s="4">
        <v>2</v>
      </c>
      <c r="H702" s="4">
        <v>1.9</v>
      </c>
      <c r="I702" s="4">
        <v>0</v>
      </c>
    </row>
    <row r="703" spans="1:9" x14ac:dyDescent="0.35">
      <c r="A703" s="3" t="s">
        <v>4324</v>
      </c>
      <c r="B703" s="3" t="s">
        <v>1895</v>
      </c>
      <c r="C703" s="4">
        <v>20.100000000000001</v>
      </c>
      <c r="D703" s="4">
        <v>48.2</v>
      </c>
      <c r="E703" s="4">
        <v>19.3</v>
      </c>
      <c r="F703" s="4">
        <v>8.1999999999999993</v>
      </c>
      <c r="G703" s="4">
        <v>4.0999999999999996</v>
      </c>
      <c r="H703" s="4">
        <v>0.1</v>
      </c>
      <c r="I703" s="4">
        <v>0.1</v>
      </c>
    </row>
    <row r="704" spans="1:9" x14ac:dyDescent="0.35">
      <c r="A704" s="3" t="s">
        <v>5301</v>
      </c>
      <c r="B704" s="3" t="s">
        <v>1897</v>
      </c>
      <c r="C704" s="4">
        <v>15.4</v>
      </c>
      <c r="D704" s="4">
        <v>46.6</v>
      </c>
      <c r="E704" s="4">
        <v>28.8</v>
      </c>
      <c r="F704" s="4">
        <v>5.4</v>
      </c>
      <c r="G704" s="4">
        <v>2</v>
      </c>
      <c r="H704" s="4">
        <v>1.9</v>
      </c>
      <c r="I704" s="4">
        <v>0</v>
      </c>
    </row>
    <row r="705" spans="1:9" x14ac:dyDescent="0.35">
      <c r="A705" s="3" t="s">
        <v>5302</v>
      </c>
      <c r="B705" s="3" t="s">
        <v>1899</v>
      </c>
      <c r="C705" s="4">
        <v>15.4</v>
      </c>
      <c r="D705" s="4">
        <v>46.6</v>
      </c>
      <c r="E705" s="4">
        <v>28.8</v>
      </c>
      <c r="F705" s="4">
        <v>5.4</v>
      </c>
      <c r="G705" s="4">
        <v>2</v>
      </c>
      <c r="H705" s="4">
        <v>1.9</v>
      </c>
      <c r="I705" s="4">
        <v>0</v>
      </c>
    </row>
    <row r="706" spans="1:9" x14ac:dyDescent="0.35">
      <c r="A706" s="3" t="s">
        <v>4844</v>
      </c>
      <c r="B706" s="3" t="s">
        <v>1901</v>
      </c>
      <c r="C706" s="4">
        <v>8.8000000000000007</v>
      </c>
      <c r="D706" s="4">
        <v>45.1</v>
      </c>
      <c r="E706" s="4">
        <v>28.3</v>
      </c>
      <c r="F706" s="4">
        <v>12.8</v>
      </c>
      <c r="G706" s="4">
        <v>4.3</v>
      </c>
      <c r="H706" s="4">
        <v>0.6</v>
      </c>
      <c r="I706" s="4">
        <v>0.1</v>
      </c>
    </row>
    <row r="707" spans="1:9" x14ac:dyDescent="0.35">
      <c r="A707" s="3" t="s">
        <v>5303</v>
      </c>
      <c r="B707" s="3" t="s">
        <v>1905</v>
      </c>
      <c r="C707" s="4">
        <v>12.1</v>
      </c>
      <c r="D707" s="4">
        <v>51.7</v>
      </c>
      <c r="E707" s="4">
        <v>22.1</v>
      </c>
      <c r="F707" s="4">
        <v>6.2</v>
      </c>
      <c r="G707" s="4">
        <v>6.8</v>
      </c>
      <c r="H707" s="4">
        <v>0.8</v>
      </c>
      <c r="I707" s="4">
        <v>0.4</v>
      </c>
    </row>
    <row r="708" spans="1:9" x14ac:dyDescent="0.35">
      <c r="A708" s="3" t="s">
        <v>5304</v>
      </c>
      <c r="B708" s="3" t="s">
        <v>1907</v>
      </c>
      <c r="C708" s="4">
        <v>12.1</v>
      </c>
      <c r="D708" s="4">
        <v>51.7</v>
      </c>
      <c r="E708" s="4">
        <v>22.1</v>
      </c>
      <c r="F708" s="4">
        <v>6.2</v>
      </c>
      <c r="G708" s="4">
        <v>6.8</v>
      </c>
      <c r="H708" s="4">
        <v>0.8</v>
      </c>
      <c r="I708" s="4">
        <v>0.4</v>
      </c>
    </row>
    <row r="709" spans="1:9" x14ac:dyDescent="0.35">
      <c r="A709" s="3" t="s">
        <v>5305</v>
      </c>
      <c r="B709" s="3" t="s">
        <v>1911</v>
      </c>
      <c r="C709" s="4">
        <v>12.6</v>
      </c>
      <c r="D709" s="4">
        <v>41.3</v>
      </c>
      <c r="E709" s="4">
        <v>25.8</v>
      </c>
      <c r="F709" s="4">
        <v>12.7</v>
      </c>
      <c r="G709" s="4">
        <v>6.2</v>
      </c>
      <c r="H709" s="4">
        <v>1.2</v>
      </c>
      <c r="I709" s="4">
        <v>0.2</v>
      </c>
    </row>
    <row r="710" spans="1:9" x14ac:dyDescent="0.35">
      <c r="A710" s="3" t="s">
        <v>5306</v>
      </c>
      <c r="B710" s="3" t="s">
        <v>1913</v>
      </c>
      <c r="C710" s="4">
        <v>12.6</v>
      </c>
      <c r="D710" s="4">
        <v>41.3</v>
      </c>
      <c r="E710" s="4">
        <v>25.8</v>
      </c>
      <c r="F710" s="4">
        <v>12.7</v>
      </c>
      <c r="G710" s="4">
        <v>6.2</v>
      </c>
      <c r="H710" s="4">
        <v>1.2</v>
      </c>
      <c r="I710" s="4">
        <v>0.2</v>
      </c>
    </row>
    <row r="711" spans="1:9" x14ac:dyDescent="0.35">
      <c r="A711" s="3" t="s">
        <v>5307</v>
      </c>
      <c r="B711" s="3" t="s">
        <v>1917</v>
      </c>
      <c r="C711" s="4">
        <v>12.6</v>
      </c>
      <c r="D711" s="4">
        <v>41.3</v>
      </c>
      <c r="E711" s="4">
        <v>25.8</v>
      </c>
      <c r="F711" s="4">
        <v>12.7</v>
      </c>
      <c r="G711" s="4">
        <v>6.2</v>
      </c>
      <c r="H711" s="4">
        <v>1.2</v>
      </c>
      <c r="I711" s="4">
        <v>0.2</v>
      </c>
    </row>
    <row r="712" spans="1:9" x14ac:dyDescent="0.35">
      <c r="A712" s="3" t="s">
        <v>5308</v>
      </c>
      <c r="B712" s="3" t="s">
        <v>1919</v>
      </c>
      <c r="C712" s="4">
        <v>12.6</v>
      </c>
      <c r="D712" s="4">
        <v>41.3</v>
      </c>
      <c r="E712" s="4">
        <v>25.8</v>
      </c>
      <c r="F712" s="4">
        <v>12.7</v>
      </c>
      <c r="G712" s="4">
        <v>6.2</v>
      </c>
      <c r="H712" s="4">
        <v>1.2</v>
      </c>
      <c r="I712" s="4">
        <v>0.2</v>
      </c>
    </row>
    <row r="713" spans="1:9" x14ac:dyDescent="0.35">
      <c r="A713" s="3" t="s">
        <v>5309</v>
      </c>
      <c r="B713" s="3" t="s">
        <v>1921</v>
      </c>
      <c r="C713" s="4">
        <v>17.600000000000001</v>
      </c>
      <c r="D713" s="4">
        <v>48.5</v>
      </c>
      <c r="E713" s="4">
        <v>21.3</v>
      </c>
      <c r="F713" s="4">
        <v>6.8</v>
      </c>
      <c r="G713" s="4">
        <v>4.8</v>
      </c>
      <c r="H713" s="4">
        <v>1</v>
      </c>
      <c r="I713" s="4">
        <v>0.2</v>
      </c>
    </row>
    <row r="714" spans="1:9" x14ac:dyDescent="0.35">
      <c r="A714" s="3" t="s">
        <v>4339</v>
      </c>
      <c r="B714" s="3" t="s">
        <v>1923</v>
      </c>
      <c r="C714" s="4">
        <v>5.2</v>
      </c>
      <c r="D714" s="4">
        <v>42.1</v>
      </c>
      <c r="E714" s="4">
        <v>31.8</v>
      </c>
      <c r="F714" s="4">
        <v>16.3</v>
      </c>
      <c r="G714" s="4">
        <v>3.1</v>
      </c>
      <c r="H714" s="4">
        <v>1</v>
      </c>
      <c r="I714" s="4">
        <v>0.5</v>
      </c>
    </row>
    <row r="715" spans="1:9" x14ac:dyDescent="0.35">
      <c r="A715" s="3" t="s">
        <v>5310</v>
      </c>
      <c r="B715" s="3" t="s">
        <v>1927</v>
      </c>
      <c r="C715" s="4">
        <v>18.8</v>
      </c>
      <c r="D715" s="4">
        <v>47</v>
      </c>
      <c r="E715" s="4">
        <v>22.2</v>
      </c>
      <c r="F715" s="4">
        <v>8.9</v>
      </c>
      <c r="G715" s="4">
        <v>2.4</v>
      </c>
      <c r="H715" s="4">
        <v>0.5</v>
      </c>
      <c r="I715" s="4">
        <v>0.1</v>
      </c>
    </row>
    <row r="716" spans="1:9" x14ac:dyDescent="0.35">
      <c r="A716" s="3" t="s">
        <v>5311</v>
      </c>
      <c r="B716" s="3" t="s">
        <v>1929</v>
      </c>
      <c r="C716" s="4">
        <v>18.8</v>
      </c>
      <c r="D716" s="4">
        <v>47</v>
      </c>
      <c r="E716" s="4">
        <v>22.2</v>
      </c>
      <c r="F716" s="4">
        <v>8.9</v>
      </c>
      <c r="G716" s="4">
        <v>2.4</v>
      </c>
      <c r="H716" s="4">
        <v>0.5</v>
      </c>
      <c r="I716" s="4">
        <v>0.1</v>
      </c>
    </row>
    <row r="717" spans="1:9" x14ac:dyDescent="0.35">
      <c r="A717" s="3" t="s">
        <v>5312</v>
      </c>
      <c r="B717" s="3" t="s">
        <v>1933</v>
      </c>
      <c r="C717" s="4">
        <v>17.600000000000001</v>
      </c>
      <c r="D717" s="4">
        <v>48.5</v>
      </c>
      <c r="E717" s="4">
        <v>21.3</v>
      </c>
      <c r="F717" s="4">
        <v>6.8</v>
      </c>
      <c r="G717" s="4">
        <v>4.8</v>
      </c>
      <c r="H717" s="4">
        <v>1</v>
      </c>
      <c r="I717" s="4">
        <v>0.2</v>
      </c>
    </row>
    <row r="718" spans="1:9" x14ac:dyDescent="0.35">
      <c r="A718" s="3" t="s">
        <v>5313</v>
      </c>
      <c r="B718" s="3" t="s">
        <v>1935</v>
      </c>
      <c r="C718" s="4">
        <v>17.600000000000001</v>
      </c>
      <c r="D718" s="4">
        <v>48.5</v>
      </c>
      <c r="E718" s="4">
        <v>21.3</v>
      </c>
      <c r="F718" s="4">
        <v>6.8</v>
      </c>
      <c r="G718" s="4">
        <v>4.8</v>
      </c>
      <c r="H718" s="4">
        <v>1</v>
      </c>
      <c r="I718" s="4">
        <v>0.2</v>
      </c>
    </row>
    <row r="719" spans="1:9" x14ac:dyDescent="0.35">
      <c r="A719" s="3" t="s">
        <v>5314</v>
      </c>
      <c r="B719" s="3" t="s">
        <v>1937</v>
      </c>
      <c r="C719" s="4">
        <v>17.600000000000001</v>
      </c>
      <c r="D719" s="4">
        <v>48.5</v>
      </c>
      <c r="E719" s="4">
        <v>21.3</v>
      </c>
      <c r="F719" s="4">
        <v>6.8</v>
      </c>
      <c r="G719" s="4">
        <v>4.8</v>
      </c>
      <c r="H719" s="4">
        <v>1</v>
      </c>
      <c r="I719" s="4">
        <v>0.2</v>
      </c>
    </row>
    <row r="720" spans="1:9" x14ac:dyDescent="0.35">
      <c r="A720" s="3" t="s">
        <v>5315</v>
      </c>
      <c r="B720" s="3" t="s">
        <v>1939</v>
      </c>
      <c r="C720" s="4">
        <v>17.600000000000001</v>
      </c>
      <c r="D720" s="4">
        <v>48.5</v>
      </c>
      <c r="E720" s="4">
        <v>21.3</v>
      </c>
      <c r="F720" s="4">
        <v>6.8</v>
      </c>
      <c r="G720" s="4">
        <v>4.8</v>
      </c>
      <c r="H720" s="4">
        <v>1</v>
      </c>
      <c r="I720" s="4">
        <v>0.2</v>
      </c>
    </row>
    <row r="721" spans="1:9" x14ac:dyDescent="0.35">
      <c r="A721" s="3" t="s">
        <v>5316</v>
      </c>
      <c r="B721" s="3" t="s">
        <v>1941</v>
      </c>
      <c r="C721" s="4">
        <v>17.600000000000001</v>
      </c>
      <c r="D721" s="4">
        <v>48.5</v>
      </c>
      <c r="E721" s="4">
        <v>21.3</v>
      </c>
      <c r="F721" s="4">
        <v>6.8</v>
      </c>
      <c r="G721" s="4">
        <v>4.8</v>
      </c>
      <c r="H721" s="4">
        <v>1</v>
      </c>
      <c r="I721" s="4">
        <v>0.2</v>
      </c>
    </row>
    <row r="722" spans="1:9" x14ac:dyDescent="0.35">
      <c r="A722" s="3" t="s">
        <v>4356</v>
      </c>
      <c r="B722" s="3" t="s">
        <v>1945</v>
      </c>
      <c r="C722" s="4">
        <v>6.2</v>
      </c>
      <c r="D722" s="4">
        <v>36.200000000000003</v>
      </c>
      <c r="E722" s="4">
        <v>23.3</v>
      </c>
      <c r="F722" s="4">
        <v>11.6</v>
      </c>
      <c r="G722" s="4">
        <v>18.399999999999999</v>
      </c>
      <c r="H722" s="4">
        <v>3.2</v>
      </c>
      <c r="I722" s="4">
        <v>0.9</v>
      </c>
    </row>
    <row r="723" spans="1:9" x14ac:dyDescent="0.35">
      <c r="A723" s="3" t="s">
        <v>4846</v>
      </c>
      <c r="B723" s="3" t="s">
        <v>1947</v>
      </c>
      <c r="C723" s="4">
        <v>11.8</v>
      </c>
      <c r="D723" s="4">
        <v>45.9</v>
      </c>
      <c r="E723" s="4">
        <v>23.4</v>
      </c>
      <c r="F723" s="4">
        <v>9.4</v>
      </c>
      <c r="G723" s="4">
        <v>8.5</v>
      </c>
      <c r="H723" s="4">
        <v>0.5</v>
      </c>
      <c r="I723" s="4">
        <v>0.4</v>
      </c>
    </row>
    <row r="724" spans="1:9" x14ac:dyDescent="0.35">
      <c r="A724" s="3" t="s">
        <v>4360</v>
      </c>
      <c r="B724" s="3" t="s">
        <v>1949</v>
      </c>
      <c r="C724" s="4">
        <v>16.7</v>
      </c>
      <c r="D724" s="4">
        <v>48.4</v>
      </c>
      <c r="E724" s="4">
        <v>21.4</v>
      </c>
      <c r="F724" s="4">
        <v>5.3</v>
      </c>
      <c r="G724" s="4">
        <v>7.2</v>
      </c>
      <c r="H724" s="4">
        <v>1</v>
      </c>
      <c r="I724" s="4">
        <v>0</v>
      </c>
    </row>
    <row r="725" spans="1:9" x14ac:dyDescent="0.35">
      <c r="A725" s="3" t="s">
        <v>4847</v>
      </c>
      <c r="B725" s="3" t="s">
        <v>1953</v>
      </c>
      <c r="C725" s="4">
        <v>33.299999999999997</v>
      </c>
      <c r="D725" s="4">
        <v>44.5</v>
      </c>
      <c r="E725" s="4">
        <v>12.5</v>
      </c>
      <c r="F725" s="4">
        <v>3.5</v>
      </c>
      <c r="G725" s="4">
        <v>5.3</v>
      </c>
      <c r="H725" s="4">
        <v>0.8</v>
      </c>
      <c r="I725" s="4">
        <v>0</v>
      </c>
    </row>
    <row r="726" spans="1:9" x14ac:dyDescent="0.35">
      <c r="A726" s="3" t="s">
        <v>4362</v>
      </c>
      <c r="B726" s="3" t="s">
        <v>1955</v>
      </c>
      <c r="C726" s="4">
        <v>37.9</v>
      </c>
      <c r="D726" s="4">
        <v>38.799999999999997</v>
      </c>
      <c r="E726" s="4">
        <v>14.9</v>
      </c>
      <c r="F726" s="4">
        <v>3.6</v>
      </c>
      <c r="G726" s="4">
        <v>3.7</v>
      </c>
      <c r="H726" s="4">
        <v>1.1000000000000001</v>
      </c>
      <c r="I726" s="4">
        <v>0</v>
      </c>
    </row>
    <row r="727" spans="1:9" x14ac:dyDescent="0.35">
      <c r="A727" s="3" t="s">
        <v>4364</v>
      </c>
      <c r="B727" s="3" t="s">
        <v>1957</v>
      </c>
      <c r="C727" s="4">
        <v>37.200000000000003</v>
      </c>
      <c r="D727" s="4">
        <v>35.200000000000003</v>
      </c>
      <c r="E727" s="4">
        <v>14.2</v>
      </c>
      <c r="F727" s="4">
        <v>5.8</v>
      </c>
      <c r="G727" s="4">
        <v>6.2</v>
      </c>
      <c r="H727" s="4">
        <v>1.1000000000000001</v>
      </c>
      <c r="I727" s="4">
        <v>0.3</v>
      </c>
    </row>
    <row r="728" spans="1:9" x14ac:dyDescent="0.35">
      <c r="A728" s="3" t="s">
        <v>5317</v>
      </c>
      <c r="B728" s="3" t="s">
        <v>1961</v>
      </c>
      <c r="C728" s="4">
        <v>17.7</v>
      </c>
      <c r="D728" s="4">
        <v>40.4</v>
      </c>
      <c r="E728" s="4">
        <v>19.600000000000001</v>
      </c>
      <c r="F728" s="4">
        <v>7.9</v>
      </c>
      <c r="G728" s="4">
        <v>10.8</v>
      </c>
      <c r="H728" s="4">
        <v>2.4</v>
      </c>
      <c r="I728" s="4">
        <v>1.2</v>
      </c>
    </row>
    <row r="729" spans="1:9" x14ac:dyDescent="0.35">
      <c r="A729" s="3" t="s">
        <v>5318</v>
      </c>
      <c r="B729" s="3" t="s">
        <v>1963</v>
      </c>
      <c r="C729" s="4">
        <v>17.7</v>
      </c>
      <c r="D729" s="4">
        <v>40.4</v>
      </c>
      <c r="E729" s="4">
        <v>19.600000000000001</v>
      </c>
      <c r="F729" s="4">
        <v>7.9</v>
      </c>
      <c r="G729" s="4">
        <v>10.8</v>
      </c>
      <c r="H729" s="4">
        <v>2.4</v>
      </c>
      <c r="I729" s="4">
        <v>1.2</v>
      </c>
    </row>
    <row r="730" spans="1:9" x14ac:dyDescent="0.35">
      <c r="A730" s="3" t="s">
        <v>5319</v>
      </c>
      <c r="B730" s="3" t="s">
        <v>1967</v>
      </c>
      <c r="C730" s="4">
        <v>24.3</v>
      </c>
      <c r="D730" s="4">
        <v>29.3</v>
      </c>
      <c r="E730" s="4">
        <v>18.3</v>
      </c>
      <c r="F730" s="4">
        <v>8.4</v>
      </c>
      <c r="G730" s="4">
        <v>16.5</v>
      </c>
      <c r="H730" s="4">
        <v>2.8</v>
      </c>
      <c r="I730" s="4">
        <v>0.4</v>
      </c>
    </row>
    <row r="731" spans="1:9" x14ac:dyDescent="0.35">
      <c r="A731" s="3" t="s">
        <v>5320</v>
      </c>
      <c r="B731" s="3" t="s">
        <v>1969</v>
      </c>
      <c r="C731" s="4">
        <v>24.3</v>
      </c>
      <c r="D731" s="4">
        <v>29.3</v>
      </c>
      <c r="E731" s="4">
        <v>18.3</v>
      </c>
      <c r="F731" s="4">
        <v>8.4</v>
      </c>
      <c r="G731" s="4">
        <v>16.5</v>
      </c>
      <c r="H731" s="4">
        <v>2.8</v>
      </c>
      <c r="I731" s="4">
        <v>0.4</v>
      </c>
    </row>
    <row r="732" spans="1:9" x14ac:dyDescent="0.35">
      <c r="A732" s="3" t="s">
        <v>5321</v>
      </c>
      <c r="B732" s="3" t="s">
        <v>1973</v>
      </c>
      <c r="C732" s="4">
        <v>30.4</v>
      </c>
      <c r="D732" s="4">
        <v>42.5</v>
      </c>
      <c r="E732" s="4">
        <v>13.2</v>
      </c>
      <c r="F732" s="4">
        <v>5.4</v>
      </c>
      <c r="G732" s="4">
        <v>6</v>
      </c>
      <c r="H732" s="4">
        <v>2.6</v>
      </c>
      <c r="I732" s="4">
        <v>0</v>
      </c>
    </row>
    <row r="733" spans="1:9" x14ac:dyDescent="0.35">
      <c r="A733" s="3" t="s">
        <v>5322</v>
      </c>
      <c r="B733" s="3" t="s">
        <v>1975</v>
      </c>
      <c r="C733" s="4">
        <v>30.4</v>
      </c>
      <c r="D733" s="4">
        <v>42.5</v>
      </c>
      <c r="E733" s="4">
        <v>13.2</v>
      </c>
      <c r="F733" s="4">
        <v>5.4</v>
      </c>
      <c r="G733" s="4">
        <v>6</v>
      </c>
      <c r="H733" s="4">
        <v>2.6</v>
      </c>
      <c r="I733" s="4">
        <v>0</v>
      </c>
    </row>
    <row r="734" spans="1:9" x14ac:dyDescent="0.35">
      <c r="A734" s="3" t="s">
        <v>5323</v>
      </c>
      <c r="B734" s="3" t="s">
        <v>1977</v>
      </c>
      <c r="C734" s="4">
        <v>30.4</v>
      </c>
      <c r="D734" s="4">
        <v>42.5</v>
      </c>
      <c r="E734" s="4">
        <v>13.2</v>
      </c>
      <c r="F734" s="4">
        <v>5.4</v>
      </c>
      <c r="G734" s="4">
        <v>6</v>
      </c>
      <c r="H734" s="4">
        <v>2.6</v>
      </c>
      <c r="I734" s="4">
        <v>0</v>
      </c>
    </row>
    <row r="735" spans="1:9" x14ac:dyDescent="0.35">
      <c r="A735" s="3" t="s">
        <v>5324</v>
      </c>
      <c r="B735" s="3" t="s">
        <v>1979</v>
      </c>
      <c r="C735" s="4">
        <v>30.4</v>
      </c>
      <c r="D735" s="4">
        <v>42.5</v>
      </c>
      <c r="E735" s="4">
        <v>13.2</v>
      </c>
      <c r="F735" s="4">
        <v>5.4</v>
      </c>
      <c r="G735" s="4">
        <v>6</v>
      </c>
      <c r="H735" s="4">
        <v>2.6</v>
      </c>
      <c r="I735" s="4">
        <v>0</v>
      </c>
    </row>
    <row r="736" spans="1:9" x14ac:dyDescent="0.35">
      <c r="A736" s="3" t="s">
        <v>5325</v>
      </c>
      <c r="B736" s="3" t="s">
        <v>1983</v>
      </c>
      <c r="C736" s="4">
        <v>15.7</v>
      </c>
      <c r="D736" s="4">
        <v>40.4</v>
      </c>
      <c r="E736" s="4">
        <v>20.3</v>
      </c>
      <c r="F736" s="4">
        <v>7</v>
      </c>
      <c r="G736" s="4">
        <v>12.6</v>
      </c>
      <c r="H736" s="4">
        <v>3.8</v>
      </c>
      <c r="I736" s="4">
        <v>0.1</v>
      </c>
    </row>
    <row r="737" spans="1:9" x14ac:dyDescent="0.35">
      <c r="A737" s="3" t="s">
        <v>5326</v>
      </c>
      <c r="B737" s="3" t="s">
        <v>1985</v>
      </c>
      <c r="C737" s="4">
        <v>15.7</v>
      </c>
      <c r="D737" s="4">
        <v>40.4</v>
      </c>
      <c r="E737" s="4">
        <v>20.3</v>
      </c>
      <c r="F737" s="4">
        <v>7</v>
      </c>
      <c r="G737" s="4">
        <v>12.6</v>
      </c>
      <c r="H737" s="4">
        <v>3.8</v>
      </c>
      <c r="I737" s="4">
        <v>0.1</v>
      </c>
    </row>
    <row r="738" spans="1:9" x14ac:dyDescent="0.35">
      <c r="A738" s="3" t="s">
        <v>4855</v>
      </c>
      <c r="B738" s="3" t="s">
        <v>1987</v>
      </c>
      <c r="C738" s="4">
        <v>31.9</v>
      </c>
      <c r="D738" s="4">
        <v>37.700000000000003</v>
      </c>
      <c r="E738" s="4">
        <v>17.3</v>
      </c>
      <c r="F738" s="4">
        <v>7.6</v>
      </c>
      <c r="G738" s="4">
        <v>4</v>
      </c>
      <c r="H738" s="4">
        <v>1.1000000000000001</v>
      </c>
      <c r="I738" s="4">
        <v>0.4</v>
      </c>
    </row>
    <row r="739" spans="1:9" x14ac:dyDescent="0.35">
      <c r="A739" s="3" t="s">
        <v>5327</v>
      </c>
      <c r="B739" s="3" t="s">
        <v>1989</v>
      </c>
      <c r="C739" s="4">
        <v>15.7</v>
      </c>
      <c r="D739" s="4">
        <v>40.4</v>
      </c>
      <c r="E739" s="4">
        <v>20.3</v>
      </c>
      <c r="F739" s="4">
        <v>7</v>
      </c>
      <c r="G739" s="4">
        <v>12.6</v>
      </c>
      <c r="H739" s="4">
        <v>3.8</v>
      </c>
      <c r="I739" s="4">
        <v>0.1</v>
      </c>
    </row>
    <row r="740" spans="1:9" x14ac:dyDescent="0.35">
      <c r="A740" s="3" t="s">
        <v>4857</v>
      </c>
      <c r="B740" s="3" t="s">
        <v>1993</v>
      </c>
      <c r="C740" s="4">
        <v>16.7</v>
      </c>
      <c r="D740" s="4">
        <v>44.6</v>
      </c>
      <c r="E740" s="4">
        <v>22</v>
      </c>
      <c r="F740" s="4">
        <v>7.2</v>
      </c>
      <c r="G740" s="4">
        <v>7.2</v>
      </c>
      <c r="H740" s="4">
        <v>1.4</v>
      </c>
      <c r="I740" s="4">
        <v>0.8</v>
      </c>
    </row>
    <row r="741" spans="1:9" x14ac:dyDescent="0.35">
      <c r="A741" s="3" t="s">
        <v>4858</v>
      </c>
      <c r="B741" s="3" t="s">
        <v>1995</v>
      </c>
      <c r="C741" s="4">
        <v>24.8</v>
      </c>
      <c r="D741" s="4">
        <v>43.8</v>
      </c>
      <c r="E741" s="4">
        <v>16.7</v>
      </c>
      <c r="F741" s="4">
        <v>4.3</v>
      </c>
      <c r="G741" s="4">
        <v>5.9</v>
      </c>
      <c r="H741" s="4">
        <v>3.4</v>
      </c>
      <c r="I741" s="4">
        <v>1</v>
      </c>
    </row>
    <row r="742" spans="1:9" x14ac:dyDescent="0.35">
      <c r="A742" s="3" t="s">
        <v>5328</v>
      </c>
      <c r="B742" s="3" t="s">
        <v>1999</v>
      </c>
      <c r="C742" s="4">
        <v>12.6</v>
      </c>
      <c r="D742" s="4">
        <v>36.299999999999997</v>
      </c>
      <c r="E742" s="4">
        <v>24</v>
      </c>
      <c r="F742" s="4">
        <v>9</v>
      </c>
      <c r="G742" s="4">
        <v>14.8</v>
      </c>
      <c r="H742" s="4">
        <v>2.8</v>
      </c>
      <c r="I742" s="4">
        <v>0.3</v>
      </c>
    </row>
    <row r="743" spans="1:9" x14ac:dyDescent="0.35">
      <c r="A743" s="3" t="s">
        <v>5329</v>
      </c>
      <c r="B743" s="3" t="s">
        <v>2001</v>
      </c>
      <c r="C743" s="4">
        <v>12.6</v>
      </c>
      <c r="D743" s="4">
        <v>36.299999999999997</v>
      </c>
      <c r="E743" s="4">
        <v>24</v>
      </c>
      <c r="F743" s="4">
        <v>9</v>
      </c>
      <c r="G743" s="4">
        <v>14.8</v>
      </c>
      <c r="H743" s="4">
        <v>2.8</v>
      </c>
      <c r="I743" s="4">
        <v>0.3</v>
      </c>
    </row>
    <row r="744" spans="1:9" x14ac:dyDescent="0.35">
      <c r="A744" s="3" t="s">
        <v>4374</v>
      </c>
      <c r="B744" s="3" t="s">
        <v>2005</v>
      </c>
      <c r="C744" s="4">
        <v>32.1</v>
      </c>
      <c r="D744" s="4">
        <v>45.8</v>
      </c>
      <c r="E744" s="4">
        <v>14.5</v>
      </c>
      <c r="F744" s="4">
        <v>3.6</v>
      </c>
      <c r="G744" s="4">
        <v>3.9</v>
      </c>
      <c r="H744" s="4">
        <v>0</v>
      </c>
      <c r="I744" s="4">
        <v>0</v>
      </c>
    </row>
    <row r="745" spans="1:9" x14ac:dyDescent="0.35">
      <c r="A745" s="3" t="s">
        <v>4376</v>
      </c>
      <c r="B745" s="3" t="s">
        <v>2007</v>
      </c>
      <c r="C745" s="4">
        <v>25.8</v>
      </c>
      <c r="D745" s="4">
        <v>47.5</v>
      </c>
      <c r="E745" s="4">
        <v>19.2</v>
      </c>
      <c r="F745" s="4">
        <v>5.2</v>
      </c>
      <c r="G745" s="4">
        <v>1.5</v>
      </c>
      <c r="H745" s="4">
        <v>0.2</v>
      </c>
      <c r="I745" s="4">
        <v>0.6</v>
      </c>
    </row>
    <row r="746" spans="1:9" x14ac:dyDescent="0.35">
      <c r="A746" s="3" t="s">
        <v>5330</v>
      </c>
      <c r="B746" s="3" t="s">
        <v>2009</v>
      </c>
      <c r="C746" s="4">
        <v>12.6</v>
      </c>
      <c r="D746" s="4">
        <v>36.299999999999997</v>
      </c>
      <c r="E746" s="4">
        <v>24</v>
      </c>
      <c r="F746" s="4">
        <v>9</v>
      </c>
      <c r="G746" s="4">
        <v>14.8</v>
      </c>
      <c r="H746" s="4">
        <v>2.8</v>
      </c>
      <c r="I746" s="4">
        <v>0.3</v>
      </c>
    </row>
    <row r="747" spans="1:9" x14ac:dyDescent="0.35">
      <c r="A747" s="3" t="s">
        <v>5331</v>
      </c>
      <c r="B747" s="3" t="s">
        <v>2015</v>
      </c>
      <c r="C747" s="4">
        <v>2.1</v>
      </c>
      <c r="D747" s="4">
        <v>24.2</v>
      </c>
      <c r="E747" s="4">
        <v>31.5</v>
      </c>
      <c r="F747" s="4">
        <v>20.3</v>
      </c>
      <c r="G747" s="4">
        <v>18.399999999999999</v>
      </c>
      <c r="H747" s="4">
        <v>3</v>
      </c>
      <c r="I747" s="4">
        <v>0.5</v>
      </c>
    </row>
    <row r="748" spans="1:9" x14ac:dyDescent="0.35">
      <c r="A748" s="3" t="s">
        <v>5332</v>
      </c>
      <c r="B748" s="3" t="s">
        <v>2017</v>
      </c>
      <c r="C748" s="4">
        <v>2.1</v>
      </c>
      <c r="D748" s="4">
        <v>24.2</v>
      </c>
      <c r="E748" s="4">
        <v>31.5</v>
      </c>
      <c r="F748" s="4">
        <v>20.3</v>
      </c>
      <c r="G748" s="4">
        <v>18.399999999999999</v>
      </c>
      <c r="H748" s="4">
        <v>3</v>
      </c>
      <c r="I748" s="4">
        <v>0.5</v>
      </c>
    </row>
    <row r="749" spans="1:9" x14ac:dyDescent="0.35">
      <c r="A749" s="3" t="s">
        <v>5333</v>
      </c>
      <c r="B749" s="3" t="s">
        <v>2019</v>
      </c>
      <c r="C749" s="4">
        <v>2.1</v>
      </c>
      <c r="D749" s="4">
        <v>24.2</v>
      </c>
      <c r="E749" s="4">
        <v>31.5</v>
      </c>
      <c r="F749" s="4">
        <v>20.3</v>
      </c>
      <c r="G749" s="4">
        <v>18.399999999999999</v>
      </c>
      <c r="H749" s="4">
        <v>3</v>
      </c>
      <c r="I749" s="4">
        <v>0.5</v>
      </c>
    </row>
    <row r="750" spans="1:9" x14ac:dyDescent="0.35">
      <c r="A750" s="3" t="s">
        <v>4863</v>
      </c>
      <c r="B750" s="3" t="s">
        <v>2021</v>
      </c>
      <c r="C750" s="4">
        <v>6</v>
      </c>
      <c r="D750" s="4">
        <v>36.1</v>
      </c>
      <c r="E750" s="4">
        <v>25.4</v>
      </c>
      <c r="F750" s="4">
        <v>11.3</v>
      </c>
      <c r="G750" s="4">
        <v>14.7</v>
      </c>
      <c r="H750" s="4">
        <v>5</v>
      </c>
      <c r="I750" s="4">
        <v>1.4</v>
      </c>
    </row>
    <row r="751" spans="1:9" x14ac:dyDescent="0.35">
      <c r="A751" s="3" t="s">
        <v>4382</v>
      </c>
      <c r="B751" s="3" t="s">
        <v>2023</v>
      </c>
      <c r="C751" s="4">
        <v>3.5</v>
      </c>
      <c r="D751" s="4">
        <v>36.5</v>
      </c>
      <c r="E751" s="4">
        <v>32.700000000000003</v>
      </c>
      <c r="F751" s="4">
        <v>13.2</v>
      </c>
      <c r="G751" s="4">
        <v>11.8</v>
      </c>
      <c r="H751" s="4">
        <v>2</v>
      </c>
      <c r="I751" s="4">
        <v>0.3</v>
      </c>
    </row>
    <row r="752" spans="1:9" x14ac:dyDescent="0.35">
      <c r="A752" s="3" t="s">
        <v>5334</v>
      </c>
      <c r="B752" s="3" t="s">
        <v>2027</v>
      </c>
      <c r="C752" s="4">
        <v>8.9</v>
      </c>
      <c r="D752" s="4">
        <v>36.4</v>
      </c>
      <c r="E752" s="4">
        <v>28.2</v>
      </c>
      <c r="F752" s="4">
        <v>13</v>
      </c>
      <c r="G752" s="4">
        <v>11.4</v>
      </c>
      <c r="H752" s="4">
        <v>1.7</v>
      </c>
      <c r="I752" s="4">
        <v>0.4</v>
      </c>
    </row>
    <row r="753" spans="1:9" x14ac:dyDescent="0.35">
      <c r="A753" s="3" t="s">
        <v>5335</v>
      </c>
      <c r="B753" s="3" t="s">
        <v>2029</v>
      </c>
      <c r="C753" s="4">
        <v>8.9</v>
      </c>
      <c r="D753" s="4">
        <v>36.4</v>
      </c>
      <c r="E753" s="4">
        <v>28.2</v>
      </c>
      <c r="F753" s="4">
        <v>13</v>
      </c>
      <c r="G753" s="4">
        <v>11.4</v>
      </c>
      <c r="H753" s="4">
        <v>1.7</v>
      </c>
      <c r="I753" s="4">
        <v>0.4</v>
      </c>
    </row>
    <row r="754" spans="1:9" x14ac:dyDescent="0.35">
      <c r="A754" s="3" t="s">
        <v>5336</v>
      </c>
      <c r="B754" s="3" t="s">
        <v>2031</v>
      </c>
      <c r="C754" s="4">
        <v>8.9</v>
      </c>
      <c r="D754" s="4">
        <v>36.4</v>
      </c>
      <c r="E754" s="4">
        <v>28.2</v>
      </c>
      <c r="F754" s="4">
        <v>13</v>
      </c>
      <c r="G754" s="4">
        <v>11.4</v>
      </c>
      <c r="H754" s="4">
        <v>1.7</v>
      </c>
      <c r="I754" s="4">
        <v>0.4</v>
      </c>
    </row>
    <row r="755" spans="1:9" x14ac:dyDescent="0.35">
      <c r="A755" s="3" t="s">
        <v>5337</v>
      </c>
      <c r="B755" s="3" t="s">
        <v>2033</v>
      </c>
      <c r="C755" s="4">
        <v>8.9</v>
      </c>
      <c r="D755" s="4">
        <v>36.4</v>
      </c>
      <c r="E755" s="4">
        <v>28.2</v>
      </c>
      <c r="F755" s="4">
        <v>13</v>
      </c>
      <c r="G755" s="4">
        <v>11.4</v>
      </c>
      <c r="H755" s="4">
        <v>1.7</v>
      </c>
      <c r="I755" s="4">
        <v>0.4</v>
      </c>
    </row>
    <row r="756" spans="1:9" x14ac:dyDescent="0.35">
      <c r="A756" s="3" t="s">
        <v>5338</v>
      </c>
      <c r="B756" s="3" t="s">
        <v>2039</v>
      </c>
      <c r="C756" s="4">
        <v>5.7</v>
      </c>
      <c r="D756" s="4">
        <v>31.7</v>
      </c>
      <c r="E756" s="4">
        <v>25.3</v>
      </c>
      <c r="F756" s="4">
        <v>9.8000000000000007</v>
      </c>
      <c r="G756" s="4">
        <v>22.5</v>
      </c>
      <c r="H756" s="4">
        <v>4.2</v>
      </c>
      <c r="I756" s="4">
        <v>0.8</v>
      </c>
    </row>
    <row r="757" spans="1:9" x14ac:dyDescent="0.35">
      <c r="A757" s="3" t="s">
        <v>5339</v>
      </c>
      <c r="B757" s="3" t="s">
        <v>2041</v>
      </c>
      <c r="C757" s="4">
        <v>5.7</v>
      </c>
      <c r="D757" s="4">
        <v>31.7</v>
      </c>
      <c r="E757" s="4">
        <v>25.3</v>
      </c>
      <c r="F757" s="4">
        <v>9.8000000000000007</v>
      </c>
      <c r="G757" s="4">
        <v>22.5</v>
      </c>
      <c r="H757" s="4">
        <v>4.2</v>
      </c>
      <c r="I757" s="4">
        <v>0.8</v>
      </c>
    </row>
    <row r="758" spans="1:9" x14ac:dyDescent="0.35">
      <c r="A758" s="3" t="s">
        <v>5340</v>
      </c>
      <c r="B758" s="3" t="s">
        <v>2045</v>
      </c>
      <c r="C758" s="4">
        <v>20.6</v>
      </c>
      <c r="D758" s="4">
        <v>46.1</v>
      </c>
      <c r="E758" s="4">
        <v>19.8</v>
      </c>
      <c r="F758" s="4">
        <v>8.1</v>
      </c>
      <c r="G758" s="4">
        <v>4.0999999999999996</v>
      </c>
      <c r="H758" s="4">
        <v>1</v>
      </c>
      <c r="I758" s="4">
        <v>0.3</v>
      </c>
    </row>
    <row r="759" spans="1:9" x14ac:dyDescent="0.35">
      <c r="A759" s="3" t="s">
        <v>5341</v>
      </c>
      <c r="B759" s="3" t="s">
        <v>2047</v>
      </c>
      <c r="C759" s="4">
        <v>20.6</v>
      </c>
      <c r="D759" s="4">
        <v>46.1</v>
      </c>
      <c r="E759" s="4">
        <v>19.8</v>
      </c>
      <c r="F759" s="4">
        <v>8.1</v>
      </c>
      <c r="G759" s="4">
        <v>4.0999999999999996</v>
      </c>
      <c r="H759" s="4">
        <v>1</v>
      </c>
      <c r="I759" s="4">
        <v>0.3</v>
      </c>
    </row>
    <row r="760" spans="1:9" x14ac:dyDescent="0.35">
      <c r="A760" s="3" t="s">
        <v>5342</v>
      </c>
      <c r="B760" s="3" t="s">
        <v>2049</v>
      </c>
      <c r="C760" s="4">
        <v>20.6</v>
      </c>
      <c r="D760" s="4">
        <v>46.1</v>
      </c>
      <c r="E760" s="4">
        <v>19.8</v>
      </c>
      <c r="F760" s="4">
        <v>8.1</v>
      </c>
      <c r="G760" s="4">
        <v>4.0999999999999996</v>
      </c>
      <c r="H760" s="4">
        <v>1</v>
      </c>
      <c r="I760" s="4">
        <v>0.3</v>
      </c>
    </row>
    <row r="761" spans="1:9" x14ac:dyDescent="0.35">
      <c r="A761" s="3" t="s">
        <v>5343</v>
      </c>
      <c r="B761" s="3" t="s">
        <v>2053</v>
      </c>
      <c r="C761" s="4">
        <v>29.8</v>
      </c>
      <c r="D761" s="4">
        <v>44.6</v>
      </c>
      <c r="E761" s="4">
        <v>16.5</v>
      </c>
      <c r="F761" s="4">
        <v>3.3</v>
      </c>
      <c r="G761" s="4">
        <v>4.5999999999999996</v>
      </c>
      <c r="H761" s="4">
        <v>1.1000000000000001</v>
      </c>
      <c r="I761" s="4">
        <v>0.1</v>
      </c>
    </row>
    <row r="762" spans="1:9" x14ac:dyDescent="0.35">
      <c r="A762" s="3" t="s">
        <v>5344</v>
      </c>
      <c r="B762" s="3" t="s">
        <v>2055</v>
      </c>
      <c r="C762" s="4">
        <v>29.8</v>
      </c>
      <c r="D762" s="4">
        <v>44.6</v>
      </c>
      <c r="E762" s="4">
        <v>16.5</v>
      </c>
      <c r="F762" s="4">
        <v>3.3</v>
      </c>
      <c r="G762" s="4">
        <v>4.5999999999999996</v>
      </c>
      <c r="H762" s="4">
        <v>1.1000000000000001</v>
      </c>
      <c r="I762" s="4">
        <v>0.1</v>
      </c>
    </row>
    <row r="763" spans="1:9" x14ac:dyDescent="0.35">
      <c r="A763" s="3" t="s">
        <v>4415</v>
      </c>
      <c r="B763" s="3" t="s">
        <v>2057</v>
      </c>
      <c r="C763" s="4">
        <v>18.100000000000001</v>
      </c>
      <c r="D763" s="4">
        <v>56.2</v>
      </c>
      <c r="E763" s="4">
        <v>17</v>
      </c>
      <c r="F763" s="4">
        <v>5.8</v>
      </c>
      <c r="G763" s="4">
        <v>2.4</v>
      </c>
      <c r="H763" s="4">
        <v>0.4</v>
      </c>
      <c r="I763" s="4">
        <v>0.1</v>
      </c>
    </row>
    <row r="764" spans="1:9" x14ac:dyDescent="0.35">
      <c r="A764" s="3" t="s">
        <v>4865</v>
      </c>
      <c r="B764" s="3" t="s">
        <v>2059</v>
      </c>
      <c r="C764" s="4">
        <v>10</v>
      </c>
      <c r="D764" s="4">
        <v>47</v>
      </c>
      <c r="E764" s="4">
        <v>26.1</v>
      </c>
      <c r="F764" s="4">
        <v>5.8</v>
      </c>
      <c r="G764" s="4">
        <v>10.5</v>
      </c>
      <c r="H764" s="4">
        <v>0.7</v>
      </c>
      <c r="I764" s="4">
        <v>0</v>
      </c>
    </row>
    <row r="765" spans="1:9" x14ac:dyDescent="0.35">
      <c r="A765" s="3" t="s">
        <v>4417</v>
      </c>
      <c r="B765" s="3" t="s">
        <v>2061</v>
      </c>
      <c r="C765" s="4">
        <v>9</v>
      </c>
      <c r="D765" s="4">
        <v>35.799999999999997</v>
      </c>
      <c r="E765" s="4">
        <v>26.3</v>
      </c>
      <c r="F765" s="4">
        <v>11.8</v>
      </c>
      <c r="G765" s="4">
        <v>13.5</v>
      </c>
      <c r="H765" s="4">
        <v>2.9</v>
      </c>
      <c r="I765" s="4">
        <v>0.6</v>
      </c>
    </row>
    <row r="766" spans="1:9" x14ac:dyDescent="0.35">
      <c r="A766" s="3" t="s">
        <v>4866</v>
      </c>
      <c r="B766" s="3" t="s">
        <v>2063</v>
      </c>
      <c r="C766" s="4">
        <v>12</v>
      </c>
      <c r="D766" s="4">
        <v>24.5</v>
      </c>
      <c r="E766" s="4">
        <v>22.2</v>
      </c>
      <c r="F766" s="4">
        <v>9.5</v>
      </c>
      <c r="G766" s="4">
        <v>24.3</v>
      </c>
      <c r="H766" s="4">
        <v>5.9</v>
      </c>
      <c r="I766" s="4">
        <v>1.7</v>
      </c>
    </row>
    <row r="767" spans="1:9" x14ac:dyDescent="0.35">
      <c r="A767" s="3" t="s">
        <v>5345</v>
      </c>
      <c r="B767" s="3" t="s">
        <v>2067</v>
      </c>
      <c r="C767" s="4">
        <v>4.4000000000000004</v>
      </c>
      <c r="D767" s="4">
        <v>27.1</v>
      </c>
      <c r="E767" s="4">
        <v>32.200000000000003</v>
      </c>
      <c r="F767" s="4">
        <v>17.8</v>
      </c>
      <c r="G767" s="4">
        <v>15.5</v>
      </c>
      <c r="H767" s="4">
        <v>1.8</v>
      </c>
      <c r="I767" s="4">
        <v>1.2</v>
      </c>
    </row>
    <row r="768" spans="1:9" x14ac:dyDescent="0.35">
      <c r="A768" s="3" t="s">
        <v>5346</v>
      </c>
      <c r="B768" s="3" t="s">
        <v>2069</v>
      </c>
      <c r="C768" s="4">
        <v>4.4000000000000004</v>
      </c>
      <c r="D768" s="4">
        <v>27.1</v>
      </c>
      <c r="E768" s="4">
        <v>32.200000000000003</v>
      </c>
      <c r="F768" s="4">
        <v>17.8</v>
      </c>
      <c r="G768" s="4">
        <v>15.5</v>
      </c>
      <c r="H768" s="4">
        <v>1.8</v>
      </c>
      <c r="I768" s="4">
        <v>1.2</v>
      </c>
    </row>
    <row r="769" spans="1:9" x14ac:dyDescent="0.35">
      <c r="A769" s="3" t="s">
        <v>5347</v>
      </c>
      <c r="B769" s="3" t="s">
        <v>2071</v>
      </c>
      <c r="C769" s="4">
        <v>4.4000000000000004</v>
      </c>
      <c r="D769" s="4">
        <v>27.1</v>
      </c>
      <c r="E769" s="4">
        <v>32.200000000000003</v>
      </c>
      <c r="F769" s="4">
        <v>17.8</v>
      </c>
      <c r="G769" s="4">
        <v>15.5</v>
      </c>
      <c r="H769" s="4">
        <v>1.8</v>
      </c>
      <c r="I769" s="4">
        <v>1.2</v>
      </c>
    </row>
    <row r="770" spans="1:9" x14ac:dyDescent="0.35">
      <c r="A770" s="3" t="s">
        <v>4426</v>
      </c>
      <c r="B770" s="3" t="s">
        <v>2073</v>
      </c>
      <c r="C770" s="4">
        <v>31.4</v>
      </c>
      <c r="D770" s="4">
        <v>41.5</v>
      </c>
      <c r="E770" s="4">
        <v>16.3</v>
      </c>
      <c r="F770" s="4">
        <v>4.4000000000000004</v>
      </c>
      <c r="G770" s="4">
        <v>5.4</v>
      </c>
      <c r="H770" s="4">
        <v>0.9</v>
      </c>
      <c r="I770" s="4">
        <v>0.2</v>
      </c>
    </row>
    <row r="771" spans="1:9" x14ac:dyDescent="0.35">
      <c r="A771" s="3" t="s">
        <v>5348</v>
      </c>
      <c r="B771" s="3" t="s">
        <v>2077</v>
      </c>
      <c r="C771" s="4">
        <v>22.3</v>
      </c>
      <c r="D771" s="4">
        <v>47</v>
      </c>
      <c r="E771" s="4">
        <v>19.899999999999999</v>
      </c>
      <c r="F771" s="4">
        <v>6.5</v>
      </c>
      <c r="G771" s="4">
        <v>3.9</v>
      </c>
      <c r="H771" s="4">
        <v>0.3</v>
      </c>
      <c r="I771" s="4">
        <v>0</v>
      </c>
    </row>
    <row r="772" spans="1:9" x14ac:dyDescent="0.35">
      <c r="A772" s="3" t="s">
        <v>5349</v>
      </c>
      <c r="B772" s="3" t="s">
        <v>2079</v>
      </c>
      <c r="C772" s="4">
        <v>22.3</v>
      </c>
      <c r="D772" s="4">
        <v>47</v>
      </c>
      <c r="E772" s="4">
        <v>19.899999999999999</v>
      </c>
      <c r="F772" s="4">
        <v>6.5</v>
      </c>
      <c r="G772" s="4">
        <v>3.9</v>
      </c>
      <c r="H772" s="4">
        <v>0.3</v>
      </c>
      <c r="I772" s="4">
        <v>0</v>
      </c>
    </row>
    <row r="773" spans="1:9" x14ac:dyDescent="0.35">
      <c r="A773" s="3" t="s">
        <v>5350</v>
      </c>
      <c r="B773" s="3" t="s">
        <v>2081</v>
      </c>
      <c r="C773" s="4">
        <v>18</v>
      </c>
      <c r="D773" s="4">
        <v>46.8</v>
      </c>
      <c r="E773" s="4">
        <v>20.100000000000001</v>
      </c>
      <c r="F773" s="4">
        <v>6.7</v>
      </c>
      <c r="G773" s="4">
        <v>6.8</v>
      </c>
      <c r="H773" s="4">
        <v>1.2</v>
      </c>
      <c r="I773" s="4">
        <v>0.3</v>
      </c>
    </row>
    <row r="774" spans="1:9" x14ac:dyDescent="0.35">
      <c r="A774" s="3" t="s">
        <v>4429</v>
      </c>
      <c r="B774" s="3" t="s">
        <v>2083</v>
      </c>
      <c r="C774" s="4">
        <v>4.2</v>
      </c>
      <c r="D774" s="4">
        <v>11.7</v>
      </c>
      <c r="E774" s="4">
        <v>19.2</v>
      </c>
      <c r="F774" s="4">
        <v>7.8</v>
      </c>
      <c r="G774" s="4">
        <v>42.8</v>
      </c>
      <c r="H774" s="4">
        <v>13.5</v>
      </c>
      <c r="I774" s="4">
        <v>0.8</v>
      </c>
    </row>
    <row r="775" spans="1:9" x14ac:dyDescent="0.35">
      <c r="A775" s="3" t="s">
        <v>5351</v>
      </c>
      <c r="B775" s="3" t="s">
        <v>2087</v>
      </c>
      <c r="C775" s="4">
        <v>8.9</v>
      </c>
      <c r="D775" s="4">
        <v>39.299999999999997</v>
      </c>
      <c r="E775" s="4">
        <v>29.1</v>
      </c>
      <c r="F775" s="4">
        <v>13.9</v>
      </c>
      <c r="G775" s="4">
        <v>7.3</v>
      </c>
      <c r="H775" s="4">
        <v>1.2</v>
      </c>
      <c r="I775" s="4">
        <v>0.2</v>
      </c>
    </row>
    <row r="776" spans="1:9" x14ac:dyDescent="0.35">
      <c r="A776" s="3" t="s">
        <v>5352</v>
      </c>
      <c r="B776" s="3" t="s">
        <v>2089</v>
      </c>
      <c r="C776" s="4">
        <v>8.9</v>
      </c>
      <c r="D776" s="4">
        <v>39.299999999999997</v>
      </c>
      <c r="E776" s="4">
        <v>29.1</v>
      </c>
      <c r="F776" s="4">
        <v>13.9</v>
      </c>
      <c r="G776" s="4">
        <v>7.3</v>
      </c>
      <c r="H776" s="4">
        <v>1.2</v>
      </c>
      <c r="I776" s="4">
        <v>0.2</v>
      </c>
    </row>
    <row r="777" spans="1:9" x14ac:dyDescent="0.35">
      <c r="A777" s="3" t="s">
        <v>4870</v>
      </c>
      <c r="B777" s="3" t="s">
        <v>2093</v>
      </c>
      <c r="C777" s="4">
        <v>17.3</v>
      </c>
      <c r="D777" s="4">
        <v>51.4</v>
      </c>
      <c r="E777" s="4">
        <v>16.7</v>
      </c>
      <c r="F777" s="4">
        <v>10.4</v>
      </c>
      <c r="G777" s="4">
        <v>2.2999999999999998</v>
      </c>
      <c r="H777" s="4">
        <v>1.9</v>
      </c>
      <c r="I777" s="4">
        <v>0</v>
      </c>
    </row>
    <row r="778" spans="1:9" x14ac:dyDescent="0.35">
      <c r="A778" s="3" t="s">
        <v>5353</v>
      </c>
      <c r="B778" s="3" t="s">
        <v>2095</v>
      </c>
      <c r="C778" s="4">
        <v>18</v>
      </c>
      <c r="D778" s="4">
        <v>46.8</v>
      </c>
      <c r="E778" s="4">
        <v>20.100000000000001</v>
      </c>
      <c r="F778" s="4">
        <v>6.7</v>
      </c>
      <c r="G778" s="4">
        <v>6.8</v>
      </c>
      <c r="H778" s="4">
        <v>1.2</v>
      </c>
      <c r="I778" s="4">
        <v>0.3</v>
      </c>
    </row>
    <row r="779" spans="1:9" x14ac:dyDescent="0.35">
      <c r="A779" s="3" t="s">
        <v>5354</v>
      </c>
      <c r="B779" s="3" t="s">
        <v>2097</v>
      </c>
      <c r="C779" s="4">
        <v>18</v>
      </c>
      <c r="D779" s="4">
        <v>46.8</v>
      </c>
      <c r="E779" s="4">
        <v>20.100000000000001</v>
      </c>
      <c r="F779" s="4">
        <v>6.7</v>
      </c>
      <c r="G779" s="4">
        <v>6.8</v>
      </c>
      <c r="H779" s="4">
        <v>1.2</v>
      </c>
      <c r="I779" s="4">
        <v>0.3</v>
      </c>
    </row>
    <row r="780" spans="1:9" x14ac:dyDescent="0.35">
      <c r="A780" s="3" t="s">
        <v>4873</v>
      </c>
      <c r="B780" s="3" t="s">
        <v>2099</v>
      </c>
      <c r="C780" s="4">
        <v>9.1999999999999993</v>
      </c>
      <c r="D780" s="4">
        <v>25.2</v>
      </c>
      <c r="E780" s="4">
        <v>28.4</v>
      </c>
      <c r="F780" s="4">
        <v>12</v>
      </c>
      <c r="G780" s="4">
        <v>21.2</v>
      </c>
      <c r="H780" s="4">
        <v>4.0999999999999996</v>
      </c>
      <c r="I780" s="4">
        <v>0</v>
      </c>
    </row>
    <row r="781" spans="1:9" x14ac:dyDescent="0.35">
      <c r="A781" s="3" t="s">
        <v>4436</v>
      </c>
      <c r="B781" s="3" t="s">
        <v>2101</v>
      </c>
      <c r="C781" s="4">
        <v>22.2</v>
      </c>
      <c r="D781" s="4">
        <v>31.9</v>
      </c>
      <c r="E781" s="4">
        <v>18.5</v>
      </c>
      <c r="F781" s="4">
        <v>5.8</v>
      </c>
      <c r="G781" s="4">
        <v>15.7</v>
      </c>
      <c r="H781" s="4">
        <v>4.5</v>
      </c>
      <c r="I781" s="4">
        <v>1.4</v>
      </c>
    </row>
    <row r="782" spans="1:9" x14ac:dyDescent="0.35">
      <c r="A782" s="3" t="s">
        <v>4874</v>
      </c>
      <c r="B782" s="3" t="s">
        <v>2103</v>
      </c>
      <c r="C782" s="4">
        <v>16.5</v>
      </c>
      <c r="D782" s="4">
        <v>42</v>
      </c>
      <c r="E782" s="4">
        <v>22.3</v>
      </c>
      <c r="F782" s="4">
        <v>11.5</v>
      </c>
      <c r="G782" s="4">
        <v>6.4</v>
      </c>
      <c r="H782" s="4">
        <v>1.1000000000000001</v>
      </c>
      <c r="I782" s="4">
        <v>0.2</v>
      </c>
    </row>
    <row r="783" spans="1:9" x14ac:dyDescent="0.35">
      <c r="A783" s="3" t="s">
        <v>4875</v>
      </c>
      <c r="B783" s="3" t="s">
        <v>2105</v>
      </c>
      <c r="C783" s="4">
        <v>10.5</v>
      </c>
      <c r="D783" s="4">
        <v>47.4</v>
      </c>
      <c r="E783" s="4">
        <v>31.3</v>
      </c>
      <c r="F783" s="4">
        <v>6.1</v>
      </c>
      <c r="G783" s="4">
        <v>2.9</v>
      </c>
      <c r="H783" s="4">
        <v>1.7</v>
      </c>
      <c r="I783" s="4">
        <v>0</v>
      </c>
    </row>
    <row r="784" spans="1:9" x14ac:dyDescent="0.35">
      <c r="A784" s="3" t="s">
        <v>4438</v>
      </c>
      <c r="B784" s="3" t="s">
        <v>2107</v>
      </c>
      <c r="C784" s="4">
        <v>23.5</v>
      </c>
      <c r="D784" s="4">
        <v>47.2</v>
      </c>
      <c r="E784" s="4">
        <v>14.5</v>
      </c>
      <c r="F784" s="4">
        <v>4.9000000000000004</v>
      </c>
      <c r="G784" s="4">
        <v>6.7</v>
      </c>
      <c r="H784" s="4">
        <v>2.4</v>
      </c>
      <c r="I784" s="4">
        <v>0.7</v>
      </c>
    </row>
    <row r="785" spans="1:9" x14ac:dyDescent="0.35">
      <c r="A785" s="3" t="s">
        <v>5355</v>
      </c>
      <c r="B785" s="3" t="s">
        <v>2109</v>
      </c>
      <c r="C785" s="4">
        <v>18</v>
      </c>
      <c r="D785" s="4">
        <v>46.8</v>
      </c>
      <c r="E785" s="4">
        <v>20.100000000000001</v>
      </c>
      <c r="F785" s="4">
        <v>6.7</v>
      </c>
      <c r="G785" s="4">
        <v>6.8</v>
      </c>
      <c r="H785" s="4">
        <v>1.2</v>
      </c>
      <c r="I785" s="4">
        <v>0.3</v>
      </c>
    </row>
    <row r="786" spans="1:9" x14ac:dyDescent="0.35">
      <c r="A786" s="3" t="s">
        <v>5356</v>
      </c>
      <c r="B786" s="3" t="s">
        <v>2113</v>
      </c>
      <c r="C786" s="4">
        <v>7.5</v>
      </c>
      <c r="D786" s="4">
        <v>37.5</v>
      </c>
      <c r="E786" s="4">
        <v>27.8</v>
      </c>
      <c r="F786" s="4">
        <v>10</v>
      </c>
      <c r="G786" s="4">
        <v>14.3</v>
      </c>
      <c r="H786" s="4">
        <v>2.4</v>
      </c>
      <c r="I786" s="4">
        <v>0.3</v>
      </c>
    </row>
    <row r="787" spans="1:9" x14ac:dyDescent="0.35">
      <c r="A787" s="3" t="s">
        <v>5357</v>
      </c>
      <c r="B787" s="3" t="s">
        <v>2115</v>
      </c>
      <c r="C787" s="4">
        <v>7.5</v>
      </c>
      <c r="D787" s="4">
        <v>37.5</v>
      </c>
      <c r="E787" s="4">
        <v>27.8</v>
      </c>
      <c r="F787" s="4">
        <v>10</v>
      </c>
      <c r="G787" s="4">
        <v>14.3</v>
      </c>
      <c r="H787" s="4">
        <v>2.4</v>
      </c>
      <c r="I787" s="4">
        <v>0.3</v>
      </c>
    </row>
    <row r="788" spans="1:9" x14ac:dyDescent="0.35">
      <c r="A788" s="3" t="s">
        <v>5358</v>
      </c>
      <c r="B788" s="3" t="s">
        <v>2121</v>
      </c>
      <c r="C788" s="4">
        <v>0.6</v>
      </c>
      <c r="D788" s="4">
        <v>5.0999999999999996</v>
      </c>
      <c r="E788" s="4">
        <v>13.1</v>
      </c>
      <c r="F788" s="4">
        <v>7.5</v>
      </c>
      <c r="G788" s="4">
        <v>58</v>
      </c>
      <c r="H788" s="4">
        <v>13.3</v>
      </c>
      <c r="I788" s="4">
        <v>2.2999999999999998</v>
      </c>
    </row>
    <row r="789" spans="1:9" x14ac:dyDescent="0.35">
      <c r="A789" s="3" t="s">
        <v>5359</v>
      </c>
      <c r="B789" s="3" t="s">
        <v>2123</v>
      </c>
      <c r="C789" s="4">
        <v>0.6</v>
      </c>
      <c r="D789" s="4">
        <v>5.0999999999999996</v>
      </c>
      <c r="E789" s="4">
        <v>13.1</v>
      </c>
      <c r="F789" s="4">
        <v>7.5</v>
      </c>
      <c r="G789" s="4">
        <v>58</v>
      </c>
      <c r="H789" s="4">
        <v>13.3</v>
      </c>
      <c r="I789" s="4">
        <v>2.2999999999999998</v>
      </c>
    </row>
    <row r="790" spans="1:9" x14ac:dyDescent="0.35">
      <c r="A790" s="3" t="s">
        <v>5360</v>
      </c>
      <c r="B790" s="3" t="s">
        <v>2127</v>
      </c>
      <c r="C790" s="4">
        <v>0.8</v>
      </c>
      <c r="D790" s="4">
        <v>9.3000000000000007</v>
      </c>
      <c r="E790" s="4">
        <v>28.6</v>
      </c>
      <c r="F790" s="4">
        <v>17.399999999999999</v>
      </c>
      <c r="G790" s="4">
        <v>36.6</v>
      </c>
      <c r="H790" s="4">
        <v>5.7</v>
      </c>
      <c r="I790" s="4">
        <v>1.6</v>
      </c>
    </row>
    <row r="791" spans="1:9" x14ac:dyDescent="0.35">
      <c r="A791" s="3" t="s">
        <v>5361</v>
      </c>
      <c r="B791" s="3" t="s">
        <v>2129</v>
      </c>
      <c r="C791" s="4">
        <v>0.8</v>
      </c>
      <c r="D791" s="4">
        <v>9.3000000000000007</v>
      </c>
      <c r="E791" s="4">
        <v>28.6</v>
      </c>
      <c r="F791" s="4">
        <v>17.399999999999999</v>
      </c>
      <c r="G791" s="4">
        <v>36.6</v>
      </c>
      <c r="H791" s="4">
        <v>5.7</v>
      </c>
      <c r="I791" s="4">
        <v>1.6</v>
      </c>
    </row>
    <row r="792" spans="1:9" x14ac:dyDescent="0.35">
      <c r="A792" s="3" t="s">
        <v>4445</v>
      </c>
      <c r="B792" s="3" t="s">
        <v>2131</v>
      </c>
      <c r="C792" s="4">
        <v>0.8</v>
      </c>
      <c r="D792" s="4">
        <v>13.5</v>
      </c>
      <c r="E792" s="4">
        <v>33.200000000000003</v>
      </c>
      <c r="F792" s="4">
        <v>12.9</v>
      </c>
      <c r="G792" s="4">
        <v>32.4</v>
      </c>
      <c r="H792" s="4">
        <v>5.9</v>
      </c>
      <c r="I792" s="4">
        <v>1.2</v>
      </c>
    </row>
    <row r="793" spans="1:9" x14ac:dyDescent="0.35">
      <c r="A793" s="3" t="s">
        <v>4447</v>
      </c>
      <c r="B793" s="3" t="s">
        <v>2135</v>
      </c>
      <c r="C793" s="4">
        <v>2.4</v>
      </c>
      <c r="D793" s="4">
        <v>34.799999999999997</v>
      </c>
      <c r="E793" s="4">
        <v>38.1</v>
      </c>
      <c r="F793" s="4">
        <v>7.7</v>
      </c>
      <c r="G793" s="4">
        <v>12.9</v>
      </c>
      <c r="H793" s="4">
        <v>3.7</v>
      </c>
      <c r="I793" s="4">
        <v>0.5</v>
      </c>
    </row>
    <row r="794" spans="1:9" x14ac:dyDescent="0.35">
      <c r="A794" s="3" t="s">
        <v>5362</v>
      </c>
      <c r="B794" s="3" t="s">
        <v>2139</v>
      </c>
      <c r="C794" s="4">
        <v>15.2</v>
      </c>
      <c r="D794" s="4">
        <v>47.4</v>
      </c>
      <c r="E794" s="4">
        <v>22.8</v>
      </c>
      <c r="F794" s="4">
        <v>6.8</v>
      </c>
      <c r="G794" s="4">
        <v>6.4</v>
      </c>
      <c r="H794" s="4">
        <v>1.1000000000000001</v>
      </c>
      <c r="I794" s="4">
        <v>0.3</v>
      </c>
    </row>
    <row r="795" spans="1:9" x14ac:dyDescent="0.35">
      <c r="A795" s="3" t="s">
        <v>5363</v>
      </c>
      <c r="B795" s="3" t="s">
        <v>2141</v>
      </c>
      <c r="C795" s="4">
        <v>15.2</v>
      </c>
      <c r="D795" s="4">
        <v>47.4</v>
      </c>
      <c r="E795" s="4">
        <v>22.8</v>
      </c>
      <c r="F795" s="4">
        <v>6.8</v>
      </c>
      <c r="G795" s="4">
        <v>6.4</v>
      </c>
      <c r="H795" s="4">
        <v>1.1000000000000001</v>
      </c>
      <c r="I795" s="4">
        <v>0.3</v>
      </c>
    </row>
    <row r="796" spans="1:9" x14ac:dyDescent="0.35">
      <c r="A796" s="3" t="s">
        <v>5364</v>
      </c>
      <c r="B796" s="3" t="s">
        <v>2143</v>
      </c>
      <c r="C796" s="4">
        <v>15.2</v>
      </c>
      <c r="D796" s="4">
        <v>47.4</v>
      </c>
      <c r="E796" s="4">
        <v>22.8</v>
      </c>
      <c r="F796" s="4">
        <v>6.8</v>
      </c>
      <c r="G796" s="4">
        <v>6.4</v>
      </c>
      <c r="H796" s="4">
        <v>1.1000000000000001</v>
      </c>
      <c r="I796" s="4">
        <v>0.3</v>
      </c>
    </row>
    <row r="797" spans="1:9" x14ac:dyDescent="0.35">
      <c r="A797" s="3" t="s">
        <v>4881</v>
      </c>
      <c r="B797" s="3" t="s">
        <v>2147</v>
      </c>
      <c r="C797" s="4">
        <v>7.8</v>
      </c>
      <c r="D797" s="4">
        <v>43.1</v>
      </c>
      <c r="E797" s="4">
        <v>27.7</v>
      </c>
      <c r="F797" s="4">
        <v>9.6</v>
      </c>
      <c r="G797" s="4">
        <v>9.1</v>
      </c>
      <c r="H797" s="4">
        <v>2.2999999999999998</v>
      </c>
      <c r="I797" s="4">
        <v>0.4</v>
      </c>
    </row>
    <row r="798" spans="1:9" x14ac:dyDescent="0.35">
      <c r="A798" s="3" t="s">
        <v>4882</v>
      </c>
      <c r="B798" s="3" t="s">
        <v>2149</v>
      </c>
      <c r="C798" s="4">
        <v>8.4</v>
      </c>
      <c r="D798" s="4">
        <v>40.700000000000003</v>
      </c>
      <c r="E798" s="4">
        <v>29.4</v>
      </c>
      <c r="F798" s="4">
        <v>10.6</v>
      </c>
      <c r="G798" s="4">
        <v>9.1</v>
      </c>
      <c r="H798" s="4">
        <v>1.6</v>
      </c>
      <c r="I798" s="4">
        <v>0.4</v>
      </c>
    </row>
    <row r="799" spans="1:9" x14ac:dyDescent="0.35">
      <c r="A799" s="3" t="s">
        <v>4883</v>
      </c>
      <c r="B799" s="3" t="s">
        <v>2151</v>
      </c>
      <c r="C799" s="4">
        <v>13.3</v>
      </c>
      <c r="D799" s="4">
        <v>38.200000000000003</v>
      </c>
      <c r="E799" s="4">
        <v>24.5</v>
      </c>
      <c r="F799" s="4">
        <v>7.6</v>
      </c>
      <c r="G799" s="4">
        <v>12.2</v>
      </c>
      <c r="H799" s="4">
        <v>3.1</v>
      </c>
      <c r="I799" s="4">
        <v>1.1000000000000001</v>
      </c>
    </row>
    <row r="800" spans="1:9" x14ac:dyDescent="0.35">
      <c r="A800" s="3" t="s">
        <v>4884</v>
      </c>
      <c r="B800" s="3" t="s">
        <v>2153</v>
      </c>
      <c r="C800" s="4">
        <v>12.2</v>
      </c>
      <c r="D800" s="4">
        <v>31</v>
      </c>
      <c r="E800" s="4">
        <v>24.7</v>
      </c>
      <c r="F800" s="4">
        <v>8.6</v>
      </c>
      <c r="G800" s="4">
        <v>18</v>
      </c>
      <c r="H800" s="4">
        <v>4.2</v>
      </c>
      <c r="I800" s="4">
        <v>1.3</v>
      </c>
    </row>
    <row r="801" spans="1:9" x14ac:dyDescent="0.35">
      <c r="A801" s="3" t="s">
        <v>4885</v>
      </c>
      <c r="B801" s="3" t="s">
        <v>2155</v>
      </c>
      <c r="C801" s="4">
        <v>12.1</v>
      </c>
      <c r="D801" s="4">
        <v>38.299999999999997</v>
      </c>
      <c r="E801" s="4">
        <v>26.5</v>
      </c>
      <c r="F801" s="4">
        <v>9.1</v>
      </c>
      <c r="G801" s="4">
        <v>10.5</v>
      </c>
      <c r="H801" s="4">
        <v>2.8</v>
      </c>
      <c r="I801" s="4">
        <v>0.7</v>
      </c>
    </row>
    <row r="802" spans="1:9" x14ac:dyDescent="0.35">
      <c r="A802" s="3" t="s">
        <v>5365</v>
      </c>
      <c r="B802" s="3" t="s">
        <v>2161</v>
      </c>
      <c r="C802" s="4">
        <v>1.7</v>
      </c>
      <c r="D802" s="4">
        <v>40.799999999999997</v>
      </c>
      <c r="E802" s="4">
        <v>35.1</v>
      </c>
      <c r="F802" s="4">
        <v>10.6</v>
      </c>
      <c r="G802" s="4">
        <v>9.6</v>
      </c>
      <c r="H802" s="4">
        <v>1.9</v>
      </c>
      <c r="I802" s="4">
        <v>0.3</v>
      </c>
    </row>
    <row r="803" spans="1:9" x14ac:dyDescent="0.35">
      <c r="A803" s="3" t="s">
        <v>5366</v>
      </c>
      <c r="B803" s="3" t="s">
        <v>2163</v>
      </c>
      <c r="C803" s="4">
        <v>1.7</v>
      </c>
      <c r="D803" s="4">
        <v>40.799999999999997</v>
      </c>
      <c r="E803" s="4">
        <v>35.1</v>
      </c>
      <c r="F803" s="4">
        <v>10.6</v>
      </c>
      <c r="G803" s="4">
        <v>9.6</v>
      </c>
      <c r="H803" s="4">
        <v>1.9</v>
      </c>
      <c r="I803" s="4">
        <v>0.3</v>
      </c>
    </row>
    <row r="804" spans="1:9" x14ac:dyDescent="0.35">
      <c r="A804" s="3" t="s">
        <v>5367</v>
      </c>
      <c r="B804" s="3" t="s">
        <v>2165</v>
      </c>
      <c r="C804" s="4">
        <v>3</v>
      </c>
      <c r="D804" s="4">
        <v>41.7</v>
      </c>
      <c r="E804" s="4">
        <v>33</v>
      </c>
      <c r="F804" s="4">
        <v>7.9</v>
      </c>
      <c r="G804" s="4">
        <v>11.8</v>
      </c>
      <c r="H804" s="4">
        <v>2.5</v>
      </c>
      <c r="I804" s="4">
        <v>0.1</v>
      </c>
    </row>
    <row r="805" spans="1:9" x14ac:dyDescent="0.35">
      <c r="A805" s="3" t="s">
        <v>4889</v>
      </c>
      <c r="B805" s="3" t="s">
        <v>2167</v>
      </c>
      <c r="C805" s="4">
        <v>1.8</v>
      </c>
      <c r="D805" s="4">
        <v>37.799999999999997</v>
      </c>
      <c r="E805" s="4">
        <v>34.6</v>
      </c>
      <c r="F805" s="4">
        <v>10.8</v>
      </c>
      <c r="G805" s="4">
        <v>13.8</v>
      </c>
      <c r="H805" s="4">
        <v>0.9</v>
      </c>
      <c r="I805" s="4">
        <v>0.2</v>
      </c>
    </row>
    <row r="806" spans="1:9" x14ac:dyDescent="0.35">
      <c r="A806" s="3" t="s">
        <v>5368</v>
      </c>
      <c r="B806" s="3" t="s">
        <v>2169</v>
      </c>
      <c r="C806" s="4">
        <v>3</v>
      </c>
      <c r="D806" s="4">
        <v>41.7</v>
      </c>
      <c r="E806" s="4">
        <v>33</v>
      </c>
      <c r="F806" s="4">
        <v>7.9</v>
      </c>
      <c r="G806" s="4">
        <v>11.8</v>
      </c>
      <c r="H806" s="4">
        <v>2.5</v>
      </c>
      <c r="I806" s="4">
        <v>0.1</v>
      </c>
    </row>
    <row r="807" spans="1:9" x14ac:dyDescent="0.35">
      <c r="A807" s="3" t="s">
        <v>5369</v>
      </c>
      <c r="B807" s="3" t="s">
        <v>2171</v>
      </c>
      <c r="C807" s="4">
        <v>3</v>
      </c>
      <c r="D807" s="4">
        <v>41.7</v>
      </c>
      <c r="E807" s="4">
        <v>33</v>
      </c>
      <c r="F807" s="4">
        <v>7.9</v>
      </c>
      <c r="G807" s="4">
        <v>11.8</v>
      </c>
      <c r="H807" s="4">
        <v>2.5</v>
      </c>
      <c r="I807" s="4">
        <v>0.1</v>
      </c>
    </row>
    <row r="808" spans="1:9" x14ac:dyDescent="0.35">
      <c r="A808" s="3" t="s">
        <v>5370</v>
      </c>
      <c r="B808" s="3" t="s">
        <v>2175</v>
      </c>
      <c r="C808" s="4">
        <v>9.1999999999999993</v>
      </c>
      <c r="D808" s="4">
        <v>46.5</v>
      </c>
      <c r="E808" s="4">
        <v>22</v>
      </c>
      <c r="F808" s="4">
        <v>6</v>
      </c>
      <c r="G808" s="4">
        <v>13.8</v>
      </c>
      <c r="H808" s="4">
        <v>2.4</v>
      </c>
      <c r="I808" s="4">
        <v>0.1</v>
      </c>
    </row>
    <row r="809" spans="1:9" x14ac:dyDescent="0.35">
      <c r="A809" s="3" t="s">
        <v>5371</v>
      </c>
      <c r="B809" s="3" t="s">
        <v>2179</v>
      </c>
      <c r="C809" s="4">
        <v>6.6</v>
      </c>
      <c r="D809" s="4">
        <v>38.700000000000003</v>
      </c>
      <c r="E809" s="4">
        <v>26</v>
      </c>
      <c r="F809" s="4">
        <v>6</v>
      </c>
      <c r="G809" s="4">
        <v>17.600000000000001</v>
      </c>
      <c r="H809" s="4">
        <v>4.5</v>
      </c>
      <c r="I809" s="4">
        <v>0.7</v>
      </c>
    </row>
    <row r="810" spans="1:9" x14ac:dyDescent="0.35">
      <c r="A810" s="3" t="s">
        <v>5372</v>
      </c>
      <c r="B810" s="3" t="s">
        <v>2181</v>
      </c>
      <c r="C810" s="4">
        <v>6.6</v>
      </c>
      <c r="D810" s="4">
        <v>38.700000000000003</v>
      </c>
      <c r="E810" s="4">
        <v>26</v>
      </c>
      <c r="F810" s="4">
        <v>6</v>
      </c>
      <c r="G810" s="4">
        <v>17.600000000000001</v>
      </c>
      <c r="H810" s="4">
        <v>4.5</v>
      </c>
      <c r="I810" s="4">
        <v>0.7</v>
      </c>
    </row>
    <row r="811" spans="1:9" x14ac:dyDescent="0.35">
      <c r="A811" s="3" t="s">
        <v>5373</v>
      </c>
      <c r="B811" s="3" t="s">
        <v>2183</v>
      </c>
      <c r="C811" s="4">
        <v>9.1999999999999993</v>
      </c>
      <c r="D811" s="4">
        <v>46.5</v>
      </c>
      <c r="E811" s="4">
        <v>22</v>
      </c>
      <c r="F811" s="4">
        <v>6</v>
      </c>
      <c r="G811" s="4">
        <v>13.8</v>
      </c>
      <c r="H811" s="4">
        <v>2.4</v>
      </c>
      <c r="I811" s="4">
        <v>0.1</v>
      </c>
    </row>
    <row r="812" spans="1:9" x14ac:dyDescent="0.35">
      <c r="A812" s="3" t="s">
        <v>5374</v>
      </c>
      <c r="B812" s="3" t="s">
        <v>2187</v>
      </c>
      <c r="C812" s="4">
        <v>4.5</v>
      </c>
      <c r="D812" s="4">
        <v>35</v>
      </c>
      <c r="E812" s="4">
        <v>23.5</v>
      </c>
      <c r="F812" s="4">
        <v>11</v>
      </c>
      <c r="G812" s="4">
        <v>16.2</v>
      </c>
      <c r="H812" s="4">
        <v>7.8</v>
      </c>
      <c r="I812" s="4">
        <v>2</v>
      </c>
    </row>
    <row r="813" spans="1:9" x14ac:dyDescent="0.35">
      <c r="A813" s="3" t="s">
        <v>4460</v>
      </c>
      <c r="B813" s="3" t="s">
        <v>2189</v>
      </c>
      <c r="C813" s="4">
        <v>15.4</v>
      </c>
      <c r="D813" s="4">
        <v>42.2</v>
      </c>
      <c r="E813" s="4">
        <v>22.8</v>
      </c>
      <c r="F813" s="4">
        <v>7.4</v>
      </c>
      <c r="G813" s="4">
        <v>9.8000000000000007</v>
      </c>
      <c r="H813" s="4">
        <v>1.6</v>
      </c>
      <c r="I813" s="4">
        <v>0.9</v>
      </c>
    </row>
    <row r="814" spans="1:9" x14ac:dyDescent="0.35">
      <c r="A814" s="3" t="s">
        <v>5375</v>
      </c>
      <c r="B814" s="3" t="s">
        <v>2193</v>
      </c>
      <c r="C814" s="4">
        <v>12.3</v>
      </c>
      <c r="D814" s="4">
        <v>45.5</v>
      </c>
      <c r="E814" s="4">
        <v>25.2</v>
      </c>
      <c r="F814" s="4">
        <v>8.9</v>
      </c>
      <c r="G814" s="4">
        <v>7.1</v>
      </c>
      <c r="H814" s="4">
        <v>0.8</v>
      </c>
      <c r="I814" s="4">
        <v>0.2</v>
      </c>
    </row>
    <row r="815" spans="1:9" x14ac:dyDescent="0.35">
      <c r="A815" s="3" t="s">
        <v>5376</v>
      </c>
      <c r="B815" s="3" t="s">
        <v>2195</v>
      </c>
      <c r="C815" s="4">
        <v>12.3</v>
      </c>
      <c r="D815" s="4">
        <v>45.5</v>
      </c>
      <c r="E815" s="4">
        <v>25.2</v>
      </c>
      <c r="F815" s="4">
        <v>8.9</v>
      </c>
      <c r="G815" s="4">
        <v>7.1</v>
      </c>
      <c r="H815" s="4">
        <v>0.8</v>
      </c>
      <c r="I815" s="4">
        <v>0.2</v>
      </c>
    </row>
    <row r="816" spans="1:9" x14ac:dyDescent="0.35">
      <c r="A816" s="3" t="s">
        <v>5377</v>
      </c>
      <c r="B816" s="3" t="s">
        <v>2197</v>
      </c>
      <c r="C816" s="4">
        <v>4.5</v>
      </c>
      <c r="D816" s="4">
        <v>35</v>
      </c>
      <c r="E816" s="4">
        <v>23.5</v>
      </c>
      <c r="F816" s="4">
        <v>11</v>
      </c>
      <c r="G816" s="4">
        <v>16.2</v>
      </c>
      <c r="H816" s="4">
        <v>7.8</v>
      </c>
      <c r="I816" s="4">
        <v>2</v>
      </c>
    </row>
    <row r="817" spans="1:9" x14ac:dyDescent="0.35">
      <c r="A817" s="3" t="s">
        <v>4898</v>
      </c>
      <c r="B817" s="3" t="s">
        <v>2199</v>
      </c>
      <c r="C817" s="4">
        <v>4.9000000000000004</v>
      </c>
      <c r="D817" s="4">
        <v>26.9</v>
      </c>
      <c r="E817" s="4">
        <v>32.6</v>
      </c>
      <c r="F817" s="4">
        <v>15.2</v>
      </c>
      <c r="G817" s="4">
        <v>16.100000000000001</v>
      </c>
      <c r="H817" s="4">
        <v>3</v>
      </c>
      <c r="I817" s="4">
        <v>1.2</v>
      </c>
    </row>
    <row r="818" spans="1:9" x14ac:dyDescent="0.35">
      <c r="A818" s="3" t="s">
        <v>4899</v>
      </c>
      <c r="B818" s="3" t="s">
        <v>2201</v>
      </c>
      <c r="C818" s="4">
        <v>11.3</v>
      </c>
      <c r="D818" s="4">
        <v>44.2</v>
      </c>
      <c r="E818" s="4">
        <v>26.2</v>
      </c>
      <c r="F818" s="4">
        <v>8.9</v>
      </c>
      <c r="G818" s="4">
        <v>7</v>
      </c>
      <c r="H818" s="4">
        <v>2</v>
      </c>
      <c r="I818" s="4">
        <v>0.4</v>
      </c>
    </row>
    <row r="819" spans="1:9" x14ac:dyDescent="0.35">
      <c r="A819" s="3" t="s">
        <v>5378</v>
      </c>
      <c r="B819" s="3" t="s">
        <v>2203</v>
      </c>
      <c r="C819" s="4">
        <v>4.5</v>
      </c>
      <c r="D819" s="4">
        <v>35</v>
      </c>
      <c r="E819" s="4">
        <v>23.5</v>
      </c>
      <c r="F819" s="4">
        <v>11</v>
      </c>
      <c r="G819" s="4">
        <v>16.2</v>
      </c>
      <c r="H819" s="4">
        <v>7.8</v>
      </c>
      <c r="I819" s="4">
        <v>2</v>
      </c>
    </row>
    <row r="820" spans="1:9" x14ac:dyDescent="0.35">
      <c r="A820" s="3" t="s">
        <v>5379</v>
      </c>
      <c r="B820" s="3" t="s">
        <v>2207</v>
      </c>
      <c r="C820" s="4">
        <v>13.5</v>
      </c>
      <c r="D820" s="4">
        <v>56.7</v>
      </c>
      <c r="E820" s="4">
        <v>20.8</v>
      </c>
      <c r="F820" s="4">
        <v>5.7</v>
      </c>
      <c r="G820" s="4">
        <v>2.4</v>
      </c>
      <c r="H820" s="4">
        <v>0.7</v>
      </c>
      <c r="I820" s="4">
        <v>0.1</v>
      </c>
    </row>
    <row r="821" spans="1:9" x14ac:dyDescent="0.35">
      <c r="A821" s="3" t="s">
        <v>4465</v>
      </c>
      <c r="B821" s="3" t="s">
        <v>2209</v>
      </c>
      <c r="C821" s="4">
        <v>12.4</v>
      </c>
      <c r="D821" s="4">
        <v>53.2</v>
      </c>
      <c r="E821" s="4">
        <v>22.8</v>
      </c>
      <c r="F821" s="4">
        <v>7</v>
      </c>
      <c r="G821" s="4">
        <v>4.0999999999999996</v>
      </c>
      <c r="H821" s="4">
        <v>0.4</v>
      </c>
      <c r="I821" s="4">
        <v>0.1</v>
      </c>
    </row>
    <row r="822" spans="1:9" x14ac:dyDescent="0.35">
      <c r="A822" s="3" t="s">
        <v>5380</v>
      </c>
      <c r="B822" s="3" t="s">
        <v>2211</v>
      </c>
      <c r="C822" s="4">
        <v>13.5</v>
      </c>
      <c r="D822" s="4">
        <v>56.7</v>
      </c>
      <c r="E822" s="4">
        <v>20.8</v>
      </c>
      <c r="F822" s="4">
        <v>5.7</v>
      </c>
      <c r="G822" s="4">
        <v>2.4</v>
      </c>
      <c r="H822" s="4">
        <v>0.7</v>
      </c>
      <c r="I822" s="4">
        <v>0.1</v>
      </c>
    </row>
    <row r="823" spans="1:9" x14ac:dyDescent="0.35">
      <c r="A823" s="3" t="s">
        <v>5381</v>
      </c>
      <c r="B823" s="3" t="s">
        <v>2213</v>
      </c>
      <c r="C823" s="4">
        <v>13.5</v>
      </c>
      <c r="D823" s="4">
        <v>56.7</v>
      </c>
      <c r="E823" s="4">
        <v>20.8</v>
      </c>
      <c r="F823" s="4">
        <v>5.7</v>
      </c>
      <c r="G823" s="4">
        <v>2.4</v>
      </c>
      <c r="H823" s="4">
        <v>0.7</v>
      </c>
      <c r="I823" s="4">
        <v>0.1</v>
      </c>
    </row>
    <row r="824" spans="1:9" x14ac:dyDescent="0.35">
      <c r="A824" s="3" t="s">
        <v>4471</v>
      </c>
      <c r="B824" s="3" t="s">
        <v>2215</v>
      </c>
      <c r="C824" s="4">
        <v>18.8</v>
      </c>
      <c r="D824" s="4">
        <v>52.3</v>
      </c>
      <c r="E824" s="4">
        <v>19.5</v>
      </c>
      <c r="F824" s="4">
        <v>5.3</v>
      </c>
      <c r="G824" s="4">
        <v>3.5</v>
      </c>
      <c r="H824" s="4">
        <v>0.5</v>
      </c>
      <c r="I824" s="4">
        <v>0.2</v>
      </c>
    </row>
    <row r="825" spans="1:9" x14ac:dyDescent="0.35">
      <c r="A825" s="3" t="s">
        <v>4473</v>
      </c>
      <c r="B825" s="3" t="s">
        <v>2219</v>
      </c>
      <c r="C825" s="4">
        <v>26.2</v>
      </c>
      <c r="D825" s="4">
        <v>44.9</v>
      </c>
      <c r="E825" s="4">
        <v>17.3</v>
      </c>
      <c r="F825" s="4">
        <v>6.1</v>
      </c>
      <c r="G825" s="4">
        <v>4.5</v>
      </c>
      <c r="H825" s="4">
        <v>0.8</v>
      </c>
      <c r="I825" s="4">
        <v>0.2</v>
      </c>
    </row>
    <row r="826" spans="1:9" x14ac:dyDescent="0.35">
      <c r="A826" s="3" t="s">
        <v>4474</v>
      </c>
      <c r="B826" s="3" t="s">
        <v>2221</v>
      </c>
      <c r="C826" s="4">
        <v>16.399999999999999</v>
      </c>
      <c r="D826" s="4">
        <v>47.1</v>
      </c>
      <c r="E826" s="4">
        <v>21.4</v>
      </c>
      <c r="F826" s="4">
        <v>6.7</v>
      </c>
      <c r="G826" s="4">
        <v>6.9</v>
      </c>
      <c r="H826" s="4">
        <v>1.2</v>
      </c>
      <c r="I826" s="4">
        <v>0.3</v>
      </c>
    </row>
    <row r="827" spans="1:9" x14ac:dyDescent="0.35">
      <c r="A827" s="3" t="s">
        <v>4901</v>
      </c>
      <c r="B827" s="3" t="s">
        <v>2223</v>
      </c>
      <c r="C827" s="4">
        <v>20.100000000000001</v>
      </c>
      <c r="D827" s="4">
        <v>49.6</v>
      </c>
      <c r="E827" s="4">
        <v>15</v>
      </c>
      <c r="F827" s="4">
        <v>4.5999999999999996</v>
      </c>
      <c r="G827" s="4">
        <v>8.4</v>
      </c>
      <c r="H827" s="4">
        <v>1.8</v>
      </c>
      <c r="I827" s="4">
        <v>0.5</v>
      </c>
    </row>
    <row r="828" spans="1:9" x14ac:dyDescent="0.35">
      <c r="A828" s="3" t="s">
        <v>4477</v>
      </c>
      <c r="B828" s="3" t="s">
        <v>2225</v>
      </c>
      <c r="C828" s="4">
        <v>28.6</v>
      </c>
      <c r="D828" s="4">
        <v>41.3</v>
      </c>
      <c r="E828" s="4">
        <v>16.2</v>
      </c>
      <c r="F828" s="4">
        <v>5.9</v>
      </c>
      <c r="G828" s="4">
        <v>6.5</v>
      </c>
      <c r="H828" s="4">
        <v>1.1000000000000001</v>
      </c>
      <c r="I828" s="4">
        <v>0.4</v>
      </c>
    </row>
    <row r="829" spans="1:9" x14ac:dyDescent="0.35">
      <c r="A829" s="3" t="s">
        <v>4481</v>
      </c>
      <c r="B829" s="3" t="s">
        <v>2227</v>
      </c>
      <c r="C829" s="4">
        <v>12.3</v>
      </c>
      <c r="D829" s="4">
        <v>43.1</v>
      </c>
      <c r="E829" s="4">
        <v>24.4</v>
      </c>
      <c r="F829" s="4">
        <v>8.3000000000000007</v>
      </c>
      <c r="G829" s="4">
        <v>9.9</v>
      </c>
      <c r="H829" s="4">
        <v>1.7</v>
      </c>
      <c r="I829" s="4">
        <v>0.3</v>
      </c>
    </row>
    <row r="830" spans="1:9" x14ac:dyDescent="0.35">
      <c r="A830" s="3" t="s">
        <v>5382</v>
      </c>
      <c r="B830" s="3" t="s">
        <v>2231</v>
      </c>
      <c r="C830" s="4">
        <v>16.100000000000001</v>
      </c>
      <c r="D830" s="4">
        <v>41.2</v>
      </c>
      <c r="E830" s="4">
        <v>22.3</v>
      </c>
      <c r="F830" s="4">
        <v>8.3000000000000007</v>
      </c>
      <c r="G830" s="4">
        <v>10.6</v>
      </c>
      <c r="H830" s="4">
        <v>1.4</v>
      </c>
      <c r="I830" s="4">
        <v>0</v>
      </c>
    </row>
    <row r="831" spans="1:9" x14ac:dyDescent="0.35">
      <c r="A831" s="3" t="s">
        <v>5383</v>
      </c>
      <c r="B831" s="3" t="s">
        <v>2233</v>
      </c>
      <c r="C831" s="4">
        <v>16.100000000000001</v>
      </c>
      <c r="D831" s="4">
        <v>41.2</v>
      </c>
      <c r="E831" s="4">
        <v>22.3</v>
      </c>
      <c r="F831" s="4">
        <v>8.3000000000000007</v>
      </c>
      <c r="G831" s="4">
        <v>10.6</v>
      </c>
      <c r="H831" s="4">
        <v>1.4</v>
      </c>
      <c r="I831" s="4">
        <v>0</v>
      </c>
    </row>
    <row r="832" spans="1:9" x14ac:dyDescent="0.35">
      <c r="A832" s="3" t="s">
        <v>5384</v>
      </c>
      <c r="B832" s="3" t="s">
        <v>2235</v>
      </c>
      <c r="C832" s="4">
        <v>16.100000000000001</v>
      </c>
      <c r="D832" s="4">
        <v>41.2</v>
      </c>
      <c r="E832" s="4">
        <v>22.3</v>
      </c>
      <c r="F832" s="4">
        <v>8.3000000000000007</v>
      </c>
      <c r="G832" s="4">
        <v>10.6</v>
      </c>
      <c r="H832" s="4">
        <v>1.4</v>
      </c>
      <c r="I832" s="4">
        <v>0</v>
      </c>
    </row>
    <row r="833" spans="1:9" x14ac:dyDescent="0.35">
      <c r="A833" s="3" t="s">
        <v>4494</v>
      </c>
      <c r="B833" s="3" t="s">
        <v>2237</v>
      </c>
      <c r="C833" s="4">
        <v>24.9</v>
      </c>
      <c r="D833" s="4">
        <v>47.7</v>
      </c>
      <c r="E833" s="4">
        <v>15.1</v>
      </c>
      <c r="F833" s="4">
        <v>5.2</v>
      </c>
      <c r="G833" s="4">
        <v>6.1</v>
      </c>
      <c r="H833" s="4">
        <v>0.7</v>
      </c>
      <c r="I833" s="4">
        <v>0.2</v>
      </c>
    </row>
    <row r="834" spans="1:9" x14ac:dyDescent="0.35">
      <c r="A834" s="3" t="s">
        <v>5385</v>
      </c>
      <c r="B834" s="3" t="s">
        <v>2239</v>
      </c>
      <c r="C834" s="4">
        <v>16.399999999999999</v>
      </c>
      <c r="D834" s="4">
        <v>50.7</v>
      </c>
      <c r="E834" s="4">
        <v>19.5</v>
      </c>
      <c r="F834" s="4">
        <v>6.7</v>
      </c>
      <c r="G834" s="4">
        <v>5.4</v>
      </c>
      <c r="H834" s="4">
        <v>1.3</v>
      </c>
      <c r="I834" s="4">
        <v>0.1</v>
      </c>
    </row>
    <row r="835" spans="1:9" x14ac:dyDescent="0.35">
      <c r="A835" s="3" t="s">
        <v>5386</v>
      </c>
      <c r="B835" s="3" t="s">
        <v>2241</v>
      </c>
      <c r="C835" s="4">
        <v>16.399999999999999</v>
      </c>
      <c r="D835" s="4">
        <v>50.7</v>
      </c>
      <c r="E835" s="4">
        <v>19.5</v>
      </c>
      <c r="F835" s="4">
        <v>6.7</v>
      </c>
      <c r="G835" s="4">
        <v>5.4</v>
      </c>
      <c r="H835" s="4">
        <v>1.3</v>
      </c>
      <c r="I835" s="4">
        <v>0.1</v>
      </c>
    </row>
    <row r="836" spans="1:9" x14ac:dyDescent="0.35">
      <c r="A836" s="6" t="s">
        <v>52</v>
      </c>
      <c r="B836" s="6"/>
      <c r="C836" s="6"/>
      <c r="D836" s="6"/>
      <c r="E836" s="6"/>
      <c r="F836" s="6"/>
      <c r="G836" s="6"/>
      <c r="H836" s="6"/>
      <c r="I836" s="6"/>
    </row>
    <row r="837" spans="1:9" x14ac:dyDescent="0.35">
      <c r="A837" s="6" t="s">
        <v>4904</v>
      </c>
      <c r="B837" s="6"/>
      <c r="C837" s="6"/>
      <c r="D837" s="6"/>
      <c r="E837" s="6"/>
      <c r="F837" s="6"/>
      <c r="G837" s="6"/>
      <c r="H837" s="6"/>
      <c r="I837" s="6"/>
    </row>
    <row r="838" spans="1:9" x14ac:dyDescent="0.35">
      <c r="A838" s="15" t="s">
        <v>4916</v>
      </c>
      <c r="B838" s="6"/>
      <c r="C838" s="6"/>
      <c r="D838" s="6"/>
      <c r="E838" s="6"/>
      <c r="F838" s="6"/>
      <c r="G838" s="6"/>
      <c r="H838" s="6"/>
      <c r="I838" s="6"/>
    </row>
    <row r="839" spans="1:9" x14ac:dyDescent="0.35">
      <c r="A839" s="6" t="s">
        <v>4905</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defaultRowHeight="14.5" x14ac:dyDescent="0.35"/>
  <cols>
    <col min="1" max="1" width="60" customWidth="1"/>
    <col min="2" max="2" width="15" customWidth="1"/>
    <col min="3" max="3" width="30" customWidth="1"/>
    <col min="4" max="4" width="20" customWidth="1"/>
    <col min="5" max="5" width="30" customWidth="1"/>
  </cols>
  <sheetData>
    <row r="1" spans="1:5" x14ac:dyDescent="0.35">
      <c r="A1" s="1" t="s">
        <v>4906</v>
      </c>
    </row>
    <row r="2" spans="1:5" ht="39.5" x14ac:dyDescent="0.35">
      <c r="A2" s="2" t="s">
        <v>0</v>
      </c>
      <c r="B2" s="2" t="s">
        <v>1</v>
      </c>
      <c r="C2" s="2" t="s">
        <v>2349</v>
      </c>
      <c r="D2" s="2" t="s">
        <v>2350</v>
      </c>
      <c r="E2" s="2" t="s">
        <v>2351</v>
      </c>
    </row>
    <row r="3" spans="1:5" x14ac:dyDescent="0.35">
      <c r="A3" s="3" t="s">
        <v>3270</v>
      </c>
      <c r="B3" s="3" t="s">
        <v>64</v>
      </c>
      <c r="C3" s="3" t="s">
        <v>2353</v>
      </c>
      <c r="D3" s="3" t="s">
        <v>2354</v>
      </c>
      <c r="E3" s="3" t="s">
        <v>2355</v>
      </c>
    </row>
    <row r="4" spans="1:5" x14ac:dyDescent="0.35">
      <c r="A4" s="3" t="s">
        <v>4500</v>
      </c>
      <c r="B4" s="3" t="s">
        <v>67</v>
      </c>
      <c r="C4" s="3" t="s">
        <v>2353</v>
      </c>
      <c r="D4" s="3" t="s">
        <v>2354</v>
      </c>
      <c r="E4" s="3" t="s">
        <v>2355</v>
      </c>
    </row>
    <row r="5" spans="1:5" x14ac:dyDescent="0.35">
      <c r="A5" s="3" t="s">
        <v>4501</v>
      </c>
      <c r="B5" s="3" t="s">
        <v>69</v>
      </c>
      <c r="C5" s="3" t="s">
        <v>2353</v>
      </c>
      <c r="D5" s="3" t="s">
        <v>2356</v>
      </c>
      <c r="E5" s="3" t="s">
        <v>2355</v>
      </c>
    </row>
    <row r="6" spans="1:5" x14ac:dyDescent="0.35">
      <c r="A6" s="3" t="s">
        <v>3272</v>
      </c>
      <c r="B6" s="3" t="s">
        <v>73</v>
      </c>
      <c r="C6" s="3" t="s">
        <v>2353</v>
      </c>
      <c r="D6" s="3" t="s">
        <v>2356</v>
      </c>
      <c r="E6" s="3" t="s">
        <v>2355</v>
      </c>
    </row>
    <row r="7" spans="1:5" x14ac:dyDescent="0.35">
      <c r="A7" s="3" t="s">
        <v>3275</v>
      </c>
      <c r="B7" s="3" t="s">
        <v>77</v>
      </c>
      <c r="C7" s="3" t="s">
        <v>2353</v>
      </c>
      <c r="D7" s="3" t="s">
        <v>2354</v>
      </c>
      <c r="E7" s="3" t="s">
        <v>2355</v>
      </c>
    </row>
    <row r="8" spans="1:5" x14ac:dyDescent="0.35">
      <c r="A8" s="3" t="s">
        <v>3279</v>
      </c>
      <c r="B8" s="3" t="s">
        <v>79</v>
      </c>
      <c r="C8" s="3" t="s">
        <v>2353</v>
      </c>
      <c r="D8" s="3" t="s">
        <v>2356</v>
      </c>
      <c r="E8" s="3" t="s">
        <v>2355</v>
      </c>
    </row>
    <row r="9" spans="1:5" x14ac:dyDescent="0.35">
      <c r="A9" s="3" t="s">
        <v>4502</v>
      </c>
      <c r="B9" s="3" t="s">
        <v>83</v>
      </c>
      <c r="C9" s="3" t="s">
        <v>2353</v>
      </c>
      <c r="D9" s="3" t="s">
        <v>2354</v>
      </c>
      <c r="E9" s="3" t="s">
        <v>2355</v>
      </c>
    </row>
    <row r="10" spans="1:5" x14ac:dyDescent="0.35">
      <c r="A10" s="3" t="s">
        <v>4503</v>
      </c>
      <c r="B10" s="3" t="s">
        <v>85</v>
      </c>
      <c r="C10" s="3" t="s">
        <v>2353</v>
      </c>
      <c r="D10" s="3" t="s">
        <v>2354</v>
      </c>
      <c r="E10" s="3" t="s">
        <v>2355</v>
      </c>
    </row>
    <row r="11" spans="1:5" x14ac:dyDescent="0.35">
      <c r="A11" s="3" t="s">
        <v>4504</v>
      </c>
      <c r="B11" s="3" t="s">
        <v>91</v>
      </c>
      <c r="C11" s="3" t="s">
        <v>2353</v>
      </c>
      <c r="D11" s="3" t="s">
        <v>2356</v>
      </c>
      <c r="E11" s="3" t="s">
        <v>2355</v>
      </c>
    </row>
    <row r="12" spans="1:5" x14ac:dyDescent="0.35">
      <c r="A12" s="3" t="s">
        <v>4505</v>
      </c>
      <c r="B12" s="3" t="s">
        <v>93</v>
      </c>
      <c r="C12" s="3" t="s">
        <v>2353</v>
      </c>
      <c r="D12" s="3" t="s">
        <v>2356</v>
      </c>
      <c r="E12" s="3" t="s">
        <v>2355</v>
      </c>
    </row>
    <row r="13" spans="1:5" x14ac:dyDescent="0.35">
      <c r="A13" s="3" t="s">
        <v>3281</v>
      </c>
      <c r="B13" s="3" t="s">
        <v>95</v>
      </c>
      <c r="C13" s="3" t="s">
        <v>2353</v>
      </c>
      <c r="D13" s="3" t="s">
        <v>2354</v>
      </c>
      <c r="E13" s="3" t="s">
        <v>2355</v>
      </c>
    </row>
    <row r="14" spans="1:5" x14ac:dyDescent="0.35">
      <c r="A14" s="3" t="s">
        <v>3283</v>
      </c>
      <c r="B14" s="3" t="s">
        <v>97</v>
      </c>
      <c r="C14" s="3" t="s">
        <v>2353</v>
      </c>
      <c r="D14" s="3" t="s">
        <v>2354</v>
      </c>
      <c r="E14" s="3" t="s">
        <v>2355</v>
      </c>
    </row>
    <row r="15" spans="1:5" x14ac:dyDescent="0.35">
      <c r="A15" s="3" t="s">
        <v>4506</v>
      </c>
      <c r="B15" s="3" t="s">
        <v>99</v>
      </c>
      <c r="C15" s="3" t="s">
        <v>2353</v>
      </c>
      <c r="D15" s="3" t="s">
        <v>2354</v>
      </c>
      <c r="E15" s="3" t="s">
        <v>2355</v>
      </c>
    </row>
    <row r="16" spans="1:5" x14ac:dyDescent="0.35">
      <c r="A16" s="3" t="s">
        <v>4507</v>
      </c>
      <c r="B16" s="3" t="s">
        <v>101</v>
      </c>
      <c r="C16" s="3" t="s">
        <v>2353</v>
      </c>
      <c r="D16" s="3" t="s">
        <v>2354</v>
      </c>
      <c r="E16" s="3" t="s">
        <v>2355</v>
      </c>
    </row>
    <row r="17" spans="1:5" x14ac:dyDescent="0.35">
      <c r="A17" s="3" t="s">
        <v>3287</v>
      </c>
      <c r="B17" s="3" t="s">
        <v>103</v>
      </c>
      <c r="C17" s="3" t="s">
        <v>2357</v>
      </c>
      <c r="D17" s="3" t="s">
        <v>2354</v>
      </c>
      <c r="E17" s="3" t="s">
        <v>2355</v>
      </c>
    </row>
    <row r="18" spans="1:5" x14ac:dyDescent="0.35">
      <c r="A18" s="3" t="s">
        <v>3297</v>
      </c>
      <c r="B18" s="3" t="s">
        <v>105</v>
      </c>
      <c r="C18" s="3" t="s">
        <v>2353</v>
      </c>
      <c r="D18" s="3" t="s">
        <v>2354</v>
      </c>
      <c r="E18" s="3" t="s">
        <v>2355</v>
      </c>
    </row>
    <row r="19" spans="1:5" x14ac:dyDescent="0.35">
      <c r="A19" s="3" t="s">
        <v>4508</v>
      </c>
      <c r="B19" s="3" t="s">
        <v>107</v>
      </c>
      <c r="C19" s="3" t="s">
        <v>2353</v>
      </c>
      <c r="D19" s="3" t="s">
        <v>2354</v>
      </c>
      <c r="E19" s="3" t="s">
        <v>2355</v>
      </c>
    </row>
    <row r="20" spans="1:5" x14ac:dyDescent="0.35">
      <c r="A20" s="3" t="s">
        <v>4509</v>
      </c>
      <c r="B20" s="3" t="s">
        <v>109</v>
      </c>
      <c r="C20" s="3" t="s">
        <v>2353</v>
      </c>
      <c r="D20" s="3" t="s">
        <v>2354</v>
      </c>
      <c r="E20" s="3" t="s">
        <v>2355</v>
      </c>
    </row>
    <row r="21" spans="1:5" x14ac:dyDescent="0.35">
      <c r="A21" s="3" t="s">
        <v>4510</v>
      </c>
      <c r="B21" s="3" t="s">
        <v>113</v>
      </c>
      <c r="C21" s="3" t="s">
        <v>2357</v>
      </c>
      <c r="D21" s="3" t="s">
        <v>2354</v>
      </c>
      <c r="E21" s="3" t="s">
        <v>2355</v>
      </c>
    </row>
    <row r="22" spans="1:5" x14ac:dyDescent="0.35">
      <c r="A22" s="3" t="s">
        <v>3301</v>
      </c>
      <c r="B22" s="3" t="s">
        <v>115</v>
      </c>
      <c r="C22" s="3" t="s">
        <v>2353</v>
      </c>
      <c r="D22" s="3" t="s">
        <v>2355</v>
      </c>
      <c r="E22" s="3" t="s">
        <v>2358</v>
      </c>
    </row>
    <row r="23" spans="1:5" x14ac:dyDescent="0.35">
      <c r="A23" s="3" t="s">
        <v>4511</v>
      </c>
      <c r="B23" s="3" t="s">
        <v>119</v>
      </c>
      <c r="C23" s="3" t="s">
        <v>2353</v>
      </c>
      <c r="D23" s="3" t="s">
        <v>2356</v>
      </c>
      <c r="E23" s="3" t="s">
        <v>2355</v>
      </c>
    </row>
    <row r="24" spans="1:5" x14ac:dyDescent="0.35">
      <c r="A24" s="3" t="s">
        <v>4512</v>
      </c>
      <c r="B24" s="3" t="s">
        <v>121</v>
      </c>
      <c r="C24" s="3" t="s">
        <v>2359</v>
      </c>
      <c r="D24" s="3" t="s">
        <v>2354</v>
      </c>
      <c r="E24" s="3" t="s">
        <v>2355</v>
      </c>
    </row>
    <row r="25" spans="1:5" x14ac:dyDescent="0.35">
      <c r="A25" s="3" t="s">
        <v>4513</v>
      </c>
      <c r="B25" s="3" t="s">
        <v>123</v>
      </c>
      <c r="C25" s="3" t="s">
        <v>2359</v>
      </c>
      <c r="D25" s="3" t="s">
        <v>2356</v>
      </c>
      <c r="E25" s="3" t="s">
        <v>2355</v>
      </c>
    </row>
    <row r="26" spans="1:5" x14ac:dyDescent="0.35">
      <c r="A26" s="3" t="s">
        <v>4514</v>
      </c>
      <c r="B26" s="3" t="s">
        <v>125</v>
      </c>
      <c r="C26" s="3" t="s">
        <v>2353</v>
      </c>
      <c r="D26" s="3" t="s">
        <v>2356</v>
      </c>
      <c r="E26" s="3" t="s">
        <v>2355</v>
      </c>
    </row>
    <row r="27" spans="1:5" x14ac:dyDescent="0.35">
      <c r="A27" s="3" t="s">
        <v>4515</v>
      </c>
      <c r="B27" s="3" t="s">
        <v>127</v>
      </c>
      <c r="C27" s="3" t="s">
        <v>2353</v>
      </c>
      <c r="D27" s="3" t="s">
        <v>2354</v>
      </c>
      <c r="E27" s="3" t="s">
        <v>2355</v>
      </c>
    </row>
    <row r="28" spans="1:5" x14ac:dyDescent="0.35">
      <c r="A28" s="3" t="s">
        <v>3304</v>
      </c>
      <c r="B28" s="3" t="s">
        <v>129</v>
      </c>
      <c r="C28" s="3" t="s">
        <v>2357</v>
      </c>
      <c r="D28" s="3" t="s">
        <v>2356</v>
      </c>
      <c r="E28" s="3" t="s">
        <v>2360</v>
      </c>
    </row>
    <row r="29" spans="1:5" x14ac:dyDescent="0.35">
      <c r="A29" s="3" t="s">
        <v>4516</v>
      </c>
      <c r="B29" s="3" t="s">
        <v>133</v>
      </c>
      <c r="C29" s="3" t="s">
        <v>2357</v>
      </c>
      <c r="D29" s="3" t="s">
        <v>2356</v>
      </c>
      <c r="E29" s="3" t="s">
        <v>2355</v>
      </c>
    </row>
    <row r="30" spans="1:5" x14ac:dyDescent="0.35">
      <c r="A30" s="3" t="s">
        <v>4517</v>
      </c>
      <c r="B30" s="3" t="s">
        <v>135</v>
      </c>
      <c r="C30" s="3" t="s">
        <v>2353</v>
      </c>
      <c r="D30" s="3" t="s">
        <v>2356</v>
      </c>
      <c r="E30" s="3" t="s">
        <v>2355</v>
      </c>
    </row>
    <row r="31" spans="1:5" x14ac:dyDescent="0.35">
      <c r="A31" s="3" t="s">
        <v>4518</v>
      </c>
      <c r="B31" s="3" t="s">
        <v>137</v>
      </c>
      <c r="C31" s="3" t="s">
        <v>2357</v>
      </c>
      <c r="D31" s="3" t="s">
        <v>2356</v>
      </c>
      <c r="E31" s="3" t="s">
        <v>2355</v>
      </c>
    </row>
    <row r="32" spans="1:5" x14ac:dyDescent="0.35">
      <c r="A32" s="3" t="s">
        <v>3307</v>
      </c>
      <c r="B32" s="3" t="s">
        <v>139</v>
      </c>
      <c r="C32" s="3" t="s">
        <v>2353</v>
      </c>
      <c r="D32" s="3" t="s">
        <v>2356</v>
      </c>
      <c r="E32" s="3" t="s">
        <v>2355</v>
      </c>
    </row>
    <row r="33" spans="1:5" x14ac:dyDescent="0.35">
      <c r="A33" s="3" t="s">
        <v>4519</v>
      </c>
      <c r="B33" s="3" t="s">
        <v>141</v>
      </c>
      <c r="C33" s="3" t="s">
        <v>2353</v>
      </c>
      <c r="D33" s="3" t="s">
        <v>2354</v>
      </c>
      <c r="E33" s="3" t="s">
        <v>2355</v>
      </c>
    </row>
    <row r="34" spans="1:5" x14ac:dyDescent="0.35">
      <c r="A34" s="3" t="s">
        <v>4520</v>
      </c>
      <c r="B34" s="3" t="s">
        <v>143</v>
      </c>
      <c r="C34" s="3" t="s">
        <v>2357</v>
      </c>
      <c r="D34" s="3" t="s">
        <v>2356</v>
      </c>
      <c r="E34" s="3" t="s">
        <v>2358</v>
      </c>
    </row>
    <row r="35" spans="1:5" x14ac:dyDescent="0.35">
      <c r="A35" s="3" t="s">
        <v>4521</v>
      </c>
      <c r="B35" s="3" t="s">
        <v>145</v>
      </c>
      <c r="C35" s="3" t="s">
        <v>2357</v>
      </c>
      <c r="D35" s="3" t="s">
        <v>2356</v>
      </c>
      <c r="E35" s="3" t="s">
        <v>2360</v>
      </c>
    </row>
    <row r="36" spans="1:5" x14ac:dyDescent="0.35">
      <c r="A36" s="3" t="s">
        <v>4522</v>
      </c>
      <c r="B36" s="3" t="s">
        <v>147</v>
      </c>
      <c r="C36" s="3" t="s">
        <v>2353</v>
      </c>
      <c r="D36" s="3" t="s">
        <v>2356</v>
      </c>
      <c r="E36" s="3" t="s">
        <v>2355</v>
      </c>
    </row>
    <row r="37" spans="1:5" x14ac:dyDescent="0.35">
      <c r="A37" s="3" t="s">
        <v>4523</v>
      </c>
      <c r="B37" s="3" t="s">
        <v>149</v>
      </c>
      <c r="C37" s="3" t="s">
        <v>2353</v>
      </c>
      <c r="D37" s="3" t="s">
        <v>2354</v>
      </c>
      <c r="E37" s="3" t="s">
        <v>2355</v>
      </c>
    </row>
    <row r="38" spans="1:5" x14ac:dyDescent="0.35">
      <c r="A38" s="3" t="s">
        <v>4524</v>
      </c>
      <c r="B38" s="3" t="s">
        <v>153</v>
      </c>
      <c r="C38" s="3" t="s">
        <v>2361</v>
      </c>
      <c r="D38" s="3" t="s">
        <v>2356</v>
      </c>
      <c r="E38" s="3" t="s">
        <v>2355</v>
      </c>
    </row>
    <row r="39" spans="1:5" x14ac:dyDescent="0.35">
      <c r="A39" s="3" t="s">
        <v>4525</v>
      </c>
      <c r="B39" s="3" t="s">
        <v>155</v>
      </c>
      <c r="C39" s="3" t="s">
        <v>2357</v>
      </c>
      <c r="D39" s="3" t="s">
        <v>2356</v>
      </c>
      <c r="E39" s="3" t="s">
        <v>2355</v>
      </c>
    </row>
    <row r="40" spans="1:5" x14ac:dyDescent="0.35">
      <c r="A40" s="3" t="s">
        <v>4526</v>
      </c>
      <c r="B40" s="3" t="s">
        <v>157</v>
      </c>
      <c r="C40" s="3" t="s">
        <v>2353</v>
      </c>
      <c r="D40" s="3" t="s">
        <v>2356</v>
      </c>
      <c r="E40" s="3" t="s">
        <v>2355</v>
      </c>
    </row>
    <row r="41" spans="1:5" x14ac:dyDescent="0.35">
      <c r="A41" s="3" t="s">
        <v>4527</v>
      </c>
      <c r="B41" s="3" t="s">
        <v>161</v>
      </c>
      <c r="C41" s="3" t="s">
        <v>2353</v>
      </c>
      <c r="D41" s="3" t="s">
        <v>2356</v>
      </c>
      <c r="E41" s="3" t="s">
        <v>2355</v>
      </c>
    </row>
    <row r="42" spans="1:5" x14ac:dyDescent="0.35">
      <c r="A42" s="3" t="s">
        <v>3317</v>
      </c>
      <c r="B42" s="3" t="s">
        <v>163</v>
      </c>
      <c r="C42" s="3" t="s">
        <v>2353</v>
      </c>
      <c r="D42" s="3" t="s">
        <v>2355</v>
      </c>
      <c r="E42" s="3" t="s">
        <v>2358</v>
      </c>
    </row>
    <row r="43" spans="1:5" x14ac:dyDescent="0.35">
      <c r="A43" s="3" t="s">
        <v>3322</v>
      </c>
      <c r="B43" s="3" t="s">
        <v>167</v>
      </c>
      <c r="C43" s="3" t="s">
        <v>2357</v>
      </c>
      <c r="D43" s="3" t="s">
        <v>2355</v>
      </c>
      <c r="E43" s="3" t="s">
        <v>2362</v>
      </c>
    </row>
    <row r="44" spans="1:5" x14ac:dyDescent="0.35">
      <c r="A44" s="3" t="s">
        <v>3324</v>
      </c>
      <c r="B44" s="3" t="s">
        <v>169</v>
      </c>
      <c r="C44" s="3" t="s">
        <v>2363</v>
      </c>
      <c r="D44" s="3" t="s">
        <v>2355</v>
      </c>
      <c r="E44" s="3" t="s">
        <v>2358</v>
      </c>
    </row>
    <row r="45" spans="1:5" x14ac:dyDescent="0.35">
      <c r="A45" s="3" t="s">
        <v>4528</v>
      </c>
      <c r="B45" s="3" t="s">
        <v>171</v>
      </c>
      <c r="C45" s="3" t="s">
        <v>2353</v>
      </c>
      <c r="D45" s="3" t="s">
        <v>2355</v>
      </c>
      <c r="E45" s="3" t="s">
        <v>2358</v>
      </c>
    </row>
    <row r="46" spans="1:5" x14ac:dyDescent="0.35">
      <c r="A46" s="3" t="s">
        <v>3326</v>
      </c>
      <c r="B46" s="3" t="s">
        <v>173</v>
      </c>
      <c r="C46" s="3" t="s">
        <v>2353</v>
      </c>
      <c r="D46" s="3" t="s">
        <v>2355</v>
      </c>
      <c r="E46" s="3" t="s">
        <v>2358</v>
      </c>
    </row>
    <row r="47" spans="1:5" x14ac:dyDescent="0.35">
      <c r="A47" s="3" t="s">
        <v>3328</v>
      </c>
      <c r="B47" s="3" t="s">
        <v>177</v>
      </c>
      <c r="C47" s="3" t="s">
        <v>2353</v>
      </c>
      <c r="D47" s="3" t="s">
        <v>2355</v>
      </c>
      <c r="E47" s="3" t="s">
        <v>2355</v>
      </c>
    </row>
    <row r="48" spans="1:5" x14ac:dyDescent="0.35">
      <c r="A48" s="3" t="s">
        <v>4529</v>
      </c>
      <c r="B48" s="3" t="s">
        <v>179</v>
      </c>
      <c r="C48" s="3" t="s">
        <v>2364</v>
      </c>
      <c r="D48" s="3" t="s">
        <v>2356</v>
      </c>
      <c r="E48" s="3" t="s">
        <v>2360</v>
      </c>
    </row>
    <row r="49" spans="1:5" x14ac:dyDescent="0.35">
      <c r="A49" s="3" t="s">
        <v>3333</v>
      </c>
      <c r="B49" s="3" t="s">
        <v>181</v>
      </c>
      <c r="C49" s="3" t="s">
        <v>2353</v>
      </c>
      <c r="D49" s="3" t="s">
        <v>2356</v>
      </c>
      <c r="E49" s="3" t="s">
        <v>2355</v>
      </c>
    </row>
    <row r="50" spans="1:5" x14ac:dyDescent="0.35">
      <c r="A50" s="3" t="s">
        <v>3335</v>
      </c>
      <c r="B50" s="3" t="s">
        <v>185</v>
      </c>
      <c r="C50" s="3" t="s">
        <v>2353</v>
      </c>
      <c r="D50" s="3" t="s">
        <v>2355</v>
      </c>
      <c r="E50" s="3" t="s">
        <v>2355</v>
      </c>
    </row>
    <row r="51" spans="1:5" x14ac:dyDescent="0.35">
      <c r="A51" s="3" t="s">
        <v>3341</v>
      </c>
      <c r="B51" s="3" t="s">
        <v>187</v>
      </c>
      <c r="C51" s="3" t="s">
        <v>2353</v>
      </c>
      <c r="D51" s="3" t="s">
        <v>2355</v>
      </c>
      <c r="E51" s="3" t="s">
        <v>2355</v>
      </c>
    </row>
    <row r="52" spans="1:5" x14ac:dyDescent="0.35">
      <c r="A52" s="3" t="s">
        <v>3344</v>
      </c>
      <c r="B52" s="3" t="s">
        <v>189</v>
      </c>
      <c r="C52" s="3" t="s">
        <v>2353</v>
      </c>
      <c r="D52" s="3" t="s">
        <v>2356</v>
      </c>
      <c r="E52" s="3" t="s">
        <v>2355</v>
      </c>
    </row>
    <row r="53" spans="1:5" x14ac:dyDescent="0.35">
      <c r="A53" s="3" t="s">
        <v>4530</v>
      </c>
      <c r="B53" s="3" t="s">
        <v>191</v>
      </c>
      <c r="C53" s="3" t="s">
        <v>2353</v>
      </c>
      <c r="D53" s="3" t="s">
        <v>2355</v>
      </c>
      <c r="E53" s="3" t="s">
        <v>2355</v>
      </c>
    </row>
    <row r="54" spans="1:5" x14ac:dyDescent="0.35">
      <c r="A54" s="3" t="s">
        <v>4531</v>
      </c>
      <c r="B54" s="3" t="s">
        <v>193</v>
      </c>
      <c r="C54" s="3" t="s">
        <v>2353</v>
      </c>
      <c r="D54" s="3" t="s">
        <v>2355</v>
      </c>
      <c r="E54" s="3" t="s">
        <v>2355</v>
      </c>
    </row>
    <row r="55" spans="1:5" x14ac:dyDescent="0.35">
      <c r="A55" s="3" t="s">
        <v>4532</v>
      </c>
      <c r="B55" s="3" t="s">
        <v>195</v>
      </c>
      <c r="C55" s="3" t="s">
        <v>2353</v>
      </c>
      <c r="D55" s="3" t="s">
        <v>2356</v>
      </c>
      <c r="E55" s="3" t="s">
        <v>2355</v>
      </c>
    </row>
    <row r="56" spans="1:5" x14ac:dyDescent="0.35">
      <c r="A56" s="3" t="s">
        <v>3347</v>
      </c>
      <c r="B56" s="3" t="s">
        <v>197</v>
      </c>
      <c r="C56" s="3" t="s">
        <v>2353</v>
      </c>
      <c r="D56" s="3" t="s">
        <v>2356</v>
      </c>
      <c r="E56" s="3" t="s">
        <v>2355</v>
      </c>
    </row>
    <row r="57" spans="1:5" x14ac:dyDescent="0.35">
      <c r="A57" s="3" t="s">
        <v>3349</v>
      </c>
      <c r="B57" s="3" t="s">
        <v>199</v>
      </c>
      <c r="C57" s="3" t="s">
        <v>2353</v>
      </c>
      <c r="D57" s="3" t="s">
        <v>2355</v>
      </c>
      <c r="E57" s="3" t="s">
        <v>2355</v>
      </c>
    </row>
    <row r="58" spans="1:5" x14ac:dyDescent="0.35">
      <c r="A58" s="3" t="s">
        <v>3353</v>
      </c>
      <c r="B58" s="3" t="s">
        <v>201</v>
      </c>
      <c r="C58" s="3" t="s">
        <v>2353</v>
      </c>
      <c r="D58" s="3" t="s">
        <v>2355</v>
      </c>
      <c r="E58" s="3" t="s">
        <v>2355</v>
      </c>
    </row>
    <row r="59" spans="1:5" x14ac:dyDescent="0.35">
      <c r="A59" s="3" t="s">
        <v>4533</v>
      </c>
      <c r="B59" s="3" t="s">
        <v>205</v>
      </c>
      <c r="C59" s="3" t="s">
        <v>2353</v>
      </c>
      <c r="D59" s="3" t="s">
        <v>2355</v>
      </c>
      <c r="E59" s="3" t="s">
        <v>2355</v>
      </c>
    </row>
    <row r="60" spans="1:5" x14ac:dyDescent="0.35">
      <c r="A60" s="3" t="s">
        <v>4534</v>
      </c>
      <c r="B60" s="3" t="s">
        <v>207</v>
      </c>
      <c r="C60" s="3" t="s">
        <v>2353</v>
      </c>
      <c r="D60" s="3" t="s">
        <v>2355</v>
      </c>
      <c r="E60" s="3" t="s">
        <v>2362</v>
      </c>
    </row>
    <row r="61" spans="1:5" x14ac:dyDescent="0.35">
      <c r="A61" s="3" t="s">
        <v>4535</v>
      </c>
      <c r="B61" s="3" t="s">
        <v>209</v>
      </c>
      <c r="C61" s="3" t="s">
        <v>2353</v>
      </c>
      <c r="D61" s="3" t="s">
        <v>2355</v>
      </c>
      <c r="E61" s="3" t="s">
        <v>2355</v>
      </c>
    </row>
    <row r="62" spans="1:5" x14ac:dyDescent="0.35">
      <c r="A62" s="3" t="s">
        <v>3355</v>
      </c>
      <c r="B62" s="3" t="s">
        <v>211</v>
      </c>
      <c r="C62" s="3" t="s">
        <v>2353</v>
      </c>
      <c r="D62" s="3" t="s">
        <v>2355</v>
      </c>
      <c r="E62" s="3" t="s">
        <v>2355</v>
      </c>
    </row>
    <row r="63" spans="1:5" x14ac:dyDescent="0.35">
      <c r="A63" s="3" t="s">
        <v>3357</v>
      </c>
      <c r="B63" s="3" t="s">
        <v>215</v>
      </c>
      <c r="C63" s="3" t="s">
        <v>2353</v>
      </c>
      <c r="D63" s="3" t="s">
        <v>2355</v>
      </c>
      <c r="E63" s="3" t="s">
        <v>2355</v>
      </c>
    </row>
    <row r="64" spans="1:5" x14ac:dyDescent="0.35">
      <c r="A64" s="3" t="s">
        <v>3360</v>
      </c>
      <c r="B64" s="3" t="s">
        <v>217</v>
      </c>
      <c r="C64" s="3" t="s">
        <v>2353</v>
      </c>
      <c r="D64" s="3" t="s">
        <v>2355</v>
      </c>
      <c r="E64" s="3" t="s">
        <v>2362</v>
      </c>
    </row>
    <row r="65" spans="1:5" x14ac:dyDescent="0.35">
      <c r="A65" s="3" t="s">
        <v>3363</v>
      </c>
      <c r="B65" s="3" t="s">
        <v>219</v>
      </c>
      <c r="C65" s="3" t="s">
        <v>2353</v>
      </c>
      <c r="D65" s="3" t="s">
        <v>2355</v>
      </c>
      <c r="E65" s="3" t="s">
        <v>2358</v>
      </c>
    </row>
    <row r="66" spans="1:5" x14ac:dyDescent="0.35">
      <c r="A66" s="3" t="s">
        <v>4536</v>
      </c>
      <c r="B66" s="3" t="s">
        <v>221</v>
      </c>
      <c r="C66" s="3" t="s">
        <v>2353</v>
      </c>
      <c r="D66" s="3" t="s">
        <v>2355</v>
      </c>
      <c r="E66" s="3" t="s">
        <v>2355</v>
      </c>
    </row>
    <row r="67" spans="1:5" x14ac:dyDescent="0.35">
      <c r="A67" s="3" t="s">
        <v>3367</v>
      </c>
      <c r="B67" s="3" t="s">
        <v>223</v>
      </c>
      <c r="C67" s="3" t="s">
        <v>2353</v>
      </c>
      <c r="D67" s="3" t="s">
        <v>2355</v>
      </c>
      <c r="E67" s="3" t="s">
        <v>2362</v>
      </c>
    </row>
    <row r="68" spans="1:5" x14ac:dyDescent="0.35">
      <c r="A68" s="3" t="s">
        <v>4537</v>
      </c>
      <c r="B68" s="3" t="s">
        <v>227</v>
      </c>
      <c r="C68" s="3" t="s">
        <v>2353</v>
      </c>
      <c r="D68" s="3" t="s">
        <v>2355</v>
      </c>
      <c r="E68" s="3" t="s">
        <v>2358</v>
      </c>
    </row>
    <row r="69" spans="1:5" x14ac:dyDescent="0.35">
      <c r="A69" s="3" t="s">
        <v>3370</v>
      </c>
      <c r="B69" s="3" t="s">
        <v>229</v>
      </c>
      <c r="C69" s="3" t="s">
        <v>2353</v>
      </c>
      <c r="D69" s="3" t="s">
        <v>2356</v>
      </c>
      <c r="E69" s="3" t="s">
        <v>2358</v>
      </c>
    </row>
    <row r="70" spans="1:5" x14ac:dyDescent="0.35">
      <c r="A70" s="3" t="s">
        <v>4538</v>
      </c>
      <c r="B70" s="3" t="s">
        <v>233</v>
      </c>
      <c r="C70" s="3" t="s">
        <v>2353</v>
      </c>
      <c r="D70" s="3" t="s">
        <v>2355</v>
      </c>
      <c r="E70" s="3" t="s">
        <v>2358</v>
      </c>
    </row>
    <row r="71" spans="1:5" x14ac:dyDescent="0.35">
      <c r="A71" s="3" t="s">
        <v>4539</v>
      </c>
      <c r="B71" s="3" t="s">
        <v>235</v>
      </c>
      <c r="C71" s="3" t="s">
        <v>2357</v>
      </c>
      <c r="D71" s="3" t="s">
        <v>2355</v>
      </c>
      <c r="E71" s="3" t="s">
        <v>2358</v>
      </c>
    </row>
    <row r="72" spans="1:5" x14ac:dyDescent="0.35">
      <c r="A72" s="3" t="s">
        <v>4540</v>
      </c>
      <c r="B72" s="3" t="s">
        <v>237</v>
      </c>
      <c r="C72" s="3" t="s">
        <v>2353</v>
      </c>
      <c r="D72" s="3" t="s">
        <v>2355</v>
      </c>
      <c r="E72" s="3" t="s">
        <v>2355</v>
      </c>
    </row>
    <row r="73" spans="1:5" x14ac:dyDescent="0.35">
      <c r="A73" s="3" t="s">
        <v>3372</v>
      </c>
      <c r="B73" s="3" t="s">
        <v>243</v>
      </c>
      <c r="C73" s="3" t="s">
        <v>2353</v>
      </c>
      <c r="D73" s="3" t="s">
        <v>2355</v>
      </c>
      <c r="E73" s="3" t="s">
        <v>2355</v>
      </c>
    </row>
    <row r="74" spans="1:5" x14ac:dyDescent="0.35">
      <c r="A74" s="3" t="s">
        <v>3380</v>
      </c>
      <c r="B74" s="3" t="s">
        <v>245</v>
      </c>
      <c r="C74" s="3" t="s">
        <v>2353</v>
      </c>
      <c r="D74" s="3" t="s">
        <v>2356</v>
      </c>
      <c r="E74" s="3" t="s">
        <v>2355</v>
      </c>
    </row>
    <row r="75" spans="1:5" x14ac:dyDescent="0.35">
      <c r="A75" s="3" t="s">
        <v>3382</v>
      </c>
      <c r="B75" s="3" t="s">
        <v>247</v>
      </c>
      <c r="C75" s="3" t="s">
        <v>2359</v>
      </c>
      <c r="D75" s="3" t="s">
        <v>2355</v>
      </c>
      <c r="E75" s="3" t="s">
        <v>2355</v>
      </c>
    </row>
    <row r="76" spans="1:5" x14ac:dyDescent="0.35">
      <c r="A76" s="3" t="s">
        <v>3384</v>
      </c>
      <c r="B76" s="3" t="s">
        <v>251</v>
      </c>
      <c r="C76" s="3" t="s">
        <v>2361</v>
      </c>
      <c r="D76" s="3" t="s">
        <v>2355</v>
      </c>
      <c r="E76" s="3" t="s">
        <v>2358</v>
      </c>
    </row>
    <row r="77" spans="1:5" x14ac:dyDescent="0.35">
      <c r="A77" s="3" t="s">
        <v>3387</v>
      </c>
      <c r="B77" s="3" t="s">
        <v>253</v>
      </c>
      <c r="C77" s="3" t="s">
        <v>2365</v>
      </c>
      <c r="D77" s="3" t="s">
        <v>2355</v>
      </c>
      <c r="E77" s="3" t="s">
        <v>2358</v>
      </c>
    </row>
    <row r="78" spans="1:5" x14ac:dyDescent="0.35">
      <c r="A78" s="3" t="s">
        <v>3390</v>
      </c>
      <c r="B78" s="3" t="s">
        <v>257</v>
      </c>
      <c r="C78" s="3" t="s">
        <v>2353</v>
      </c>
      <c r="D78" s="3" t="s">
        <v>2354</v>
      </c>
      <c r="E78" s="3" t="s">
        <v>2355</v>
      </c>
    </row>
    <row r="79" spans="1:5" x14ac:dyDescent="0.35">
      <c r="A79" s="3" t="s">
        <v>3392</v>
      </c>
      <c r="B79" s="3" t="s">
        <v>259</v>
      </c>
      <c r="C79" s="3" t="s">
        <v>2353</v>
      </c>
      <c r="D79" s="3" t="s">
        <v>2355</v>
      </c>
      <c r="E79" s="3" t="s">
        <v>2355</v>
      </c>
    </row>
    <row r="80" spans="1:5" x14ac:dyDescent="0.35">
      <c r="A80" s="3" t="s">
        <v>3393</v>
      </c>
      <c r="B80" s="3" t="s">
        <v>261</v>
      </c>
      <c r="C80" s="3" t="s">
        <v>2353</v>
      </c>
      <c r="D80" s="3" t="s">
        <v>2356</v>
      </c>
      <c r="E80" s="3" t="s">
        <v>2355</v>
      </c>
    </row>
    <row r="81" spans="1:5" x14ac:dyDescent="0.35">
      <c r="A81" s="3" t="s">
        <v>3394</v>
      </c>
      <c r="B81" s="3" t="s">
        <v>263</v>
      </c>
      <c r="C81" s="3" t="s">
        <v>2353</v>
      </c>
      <c r="D81" s="3" t="s">
        <v>2355</v>
      </c>
      <c r="E81" s="3" t="s">
        <v>2355</v>
      </c>
    </row>
    <row r="82" spans="1:5" x14ac:dyDescent="0.35">
      <c r="A82" s="3" t="s">
        <v>3396</v>
      </c>
      <c r="B82" s="3" t="s">
        <v>267</v>
      </c>
      <c r="C82" s="3" t="s">
        <v>2353</v>
      </c>
      <c r="D82" s="3" t="s">
        <v>2355</v>
      </c>
      <c r="E82" s="3" t="s">
        <v>2355</v>
      </c>
    </row>
    <row r="83" spans="1:5" x14ac:dyDescent="0.35">
      <c r="A83" s="3" t="s">
        <v>3399</v>
      </c>
      <c r="B83" s="3" t="s">
        <v>269</v>
      </c>
      <c r="C83" s="3" t="s">
        <v>2353</v>
      </c>
      <c r="D83" s="3" t="s">
        <v>2355</v>
      </c>
      <c r="E83" s="3" t="s">
        <v>2355</v>
      </c>
    </row>
    <row r="84" spans="1:5" x14ac:dyDescent="0.35">
      <c r="A84" s="3" t="s">
        <v>3403</v>
      </c>
      <c r="B84" s="3" t="s">
        <v>271</v>
      </c>
      <c r="C84" s="3" t="s">
        <v>2353</v>
      </c>
      <c r="D84" s="3" t="s">
        <v>2355</v>
      </c>
      <c r="E84" s="3" t="s">
        <v>2355</v>
      </c>
    </row>
    <row r="85" spans="1:5" x14ac:dyDescent="0.35">
      <c r="A85" s="3" t="s">
        <v>3405</v>
      </c>
      <c r="B85" s="3" t="s">
        <v>273</v>
      </c>
      <c r="C85" s="3" t="s">
        <v>2353</v>
      </c>
      <c r="D85" s="3" t="s">
        <v>2355</v>
      </c>
      <c r="E85" s="3" t="s">
        <v>2355</v>
      </c>
    </row>
    <row r="86" spans="1:5" x14ac:dyDescent="0.35">
      <c r="A86" s="3" t="s">
        <v>3407</v>
      </c>
      <c r="B86" s="3" t="s">
        <v>275</v>
      </c>
      <c r="C86" s="3" t="s">
        <v>2353</v>
      </c>
      <c r="D86" s="3" t="s">
        <v>2355</v>
      </c>
      <c r="E86" s="3" t="s">
        <v>2355</v>
      </c>
    </row>
    <row r="87" spans="1:5" x14ac:dyDescent="0.35">
      <c r="A87" s="3" t="s">
        <v>3409</v>
      </c>
      <c r="B87" s="3" t="s">
        <v>277</v>
      </c>
      <c r="C87" s="3" t="s">
        <v>2353</v>
      </c>
      <c r="D87" s="3" t="s">
        <v>2355</v>
      </c>
      <c r="E87" s="3" t="s">
        <v>2355</v>
      </c>
    </row>
    <row r="88" spans="1:5" x14ac:dyDescent="0.35">
      <c r="A88" s="3" t="s">
        <v>3411</v>
      </c>
      <c r="B88" s="3" t="s">
        <v>281</v>
      </c>
      <c r="C88" s="3" t="s">
        <v>2353</v>
      </c>
      <c r="D88" s="3" t="s">
        <v>2355</v>
      </c>
      <c r="E88" s="3" t="s">
        <v>2362</v>
      </c>
    </row>
    <row r="89" spans="1:5" x14ac:dyDescent="0.35">
      <c r="A89" s="3" t="s">
        <v>4541</v>
      </c>
      <c r="B89" s="3" t="s">
        <v>283</v>
      </c>
      <c r="C89" s="3" t="s">
        <v>2359</v>
      </c>
      <c r="D89" s="3" t="s">
        <v>2355</v>
      </c>
      <c r="E89" s="3" t="s">
        <v>2355</v>
      </c>
    </row>
    <row r="90" spans="1:5" x14ac:dyDescent="0.35">
      <c r="A90" s="3" t="s">
        <v>3413</v>
      </c>
      <c r="B90" s="3" t="s">
        <v>285</v>
      </c>
      <c r="C90" s="3" t="s">
        <v>2353</v>
      </c>
      <c r="D90" s="3" t="s">
        <v>2355</v>
      </c>
      <c r="E90" s="3" t="s">
        <v>2355</v>
      </c>
    </row>
    <row r="91" spans="1:5" x14ac:dyDescent="0.35">
      <c r="A91" s="3" t="s">
        <v>3415</v>
      </c>
      <c r="B91" s="3" t="s">
        <v>287</v>
      </c>
      <c r="C91" s="3" t="s">
        <v>2359</v>
      </c>
      <c r="D91" s="3" t="s">
        <v>2355</v>
      </c>
      <c r="E91" s="3" t="s">
        <v>2355</v>
      </c>
    </row>
    <row r="92" spans="1:5" x14ac:dyDescent="0.35">
      <c r="A92" s="3" t="s">
        <v>3417</v>
      </c>
      <c r="B92" s="3" t="s">
        <v>289</v>
      </c>
      <c r="C92" s="3" t="s">
        <v>2353</v>
      </c>
      <c r="D92" s="3" t="s">
        <v>2355</v>
      </c>
      <c r="E92" s="3" t="s">
        <v>2355</v>
      </c>
    </row>
    <row r="93" spans="1:5" x14ac:dyDescent="0.35">
      <c r="A93" s="3" t="s">
        <v>4542</v>
      </c>
      <c r="B93" s="3" t="s">
        <v>291</v>
      </c>
      <c r="C93" s="3" t="s">
        <v>2353</v>
      </c>
      <c r="D93" s="3" t="s">
        <v>2355</v>
      </c>
      <c r="E93" s="3" t="s">
        <v>2355</v>
      </c>
    </row>
    <row r="94" spans="1:5" x14ac:dyDescent="0.35">
      <c r="A94" s="3" t="s">
        <v>3419</v>
      </c>
      <c r="B94" s="3" t="s">
        <v>297</v>
      </c>
      <c r="C94" s="3" t="s">
        <v>2353</v>
      </c>
      <c r="D94" s="3" t="s">
        <v>2355</v>
      </c>
      <c r="E94" s="3" t="s">
        <v>2366</v>
      </c>
    </row>
    <row r="95" spans="1:5" x14ac:dyDescent="0.35">
      <c r="A95" s="3" t="s">
        <v>4543</v>
      </c>
      <c r="B95" s="3" t="s">
        <v>299</v>
      </c>
      <c r="C95" s="3" t="s">
        <v>2353</v>
      </c>
      <c r="D95" s="3" t="s">
        <v>2355</v>
      </c>
      <c r="E95" s="3" t="s">
        <v>2366</v>
      </c>
    </row>
    <row r="96" spans="1:5" x14ac:dyDescent="0.35">
      <c r="A96" s="3" t="s">
        <v>4544</v>
      </c>
      <c r="B96" s="3" t="s">
        <v>303</v>
      </c>
      <c r="C96" s="3" t="s">
        <v>2353</v>
      </c>
      <c r="D96" s="3" t="s">
        <v>2355</v>
      </c>
      <c r="E96" s="3" t="s">
        <v>2355</v>
      </c>
    </row>
    <row r="97" spans="1:5" x14ac:dyDescent="0.35">
      <c r="A97" s="3" t="s">
        <v>4545</v>
      </c>
      <c r="B97" s="3" t="s">
        <v>305</v>
      </c>
      <c r="C97" s="3" t="s">
        <v>2353</v>
      </c>
      <c r="D97" s="3" t="s">
        <v>2355</v>
      </c>
      <c r="E97" s="3" t="s">
        <v>2366</v>
      </c>
    </row>
    <row r="98" spans="1:5" x14ac:dyDescent="0.35">
      <c r="A98" s="3" t="s">
        <v>3422</v>
      </c>
      <c r="B98" s="3" t="s">
        <v>309</v>
      </c>
      <c r="C98" s="3" t="s">
        <v>2353</v>
      </c>
      <c r="D98" s="3" t="s">
        <v>2355</v>
      </c>
      <c r="E98" s="3" t="s">
        <v>2355</v>
      </c>
    </row>
    <row r="99" spans="1:5" x14ac:dyDescent="0.35">
      <c r="A99" s="3" t="s">
        <v>3424</v>
      </c>
      <c r="B99" s="3" t="s">
        <v>311</v>
      </c>
      <c r="C99" s="3" t="s">
        <v>2353</v>
      </c>
      <c r="D99" s="3" t="s">
        <v>2355</v>
      </c>
      <c r="E99" s="3" t="s">
        <v>2355</v>
      </c>
    </row>
    <row r="100" spans="1:5" x14ac:dyDescent="0.35">
      <c r="A100" s="3" t="s">
        <v>4546</v>
      </c>
      <c r="B100" s="3" t="s">
        <v>313</v>
      </c>
      <c r="C100" s="3" t="s">
        <v>2353</v>
      </c>
      <c r="D100" s="3" t="s">
        <v>2355</v>
      </c>
      <c r="E100" s="3" t="s">
        <v>2355</v>
      </c>
    </row>
    <row r="101" spans="1:5" x14ac:dyDescent="0.35">
      <c r="A101" s="3" t="s">
        <v>3427</v>
      </c>
      <c r="B101" s="3" t="s">
        <v>315</v>
      </c>
      <c r="C101" s="3" t="s">
        <v>2353</v>
      </c>
      <c r="D101" s="3" t="s">
        <v>2355</v>
      </c>
      <c r="E101" s="3" t="s">
        <v>2355</v>
      </c>
    </row>
    <row r="102" spans="1:5" x14ac:dyDescent="0.35">
      <c r="A102" s="3" t="s">
        <v>3430</v>
      </c>
      <c r="B102" s="3" t="s">
        <v>317</v>
      </c>
      <c r="C102" s="3" t="s">
        <v>2353</v>
      </c>
      <c r="D102" s="3" t="s">
        <v>2355</v>
      </c>
      <c r="E102" s="3" t="s">
        <v>2355</v>
      </c>
    </row>
    <row r="103" spans="1:5" x14ac:dyDescent="0.35">
      <c r="A103" s="3" t="s">
        <v>3433</v>
      </c>
      <c r="B103" s="3" t="s">
        <v>319</v>
      </c>
      <c r="C103" s="3" t="s">
        <v>2353</v>
      </c>
      <c r="D103" s="3" t="s">
        <v>2355</v>
      </c>
      <c r="E103" s="3" t="s">
        <v>2355</v>
      </c>
    </row>
    <row r="104" spans="1:5" x14ac:dyDescent="0.35">
      <c r="A104" s="3" t="s">
        <v>3435</v>
      </c>
      <c r="B104" s="3" t="s">
        <v>323</v>
      </c>
      <c r="C104" s="3" t="s">
        <v>2353</v>
      </c>
      <c r="D104" s="3" t="s">
        <v>2355</v>
      </c>
      <c r="E104" s="3" t="s">
        <v>2355</v>
      </c>
    </row>
    <row r="105" spans="1:5" x14ac:dyDescent="0.35">
      <c r="A105" s="3" t="s">
        <v>3444</v>
      </c>
      <c r="B105" s="3" t="s">
        <v>325</v>
      </c>
      <c r="C105" s="3" t="s">
        <v>2353</v>
      </c>
      <c r="D105" s="3" t="s">
        <v>2355</v>
      </c>
      <c r="E105" s="3" t="s">
        <v>2355</v>
      </c>
    </row>
    <row r="106" spans="1:5" x14ac:dyDescent="0.35">
      <c r="A106" s="3" t="s">
        <v>3448</v>
      </c>
      <c r="B106" s="3" t="s">
        <v>327</v>
      </c>
      <c r="C106" s="3" t="s">
        <v>2353</v>
      </c>
      <c r="D106" s="3" t="s">
        <v>2355</v>
      </c>
      <c r="E106" s="3" t="s">
        <v>2355</v>
      </c>
    </row>
    <row r="107" spans="1:5" x14ac:dyDescent="0.35">
      <c r="A107" s="3" t="s">
        <v>4547</v>
      </c>
      <c r="B107" s="3" t="s">
        <v>331</v>
      </c>
      <c r="C107" s="3" t="s">
        <v>2353</v>
      </c>
      <c r="D107" s="3" t="s">
        <v>2355</v>
      </c>
      <c r="E107" s="3" t="s">
        <v>2355</v>
      </c>
    </row>
    <row r="108" spans="1:5" x14ac:dyDescent="0.35">
      <c r="A108" s="3" t="s">
        <v>3450</v>
      </c>
      <c r="B108" s="3" t="s">
        <v>333</v>
      </c>
      <c r="C108" s="3" t="s">
        <v>2353</v>
      </c>
      <c r="D108" s="3" t="s">
        <v>2355</v>
      </c>
      <c r="E108" s="3" t="s">
        <v>2355</v>
      </c>
    </row>
    <row r="109" spans="1:5" x14ac:dyDescent="0.35">
      <c r="A109" s="3" t="s">
        <v>3452</v>
      </c>
      <c r="B109" s="3" t="s">
        <v>335</v>
      </c>
      <c r="C109" s="3" t="s">
        <v>2353</v>
      </c>
      <c r="D109" s="3" t="s">
        <v>2355</v>
      </c>
      <c r="E109" s="3" t="s">
        <v>2355</v>
      </c>
    </row>
    <row r="110" spans="1:5" x14ac:dyDescent="0.35">
      <c r="A110" s="3" t="s">
        <v>3455</v>
      </c>
      <c r="B110" s="3" t="s">
        <v>337</v>
      </c>
      <c r="C110" s="3" t="s">
        <v>2353</v>
      </c>
      <c r="D110" s="3" t="s">
        <v>2355</v>
      </c>
      <c r="E110" s="3" t="s">
        <v>2355</v>
      </c>
    </row>
    <row r="111" spans="1:5" x14ac:dyDescent="0.35">
      <c r="A111" s="3" t="s">
        <v>3461</v>
      </c>
      <c r="B111" s="3" t="s">
        <v>339</v>
      </c>
      <c r="C111" s="3" t="s">
        <v>2353</v>
      </c>
      <c r="D111" s="3" t="s">
        <v>2355</v>
      </c>
      <c r="E111" s="3" t="s">
        <v>2355</v>
      </c>
    </row>
    <row r="112" spans="1:5" x14ac:dyDescent="0.35">
      <c r="A112" s="3" t="s">
        <v>4548</v>
      </c>
      <c r="B112" s="3" t="s">
        <v>341</v>
      </c>
      <c r="C112" s="3" t="s">
        <v>2353</v>
      </c>
      <c r="D112" s="3" t="s">
        <v>2355</v>
      </c>
      <c r="E112" s="3" t="s">
        <v>2355</v>
      </c>
    </row>
    <row r="113" spans="1:5" x14ac:dyDescent="0.35">
      <c r="A113" s="3" t="s">
        <v>4549</v>
      </c>
      <c r="B113" s="3" t="s">
        <v>343</v>
      </c>
      <c r="C113" s="3" t="s">
        <v>2353</v>
      </c>
      <c r="D113" s="3" t="s">
        <v>2355</v>
      </c>
      <c r="E113" s="3" t="s">
        <v>2355</v>
      </c>
    </row>
    <row r="114" spans="1:5" x14ac:dyDescent="0.35">
      <c r="A114" s="3" t="s">
        <v>4550</v>
      </c>
      <c r="B114" s="3" t="s">
        <v>345</v>
      </c>
      <c r="C114" s="3" t="s">
        <v>2353</v>
      </c>
      <c r="D114" s="3" t="s">
        <v>2355</v>
      </c>
      <c r="E114" s="3" t="s">
        <v>2355</v>
      </c>
    </row>
    <row r="115" spans="1:5" x14ac:dyDescent="0.35">
      <c r="A115" s="3" t="s">
        <v>4551</v>
      </c>
      <c r="B115" s="3" t="s">
        <v>347</v>
      </c>
      <c r="C115" s="3" t="s">
        <v>2353</v>
      </c>
      <c r="D115" s="3" t="s">
        <v>2355</v>
      </c>
      <c r="E115" s="3" t="s">
        <v>2355</v>
      </c>
    </row>
    <row r="116" spans="1:5" x14ac:dyDescent="0.35">
      <c r="A116" s="3" t="s">
        <v>3463</v>
      </c>
      <c r="B116" s="3" t="s">
        <v>353</v>
      </c>
      <c r="C116" s="3" t="s">
        <v>2361</v>
      </c>
      <c r="D116" s="3" t="s">
        <v>2355</v>
      </c>
      <c r="E116" s="3" t="s">
        <v>2355</v>
      </c>
    </row>
    <row r="117" spans="1:5" x14ac:dyDescent="0.35">
      <c r="A117" s="3" t="s">
        <v>3465</v>
      </c>
      <c r="B117" s="3" t="s">
        <v>355</v>
      </c>
      <c r="C117" s="3" t="s">
        <v>2361</v>
      </c>
      <c r="D117" s="3" t="s">
        <v>2355</v>
      </c>
      <c r="E117" s="3" t="s">
        <v>2355</v>
      </c>
    </row>
    <row r="118" spans="1:5" x14ac:dyDescent="0.35">
      <c r="A118" s="3" t="s">
        <v>3467</v>
      </c>
      <c r="B118" s="3" t="s">
        <v>357</v>
      </c>
      <c r="C118" s="3" t="s">
        <v>2361</v>
      </c>
      <c r="D118" s="3" t="s">
        <v>2355</v>
      </c>
      <c r="E118" s="3" t="s">
        <v>2355</v>
      </c>
    </row>
    <row r="119" spans="1:5" x14ac:dyDescent="0.35">
      <c r="A119" s="3" t="s">
        <v>3469</v>
      </c>
      <c r="B119" s="3" t="s">
        <v>359</v>
      </c>
      <c r="C119" s="3" t="s">
        <v>2361</v>
      </c>
      <c r="D119" s="3" t="s">
        <v>2355</v>
      </c>
      <c r="E119" s="3" t="s">
        <v>2355</v>
      </c>
    </row>
    <row r="120" spans="1:5" x14ac:dyDescent="0.35">
      <c r="A120" s="3" t="s">
        <v>3471</v>
      </c>
      <c r="B120" s="3" t="s">
        <v>363</v>
      </c>
      <c r="C120" s="3" t="s">
        <v>2361</v>
      </c>
      <c r="D120" s="3" t="s">
        <v>2355</v>
      </c>
      <c r="E120" s="3" t="s">
        <v>2355</v>
      </c>
    </row>
    <row r="121" spans="1:5" x14ac:dyDescent="0.35">
      <c r="A121" s="3" t="s">
        <v>3473</v>
      </c>
      <c r="B121" s="3" t="s">
        <v>365</v>
      </c>
      <c r="C121" s="3" t="s">
        <v>2361</v>
      </c>
      <c r="D121" s="3" t="s">
        <v>2355</v>
      </c>
      <c r="E121" s="3" t="s">
        <v>2355</v>
      </c>
    </row>
    <row r="122" spans="1:5" x14ac:dyDescent="0.35">
      <c r="A122" s="3" t="s">
        <v>3475</v>
      </c>
      <c r="B122" s="3" t="s">
        <v>367</v>
      </c>
      <c r="C122" s="3" t="s">
        <v>2361</v>
      </c>
      <c r="D122" s="3" t="s">
        <v>2355</v>
      </c>
      <c r="E122" s="3" t="s">
        <v>2355</v>
      </c>
    </row>
    <row r="123" spans="1:5" x14ac:dyDescent="0.35">
      <c r="A123" s="3" t="s">
        <v>3479</v>
      </c>
      <c r="B123" s="3" t="s">
        <v>369</v>
      </c>
      <c r="C123" s="3" t="s">
        <v>2361</v>
      </c>
      <c r="D123" s="3" t="s">
        <v>2355</v>
      </c>
      <c r="E123" s="3" t="s">
        <v>2355</v>
      </c>
    </row>
    <row r="124" spans="1:5" x14ac:dyDescent="0.35">
      <c r="A124" s="3" t="s">
        <v>3481</v>
      </c>
      <c r="B124" s="3" t="s">
        <v>371</v>
      </c>
      <c r="C124" s="3" t="s">
        <v>2361</v>
      </c>
      <c r="D124" s="3" t="s">
        <v>2355</v>
      </c>
      <c r="E124" s="3" t="s">
        <v>2355</v>
      </c>
    </row>
    <row r="125" spans="1:5" x14ac:dyDescent="0.35">
      <c r="A125" s="3" t="s">
        <v>4552</v>
      </c>
      <c r="B125" s="3" t="s">
        <v>373</v>
      </c>
      <c r="C125" s="3" t="s">
        <v>2361</v>
      </c>
      <c r="D125" s="3" t="s">
        <v>2355</v>
      </c>
      <c r="E125" s="3" t="s">
        <v>2355</v>
      </c>
    </row>
    <row r="126" spans="1:5" x14ac:dyDescent="0.35">
      <c r="A126" s="3" t="s">
        <v>3483</v>
      </c>
      <c r="B126" s="3" t="s">
        <v>375</v>
      </c>
      <c r="C126" s="3" t="s">
        <v>2361</v>
      </c>
      <c r="D126" s="3" t="s">
        <v>2355</v>
      </c>
      <c r="E126" s="3" t="s">
        <v>2355</v>
      </c>
    </row>
    <row r="127" spans="1:5" x14ac:dyDescent="0.35">
      <c r="A127" s="3" t="s">
        <v>4553</v>
      </c>
      <c r="B127" s="3" t="s">
        <v>377</v>
      </c>
      <c r="C127" s="3" t="s">
        <v>2361</v>
      </c>
      <c r="D127" s="3" t="s">
        <v>2355</v>
      </c>
      <c r="E127" s="3" t="s">
        <v>2355</v>
      </c>
    </row>
    <row r="128" spans="1:5" x14ac:dyDescent="0.35">
      <c r="A128" s="3" t="s">
        <v>4554</v>
      </c>
      <c r="B128" s="3" t="s">
        <v>379</v>
      </c>
      <c r="C128" s="3" t="s">
        <v>2361</v>
      </c>
      <c r="D128" s="3" t="s">
        <v>2355</v>
      </c>
      <c r="E128" s="3" t="s">
        <v>2355</v>
      </c>
    </row>
    <row r="129" spans="1:5" x14ac:dyDescent="0.35">
      <c r="A129" s="3" t="s">
        <v>4555</v>
      </c>
      <c r="B129" s="3" t="s">
        <v>381</v>
      </c>
      <c r="C129" s="3" t="s">
        <v>2357</v>
      </c>
      <c r="D129" s="3" t="s">
        <v>2355</v>
      </c>
      <c r="E129" s="3" t="s">
        <v>2358</v>
      </c>
    </row>
    <row r="130" spans="1:5" x14ac:dyDescent="0.35">
      <c r="A130" s="3" t="s">
        <v>4556</v>
      </c>
      <c r="B130" s="3" t="s">
        <v>387</v>
      </c>
      <c r="C130" s="3" t="s">
        <v>2353</v>
      </c>
      <c r="D130" s="3" t="s">
        <v>2355</v>
      </c>
      <c r="E130" s="3" t="s">
        <v>2355</v>
      </c>
    </row>
    <row r="131" spans="1:5" x14ac:dyDescent="0.35">
      <c r="A131" s="3" t="s">
        <v>4557</v>
      </c>
      <c r="B131" s="3" t="s">
        <v>389</v>
      </c>
      <c r="C131" s="3" t="s">
        <v>2353</v>
      </c>
      <c r="D131" s="3" t="s">
        <v>2355</v>
      </c>
      <c r="E131" s="3" t="s">
        <v>2355</v>
      </c>
    </row>
    <row r="132" spans="1:5" x14ac:dyDescent="0.35">
      <c r="A132" s="3" t="s">
        <v>4558</v>
      </c>
      <c r="B132" s="3" t="s">
        <v>391</v>
      </c>
      <c r="C132" s="3" t="s">
        <v>2353</v>
      </c>
      <c r="D132" s="3" t="s">
        <v>2355</v>
      </c>
      <c r="E132" s="3" t="s">
        <v>2355</v>
      </c>
    </row>
    <row r="133" spans="1:5" x14ac:dyDescent="0.35">
      <c r="A133" s="3" t="s">
        <v>4559</v>
      </c>
      <c r="B133" s="3" t="s">
        <v>395</v>
      </c>
      <c r="C133" s="3" t="s">
        <v>2367</v>
      </c>
      <c r="D133" s="3" t="s">
        <v>2355</v>
      </c>
      <c r="E133" s="3" t="s">
        <v>2355</v>
      </c>
    </row>
    <row r="134" spans="1:5" x14ac:dyDescent="0.35">
      <c r="A134" s="3" t="s">
        <v>4560</v>
      </c>
      <c r="B134" s="3" t="s">
        <v>397</v>
      </c>
      <c r="C134" s="3" t="s">
        <v>2353</v>
      </c>
      <c r="D134" s="3" t="s">
        <v>2355</v>
      </c>
      <c r="E134" s="3" t="s">
        <v>2355</v>
      </c>
    </row>
    <row r="135" spans="1:5" x14ac:dyDescent="0.35">
      <c r="A135" s="3" t="s">
        <v>4561</v>
      </c>
      <c r="B135" s="3" t="s">
        <v>399</v>
      </c>
      <c r="C135" s="3" t="s">
        <v>2353</v>
      </c>
      <c r="D135" s="3" t="s">
        <v>2355</v>
      </c>
      <c r="E135" s="3" t="s">
        <v>2355</v>
      </c>
    </row>
    <row r="136" spans="1:5" x14ac:dyDescent="0.35">
      <c r="A136" s="3" t="s">
        <v>4562</v>
      </c>
      <c r="B136" s="3" t="s">
        <v>401</v>
      </c>
      <c r="C136" s="3" t="s">
        <v>2353</v>
      </c>
      <c r="D136" s="3" t="s">
        <v>2355</v>
      </c>
      <c r="E136" s="3" t="s">
        <v>2355</v>
      </c>
    </row>
    <row r="137" spans="1:5" x14ac:dyDescent="0.35">
      <c r="A137" s="3" t="s">
        <v>3486</v>
      </c>
      <c r="B137" s="3" t="s">
        <v>405</v>
      </c>
      <c r="C137" s="3" t="s">
        <v>2353</v>
      </c>
      <c r="D137" s="3" t="s">
        <v>2355</v>
      </c>
      <c r="E137" s="3" t="s">
        <v>2355</v>
      </c>
    </row>
    <row r="138" spans="1:5" x14ac:dyDescent="0.35">
      <c r="A138" s="3" t="s">
        <v>4563</v>
      </c>
      <c r="B138" s="3" t="s">
        <v>407</v>
      </c>
      <c r="C138" s="3" t="s">
        <v>2353</v>
      </c>
      <c r="D138" s="3" t="s">
        <v>2355</v>
      </c>
      <c r="E138" s="3" t="s">
        <v>2355</v>
      </c>
    </row>
    <row r="139" spans="1:5" x14ac:dyDescent="0.35">
      <c r="A139" s="3" t="s">
        <v>3489</v>
      </c>
      <c r="B139" s="3" t="s">
        <v>411</v>
      </c>
      <c r="C139" s="3" t="s">
        <v>2359</v>
      </c>
      <c r="D139" s="3" t="s">
        <v>2355</v>
      </c>
      <c r="E139" s="3" t="s">
        <v>2355</v>
      </c>
    </row>
    <row r="140" spans="1:5" x14ac:dyDescent="0.35">
      <c r="A140" s="3" t="s">
        <v>3494</v>
      </c>
      <c r="B140" s="3" t="s">
        <v>413</v>
      </c>
      <c r="C140" s="3" t="s">
        <v>2367</v>
      </c>
      <c r="D140" s="3" t="s">
        <v>2355</v>
      </c>
      <c r="E140" s="3" t="s">
        <v>2355</v>
      </c>
    </row>
    <row r="141" spans="1:5" x14ac:dyDescent="0.35">
      <c r="A141" s="3" t="s">
        <v>4564</v>
      </c>
      <c r="B141" s="3" t="s">
        <v>415</v>
      </c>
      <c r="C141" s="3" t="s">
        <v>2353</v>
      </c>
      <c r="D141" s="3" t="s">
        <v>2355</v>
      </c>
      <c r="E141" s="3" t="s">
        <v>2355</v>
      </c>
    </row>
    <row r="142" spans="1:5" x14ac:dyDescent="0.35">
      <c r="A142" s="3" t="s">
        <v>4565</v>
      </c>
      <c r="B142" s="3" t="s">
        <v>421</v>
      </c>
      <c r="C142" s="3" t="s">
        <v>2367</v>
      </c>
      <c r="D142" s="3" t="s">
        <v>2355</v>
      </c>
      <c r="E142" s="3" t="s">
        <v>2355</v>
      </c>
    </row>
    <row r="143" spans="1:5" x14ac:dyDescent="0.35">
      <c r="A143" s="3" t="s">
        <v>4566</v>
      </c>
      <c r="B143" s="3" t="s">
        <v>423</v>
      </c>
      <c r="C143" s="3" t="s">
        <v>2367</v>
      </c>
      <c r="D143" s="3" t="s">
        <v>2355</v>
      </c>
      <c r="E143" s="3" t="s">
        <v>2355</v>
      </c>
    </row>
    <row r="144" spans="1:5" x14ac:dyDescent="0.35">
      <c r="A144" s="3" t="s">
        <v>4567</v>
      </c>
      <c r="B144" s="3" t="s">
        <v>425</v>
      </c>
      <c r="C144" s="3" t="s">
        <v>2353</v>
      </c>
      <c r="D144" s="3" t="s">
        <v>2355</v>
      </c>
      <c r="E144" s="3" t="s">
        <v>2355</v>
      </c>
    </row>
    <row r="145" spans="1:5" x14ac:dyDescent="0.35">
      <c r="A145" s="3" t="s">
        <v>3497</v>
      </c>
      <c r="B145" s="3" t="s">
        <v>429</v>
      </c>
      <c r="C145" s="3" t="s">
        <v>2353</v>
      </c>
      <c r="D145" s="3" t="s">
        <v>2355</v>
      </c>
      <c r="E145" s="3" t="s">
        <v>2355</v>
      </c>
    </row>
    <row r="146" spans="1:5" x14ac:dyDescent="0.35">
      <c r="A146" s="3" t="s">
        <v>4568</v>
      </c>
      <c r="B146" s="3" t="s">
        <v>431</v>
      </c>
      <c r="C146" s="3" t="s">
        <v>2353</v>
      </c>
      <c r="D146" s="3" t="s">
        <v>2355</v>
      </c>
      <c r="E146" s="3" t="s">
        <v>2355</v>
      </c>
    </row>
    <row r="147" spans="1:5" x14ac:dyDescent="0.35">
      <c r="A147" s="3" t="s">
        <v>3500</v>
      </c>
      <c r="B147" s="3" t="s">
        <v>435</v>
      </c>
      <c r="C147" s="3" t="s">
        <v>2353</v>
      </c>
      <c r="D147" s="3" t="s">
        <v>2355</v>
      </c>
      <c r="E147" s="3" t="s">
        <v>2355</v>
      </c>
    </row>
    <row r="148" spans="1:5" x14ac:dyDescent="0.35">
      <c r="A148" s="3" t="s">
        <v>4569</v>
      </c>
      <c r="B148" s="3" t="s">
        <v>437</v>
      </c>
      <c r="C148" s="3" t="s">
        <v>2353</v>
      </c>
      <c r="D148" s="3" t="s">
        <v>2355</v>
      </c>
      <c r="E148" s="3" t="s">
        <v>2355</v>
      </c>
    </row>
    <row r="149" spans="1:5" x14ac:dyDescent="0.35">
      <c r="A149" s="3" t="s">
        <v>3503</v>
      </c>
      <c r="B149" s="3" t="s">
        <v>439</v>
      </c>
      <c r="C149" s="3" t="s">
        <v>2353</v>
      </c>
      <c r="D149" s="3" t="s">
        <v>2355</v>
      </c>
      <c r="E149" s="3" t="s">
        <v>2355</v>
      </c>
    </row>
    <row r="150" spans="1:5" x14ac:dyDescent="0.35">
      <c r="A150" s="3" t="s">
        <v>4570</v>
      </c>
      <c r="B150" s="3" t="s">
        <v>441</v>
      </c>
      <c r="C150" s="3" t="s">
        <v>2353</v>
      </c>
      <c r="D150" s="3" t="s">
        <v>2355</v>
      </c>
      <c r="E150" s="3" t="s">
        <v>2355</v>
      </c>
    </row>
    <row r="151" spans="1:5" x14ac:dyDescent="0.35">
      <c r="A151" s="3" t="s">
        <v>3505</v>
      </c>
      <c r="B151" s="3" t="s">
        <v>445</v>
      </c>
      <c r="C151" s="3" t="s">
        <v>2359</v>
      </c>
      <c r="D151" s="3" t="s">
        <v>2355</v>
      </c>
      <c r="E151" s="3" t="s">
        <v>2355</v>
      </c>
    </row>
    <row r="152" spans="1:5" x14ac:dyDescent="0.35">
      <c r="A152" s="3" t="s">
        <v>3507</v>
      </c>
      <c r="B152" s="3" t="s">
        <v>447</v>
      </c>
      <c r="C152" s="3" t="s">
        <v>2359</v>
      </c>
      <c r="D152" s="3" t="s">
        <v>2355</v>
      </c>
      <c r="E152" s="3" t="s">
        <v>2355</v>
      </c>
    </row>
    <row r="153" spans="1:5" x14ac:dyDescent="0.35">
      <c r="A153" s="3" t="s">
        <v>4571</v>
      </c>
      <c r="B153" s="3" t="s">
        <v>451</v>
      </c>
      <c r="C153" s="3" t="s">
        <v>2359</v>
      </c>
      <c r="D153" s="3" t="s">
        <v>2355</v>
      </c>
      <c r="E153" s="3" t="s">
        <v>2366</v>
      </c>
    </row>
    <row r="154" spans="1:5" x14ac:dyDescent="0.35">
      <c r="A154" s="3" t="s">
        <v>3509</v>
      </c>
      <c r="B154" s="3" t="s">
        <v>453</v>
      </c>
      <c r="C154" s="3" t="s">
        <v>2367</v>
      </c>
      <c r="D154" s="3" t="s">
        <v>2355</v>
      </c>
      <c r="E154" s="3" t="s">
        <v>2366</v>
      </c>
    </row>
    <row r="155" spans="1:5" x14ac:dyDescent="0.35">
      <c r="A155" s="3" t="s">
        <v>3511</v>
      </c>
      <c r="B155" s="3" t="s">
        <v>455</v>
      </c>
      <c r="C155" s="3" t="s">
        <v>2359</v>
      </c>
      <c r="D155" s="3" t="s">
        <v>2355</v>
      </c>
      <c r="E155" s="3" t="s">
        <v>2366</v>
      </c>
    </row>
    <row r="156" spans="1:5" x14ac:dyDescent="0.35">
      <c r="A156" s="3" t="s">
        <v>4572</v>
      </c>
      <c r="B156" s="3" t="s">
        <v>457</v>
      </c>
      <c r="C156" s="3" t="s">
        <v>2359</v>
      </c>
      <c r="D156" s="3" t="s">
        <v>2355</v>
      </c>
      <c r="E156" s="3" t="s">
        <v>2366</v>
      </c>
    </row>
    <row r="157" spans="1:5" x14ac:dyDescent="0.35">
      <c r="A157" s="3" t="s">
        <v>4573</v>
      </c>
      <c r="B157" s="3" t="s">
        <v>459</v>
      </c>
      <c r="C157" s="3" t="s">
        <v>2359</v>
      </c>
      <c r="D157" s="3" t="s">
        <v>2355</v>
      </c>
      <c r="E157" s="3" t="s">
        <v>2355</v>
      </c>
    </row>
    <row r="158" spans="1:5" x14ac:dyDescent="0.35">
      <c r="A158" s="3" t="s">
        <v>4574</v>
      </c>
      <c r="B158" s="3" t="s">
        <v>461</v>
      </c>
      <c r="C158" s="3" t="s">
        <v>2359</v>
      </c>
      <c r="D158" s="3" t="s">
        <v>2355</v>
      </c>
      <c r="E158" s="3" t="s">
        <v>2355</v>
      </c>
    </row>
    <row r="159" spans="1:5" x14ac:dyDescent="0.35">
      <c r="A159" s="3" t="s">
        <v>4575</v>
      </c>
      <c r="B159" s="3" t="s">
        <v>465</v>
      </c>
      <c r="C159" s="3" t="s">
        <v>2359</v>
      </c>
      <c r="D159" s="3" t="s">
        <v>2355</v>
      </c>
      <c r="E159" s="3" t="s">
        <v>2355</v>
      </c>
    </row>
    <row r="160" spans="1:5" x14ac:dyDescent="0.35">
      <c r="A160" s="3" t="s">
        <v>4576</v>
      </c>
      <c r="B160" s="3" t="s">
        <v>467</v>
      </c>
      <c r="C160" s="3" t="s">
        <v>2353</v>
      </c>
      <c r="D160" s="3" t="s">
        <v>2355</v>
      </c>
      <c r="E160" s="3" t="s">
        <v>2355</v>
      </c>
    </row>
    <row r="161" spans="1:5" x14ac:dyDescent="0.35">
      <c r="A161" s="3" t="s">
        <v>4577</v>
      </c>
      <c r="B161" s="3" t="s">
        <v>469</v>
      </c>
      <c r="C161" s="3" t="s">
        <v>2359</v>
      </c>
      <c r="D161" s="3" t="s">
        <v>2355</v>
      </c>
      <c r="E161" s="3" t="s">
        <v>2355</v>
      </c>
    </row>
    <row r="162" spans="1:5" x14ac:dyDescent="0.35">
      <c r="A162" s="3" t="s">
        <v>3512</v>
      </c>
      <c r="B162" s="3" t="s">
        <v>471</v>
      </c>
      <c r="C162" s="3" t="s">
        <v>2359</v>
      </c>
      <c r="D162" s="3" t="s">
        <v>2355</v>
      </c>
      <c r="E162" s="3" t="s">
        <v>2355</v>
      </c>
    </row>
    <row r="163" spans="1:5" x14ac:dyDescent="0.35">
      <c r="A163" s="3" t="s">
        <v>4578</v>
      </c>
      <c r="B163" s="3" t="s">
        <v>473</v>
      </c>
      <c r="C163" s="3" t="s">
        <v>2353</v>
      </c>
      <c r="D163" s="3" t="s">
        <v>2355</v>
      </c>
      <c r="E163" s="3" t="s">
        <v>2355</v>
      </c>
    </row>
    <row r="164" spans="1:5" x14ac:dyDescent="0.35">
      <c r="A164" s="3" t="s">
        <v>4579</v>
      </c>
      <c r="B164" s="3" t="s">
        <v>479</v>
      </c>
      <c r="C164" s="3" t="s">
        <v>2361</v>
      </c>
      <c r="D164" s="3" t="s">
        <v>2355</v>
      </c>
      <c r="E164" s="3" t="s">
        <v>2358</v>
      </c>
    </row>
    <row r="165" spans="1:5" x14ac:dyDescent="0.35">
      <c r="A165" s="3" t="s">
        <v>4580</v>
      </c>
      <c r="B165" s="3" t="s">
        <v>481</v>
      </c>
      <c r="C165" s="3" t="s">
        <v>2361</v>
      </c>
      <c r="D165" s="3" t="s">
        <v>2355</v>
      </c>
      <c r="E165" s="3" t="s">
        <v>2358</v>
      </c>
    </row>
    <row r="166" spans="1:5" x14ac:dyDescent="0.35">
      <c r="A166" s="3" t="s">
        <v>4581</v>
      </c>
      <c r="B166" s="3" t="s">
        <v>483</v>
      </c>
      <c r="C166" s="3" t="s">
        <v>2353</v>
      </c>
      <c r="D166" s="3" t="s">
        <v>2355</v>
      </c>
      <c r="E166" s="3" t="s">
        <v>2355</v>
      </c>
    </row>
    <row r="167" spans="1:5" x14ac:dyDescent="0.35">
      <c r="A167" s="3" t="s">
        <v>4582</v>
      </c>
      <c r="B167" s="3" t="s">
        <v>485</v>
      </c>
      <c r="C167" s="3" t="s">
        <v>2361</v>
      </c>
      <c r="D167" s="3" t="s">
        <v>2355</v>
      </c>
      <c r="E167" s="3" t="s">
        <v>2358</v>
      </c>
    </row>
    <row r="168" spans="1:5" x14ac:dyDescent="0.35">
      <c r="A168" s="3" t="s">
        <v>4583</v>
      </c>
      <c r="B168" s="3" t="s">
        <v>489</v>
      </c>
      <c r="C168" s="3" t="s">
        <v>2361</v>
      </c>
      <c r="D168" s="3" t="s">
        <v>2355</v>
      </c>
      <c r="E168" s="3" t="s">
        <v>2355</v>
      </c>
    </row>
    <row r="169" spans="1:5" x14ac:dyDescent="0.35">
      <c r="A169" s="3" t="s">
        <v>3514</v>
      </c>
      <c r="B169" s="3" t="s">
        <v>491</v>
      </c>
      <c r="C169" s="3" t="s">
        <v>2361</v>
      </c>
      <c r="D169" s="3" t="s">
        <v>2355</v>
      </c>
      <c r="E169" s="3" t="s">
        <v>2358</v>
      </c>
    </row>
    <row r="170" spans="1:5" x14ac:dyDescent="0.35">
      <c r="A170" s="3" t="s">
        <v>3518</v>
      </c>
      <c r="B170" s="3" t="s">
        <v>493</v>
      </c>
      <c r="C170" s="3" t="s">
        <v>2361</v>
      </c>
      <c r="D170" s="3" t="s">
        <v>2355</v>
      </c>
      <c r="E170" s="3" t="s">
        <v>2358</v>
      </c>
    </row>
    <row r="171" spans="1:5" x14ac:dyDescent="0.35">
      <c r="A171" s="3" t="s">
        <v>4584</v>
      </c>
      <c r="B171" s="3" t="s">
        <v>495</v>
      </c>
      <c r="C171" s="3" t="s">
        <v>2361</v>
      </c>
      <c r="D171" s="3" t="s">
        <v>2355</v>
      </c>
      <c r="E171" s="3" t="s">
        <v>2358</v>
      </c>
    </row>
    <row r="172" spans="1:5" x14ac:dyDescent="0.35">
      <c r="A172" s="3" t="s">
        <v>3519</v>
      </c>
      <c r="B172" s="3" t="s">
        <v>497</v>
      </c>
      <c r="C172" s="3" t="s">
        <v>2353</v>
      </c>
      <c r="D172" s="3" t="s">
        <v>2355</v>
      </c>
      <c r="E172" s="3" t="s">
        <v>2355</v>
      </c>
    </row>
    <row r="173" spans="1:5" x14ac:dyDescent="0.35">
      <c r="A173" s="3" t="s">
        <v>4585</v>
      </c>
      <c r="B173" s="3" t="s">
        <v>499</v>
      </c>
      <c r="C173" s="3" t="s">
        <v>2361</v>
      </c>
      <c r="D173" s="3" t="s">
        <v>2355</v>
      </c>
      <c r="E173" s="3" t="s">
        <v>2355</v>
      </c>
    </row>
    <row r="174" spans="1:5" x14ac:dyDescent="0.35">
      <c r="A174" s="3" t="s">
        <v>3521</v>
      </c>
      <c r="B174" s="3" t="s">
        <v>503</v>
      </c>
      <c r="C174" s="3" t="s">
        <v>2353</v>
      </c>
      <c r="D174" s="3" t="s">
        <v>2355</v>
      </c>
      <c r="E174" s="3" t="s">
        <v>2358</v>
      </c>
    </row>
    <row r="175" spans="1:5" x14ac:dyDescent="0.35">
      <c r="A175" s="3" t="s">
        <v>4586</v>
      </c>
      <c r="B175" s="3" t="s">
        <v>505</v>
      </c>
      <c r="C175" s="3" t="s">
        <v>2361</v>
      </c>
      <c r="D175" s="3" t="s">
        <v>2355</v>
      </c>
      <c r="E175" s="3" t="s">
        <v>2355</v>
      </c>
    </row>
    <row r="176" spans="1:5" x14ac:dyDescent="0.35">
      <c r="A176" s="3" t="s">
        <v>3525</v>
      </c>
      <c r="B176" s="3" t="s">
        <v>509</v>
      </c>
      <c r="C176" s="3" t="s">
        <v>2353</v>
      </c>
      <c r="D176" s="3" t="s">
        <v>2355</v>
      </c>
      <c r="E176" s="3" t="s">
        <v>2355</v>
      </c>
    </row>
    <row r="177" spans="1:5" x14ac:dyDescent="0.35">
      <c r="A177" s="3" t="s">
        <v>3527</v>
      </c>
      <c r="B177" s="3" t="s">
        <v>511</v>
      </c>
      <c r="C177" s="3" t="s">
        <v>2357</v>
      </c>
      <c r="D177" s="3" t="s">
        <v>2355</v>
      </c>
      <c r="E177" s="3" t="s">
        <v>2358</v>
      </c>
    </row>
    <row r="178" spans="1:5" x14ac:dyDescent="0.35">
      <c r="A178" s="3" t="s">
        <v>3528</v>
      </c>
      <c r="B178" s="3" t="s">
        <v>517</v>
      </c>
      <c r="C178" s="3" t="s">
        <v>2359</v>
      </c>
      <c r="D178" s="3" t="s">
        <v>2355</v>
      </c>
      <c r="E178" s="3" t="s">
        <v>2355</v>
      </c>
    </row>
    <row r="179" spans="1:5" x14ac:dyDescent="0.35">
      <c r="A179" s="3" t="s">
        <v>4587</v>
      </c>
      <c r="B179" s="3" t="s">
        <v>519</v>
      </c>
      <c r="C179" s="3" t="s">
        <v>2359</v>
      </c>
      <c r="D179" s="3" t="s">
        <v>2355</v>
      </c>
      <c r="E179" s="3" t="s">
        <v>2366</v>
      </c>
    </row>
    <row r="180" spans="1:5" x14ac:dyDescent="0.35">
      <c r="A180" s="3" t="s">
        <v>4588</v>
      </c>
      <c r="B180" s="3" t="s">
        <v>521</v>
      </c>
      <c r="C180" s="3" t="s">
        <v>2359</v>
      </c>
      <c r="D180" s="3" t="s">
        <v>2355</v>
      </c>
      <c r="E180" s="3" t="s">
        <v>2355</v>
      </c>
    </row>
    <row r="181" spans="1:5" x14ac:dyDescent="0.35">
      <c r="A181" s="3" t="s">
        <v>3531</v>
      </c>
      <c r="B181" s="3" t="s">
        <v>523</v>
      </c>
      <c r="C181" s="3" t="s">
        <v>2353</v>
      </c>
      <c r="D181" s="3" t="s">
        <v>2355</v>
      </c>
      <c r="E181" s="3" t="s">
        <v>2355</v>
      </c>
    </row>
    <row r="182" spans="1:5" x14ac:dyDescent="0.35">
      <c r="A182" s="3" t="s">
        <v>4589</v>
      </c>
      <c r="B182" s="3" t="s">
        <v>525</v>
      </c>
      <c r="C182" s="3" t="s">
        <v>2359</v>
      </c>
      <c r="D182" s="3" t="s">
        <v>2355</v>
      </c>
      <c r="E182" s="3" t="s">
        <v>2355</v>
      </c>
    </row>
    <row r="183" spans="1:5" x14ac:dyDescent="0.35">
      <c r="A183" s="3" t="s">
        <v>4590</v>
      </c>
      <c r="B183" s="3" t="s">
        <v>529</v>
      </c>
      <c r="C183" s="3" t="s">
        <v>2353</v>
      </c>
      <c r="D183" s="3" t="s">
        <v>2355</v>
      </c>
      <c r="E183" s="3" t="s">
        <v>2355</v>
      </c>
    </row>
    <row r="184" spans="1:5" x14ac:dyDescent="0.35">
      <c r="A184" s="3" t="s">
        <v>4591</v>
      </c>
      <c r="B184" s="3" t="s">
        <v>531</v>
      </c>
      <c r="C184" s="3" t="s">
        <v>2359</v>
      </c>
      <c r="D184" s="3" t="s">
        <v>2355</v>
      </c>
      <c r="E184" s="3" t="s">
        <v>2366</v>
      </c>
    </row>
    <row r="185" spans="1:5" x14ac:dyDescent="0.35">
      <c r="A185" s="3" t="s">
        <v>4592</v>
      </c>
      <c r="B185" s="3" t="s">
        <v>533</v>
      </c>
      <c r="C185" s="3" t="s">
        <v>2359</v>
      </c>
      <c r="D185" s="3" t="s">
        <v>2355</v>
      </c>
      <c r="E185" s="3" t="s">
        <v>2366</v>
      </c>
    </row>
    <row r="186" spans="1:5" x14ac:dyDescent="0.35">
      <c r="A186" s="3" t="s">
        <v>4593</v>
      </c>
      <c r="B186" s="3" t="s">
        <v>535</v>
      </c>
      <c r="C186" s="3" t="s">
        <v>2353</v>
      </c>
      <c r="D186" s="3" t="s">
        <v>2355</v>
      </c>
      <c r="E186" s="3" t="s">
        <v>2355</v>
      </c>
    </row>
    <row r="187" spans="1:5" x14ac:dyDescent="0.35">
      <c r="A187" s="3" t="s">
        <v>4594</v>
      </c>
      <c r="B187" s="3" t="s">
        <v>539</v>
      </c>
      <c r="C187" s="3" t="s">
        <v>2353</v>
      </c>
      <c r="D187" s="3" t="s">
        <v>2355</v>
      </c>
      <c r="E187" s="3" t="s">
        <v>2355</v>
      </c>
    </row>
    <row r="188" spans="1:5" x14ac:dyDescent="0.35">
      <c r="A188" s="3" t="s">
        <v>4595</v>
      </c>
      <c r="B188" s="3" t="s">
        <v>541</v>
      </c>
      <c r="C188" s="3" t="s">
        <v>2353</v>
      </c>
      <c r="D188" s="3" t="s">
        <v>2355</v>
      </c>
      <c r="E188" s="3" t="s">
        <v>2358</v>
      </c>
    </row>
    <row r="189" spans="1:5" x14ac:dyDescent="0.35">
      <c r="A189" s="3" t="s">
        <v>4596</v>
      </c>
      <c r="B189" s="3" t="s">
        <v>543</v>
      </c>
      <c r="C189" s="3" t="s">
        <v>2357</v>
      </c>
      <c r="D189" s="3" t="s">
        <v>2355</v>
      </c>
      <c r="E189" s="3" t="s">
        <v>2360</v>
      </c>
    </row>
    <row r="190" spans="1:5" x14ac:dyDescent="0.35">
      <c r="A190" s="3" t="s">
        <v>3535</v>
      </c>
      <c r="B190" s="3" t="s">
        <v>545</v>
      </c>
      <c r="C190" s="3" t="s">
        <v>2357</v>
      </c>
      <c r="D190" s="3" t="s">
        <v>2355</v>
      </c>
      <c r="E190" s="3" t="s">
        <v>2360</v>
      </c>
    </row>
    <row r="191" spans="1:5" x14ac:dyDescent="0.35">
      <c r="A191" s="3" t="s">
        <v>4597</v>
      </c>
      <c r="B191" s="3" t="s">
        <v>547</v>
      </c>
      <c r="C191" s="3" t="s">
        <v>2353</v>
      </c>
      <c r="D191" s="3" t="s">
        <v>2355</v>
      </c>
      <c r="E191" s="3" t="s">
        <v>2355</v>
      </c>
    </row>
    <row r="192" spans="1:5" x14ac:dyDescent="0.35">
      <c r="A192" s="3" t="s">
        <v>4598</v>
      </c>
      <c r="B192" s="3" t="s">
        <v>551</v>
      </c>
      <c r="C192" s="3" t="s">
        <v>2353</v>
      </c>
      <c r="D192" s="3" t="s">
        <v>2355</v>
      </c>
      <c r="E192" s="3" t="s">
        <v>2358</v>
      </c>
    </row>
    <row r="193" spans="1:5" x14ac:dyDescent="0.35">
      <c r="A193" s="3" t="s">
        <v>3537</v>
      </c>
      <c r="B193" s="3" t="s">
        <v>553</v>
      </c>
      <c r="C193" s="3" t="s">
        <v>2353</v>
      </c>
      <c r="D193" s="3" t="s">
        <v>2356</v>
      </c>
      <c r="E193" s="3" t="s">
        <v>2355</v>
      </c>
    </row>
    <row r="194" spans="1:5" x14ac:dyDescent="0.35">
      <c r="A194" s="3" t="s">
        <v>4599</v>
      </c>
      <c r="B194" s="3" t="s">
        <v>555</v>
      </c>
      <c r="C194" s="3" t="s">
        <v>2353</v>
      </c>
      <c r="D194" s="3" t="s">
        <v>2355</v>
      </c>
      <c r="E194" s="3" t="s">
        <v>2355</v>
      </c>
    </row>
    <row r="195" spans="1:5" x14ac:dyDescent="0.35">
      <c r="A195" s="3" t="s">
        <v>3540</v>
      </c>
      <c r="B195" s="3" t="s">
        <v>561</v>
      </c>
      <c r="C195" s="3" t="s">
        <v>2367</v>
      </c>
      <c r="D195" s="3" t="s">
        <v>2355</v>
      </c>
      <c r="E195" s="3" t="s">
        <v>2355</v>
      </c>
    </row>
    <row r="196" spans="1:5" x14ac:dyDescent="0.35">
      <c r="A196" s="3" t="s">
        <v>4600</v>
      </c>
      <c r="B196" s="3" t="s">
        <v>563</v>
      </c>
      <c r="C196" s="3" t="s">
        <v>2367</v>
      </c>
      <c r="D196" s="3" t="s">
        <v>2355</v>
      </c>
      <c r="E196" s="3" t="s">
        <v>2355</v>
      </c>
    </row>
    <row r="197" spans="1:5" x14ac:dyDescent="0.35">
      <c r="A197" s="3" t="s">
        <v>4601</v>
      </c>
      <c r="B197" s="3" t="s">
        <v>567</v>
      </c>
      <c r="C197" s="3" t="s">
        <v>2367</v>
      </c>
      <c r="D197" s="3" t="s">
        <v>2354</v>
      </c>
      <c r="E197" s="3" t="s">
        <v>2360</v>
      </c>
    </row>
    <row r="198" spans="1:5" x14ac:dyDescent="0.35">
      <c r="A198" s="3" t="s">
        <v>4602</v>
      </c>
      <c r="B198" s="3" t="s">
        <v>569</v>
      </c>
      <c r="C198" s="3" t="s">
        <v>2353</v>
      </c>
      <c r="D198" s="3" t="s">
        <v>2356</v>
      </c>
      <c r="E198" s="3" t="s">
        <v>2358</v>
      </c>
    </row>
    <row r="199" spans="1:5" x14ac:dyDescent="0.35">
      <c r="A199" s="3" t="s">
        <v>4603</v>
      </c>
      <c r="B199" s="3" t="s">
        <v>571</v>
      </c>
      <c r="C199" s="3" t="s">
        <v>2367</v>
      </c>
      <c r="D199" s="3" t="s">
        <v>2354</v>
      </c>
      <c r="E199" s="3" t="s">
        <v>2360</v>
      </c>
    </row>
    <row r="200" spans="1:5" x14ac:dyDescent="0.35">
      <c r="A200" s="3" t="s">
        <v>4604</v>
      </c>
      <c r="B200" s="3" t="s">
        <v>575</v>
      </c>
      <c r="C200" s="3" t="s">
        <v>2361</v>
      </c>
      <c r="D200" s="3" t="s">
        <v>2355</v>
      </c>
      <c r="E200" s="3" t="s">
        <v>2355</v>
      </c>
    </row>
    <row r="201" spans="1:5" x14ac:dyDescent="0.35">
      <c r="A201" s="3" t="s">
        <v>3544</v>
      </c>
      <c r="B201" s="3" t="s">
        <v>579</v>
      </c>
      <c r="C201" s="3" t="s">
        <v>2357</v>
      </c>
      <c r="D201" s="3" t="s">
        <v>2355</v>
      </c>
      <c r="E201" s="3" t="s">
        <v>2358</v>
      </c>
    </row>
    <row r="202" spans="1:5" x14ac:dyDescent="0.35">
      <c r="A202" s="3" t="s">
        <v>3546</v>
      </c>
      <c r="B202" s="3" t="s">
        <v>581</v>
      </c>
      <c r="C202" s="3" t="s">
        <v>2361</v>
      </c>
      <c r="D202" s="3" t="s">
        <v>2355</v>
      </c>
      <c r="E202" s="3" t="s">
        <v>2355</v>
      </c>
    </row>
    <row r="203" spans="1:5" x14ac:dyDescent="0.35">
      <c r="A203" s="3" t="s">
        <v>3547</v>
      </c>
      <c r="B203" s="3" t="s">
        <v>585</v>
      </c>
      <c r="C203" s="3" t="s">
        <v>2367</v>
      </c>
      <c r="D203" s="3" t="s">
        <v>2355</v>
      </c>
      <c r="E203" s="3" t="s">
        <v>2355</v>
      </c>
    </row>
    <row r="204" spans="1:5" x14ac:dyDescent="0.35">
      <c r="A204" s="3" t="s">
        <v>3551</v>
      </c>
      <c r="B204" s="3" t="s">
        <v>589</v>
      </c>
      <c r="C204" s="3" t="s">
        <v>2367</v>
      </c>
      <c r="D204" s="3" t="s">
        <v>2355</v>
      </c>
      <c r="E204" s="3" t="s">
        <v>2355</v>
      </c>
    </row>
    <row r="205" spans="1:5" x14ac:dyDescent="0.35">
      <c r="A205" s="3" t="s">
        <v>4605</v>
      </c>
      <c r="B205" s="3" t="s">
        <v>591</v>
      </c>
      <c r="C205" s="3" t="s">
        <v>2367</v>
      </c>
      <c r="D205" s="3" t="s">
        <v>2355</v>
      </c>
      <c r="E205" s="3" t="s">
        <v>2355</v>
      </c>
    </row>
    <row r="206" spans="1:5" x14ac:dyDescent="0.35">
      <c r="A206" s="3" t="s">
        <v>4606</v>
      </c>
      <c r="B206" s="3" t="s">
        <v>595</v>
      </c>
      <c r="C206" s="3" t="s">
        <v>2367</v>
      </c>
      <c r="D206" s="3" t="s">
        <v>2355</v>
      </c>
      <c r="E206" s="3" t="s">
        <v>2355</v>
      </c>
    </row>
    <row r="207" spans="1:5" x14ac:dyDescent="0.35">
      <c r="A207" s="3" t="s">
        <v>3553</v>
      </c>
      <c r="B207" s="3" t="s">
        <v>597</v>
      </c>
      <c r="C207" s="3" t="s">
        <v>2367</v>
      </c>
      <c r="D207" s="3" t="s">
        <v>2355</v>
      </c>
      <c r="E207" s="3" t="s">
        <v>2355</v>
      </c>
    </row>
    <row r="208" spans="1:5" x14ac:dyDescent="0.35">
      <c r="A208" s="3" t="s">
        <v>4607</v>
      </c>
      <c r="B208" s="3" t="s">
        <v>601</v>
      </c>
      <c r="C208" s="3" t="s">
        <v>2367</v>
      </c>
      <c r="D208" s="3" t="s">
        <v>2355</v>
      </c>
      <c r="E208" s="3" t="s">
        <v>2355</v>
      </c>
    </row>
    <row r="209" spans="1:5" x14ac:dyDescent="0.35">
      <c r="A209" s="3" t="s">
        <v>3555</v>
      </c>
      <c r="B209" s="3" t="s">
        <v>603</v>
      </c>
      <c r="C209" s="3" t="s">
        <v>2367</v>
      </c>
      <c r="D209" s="3" t="s">
        <v>2355</v>
      </c>
      <c r="E209" s="3" t="s">
        <v>2355</v>
      </c>
    </row>
    <row r="210" spans="1:5" x14ac:dyDescent="0.35">
      <c r="A210" s="3" t="s">
        <v>4608</v>
      </c>
      <c r="B210" s="3" t="s">
        <v>605</v>
      </c>
      <c r="C210" s="3" t="s">
        <v>2367</v>
      </c>
      <c r="D210" s="3" t="s">
        <v>2355</v>
      </c>
      <c r="E210" s="3" t="s">
        <v>2355</v>
      </c>
    </row>
    <row r="211" spans="1:5" x14ac:dyDescent="0.35">
      <c r="A211" s="3" t="s">
        <v>4609</v>
      </c>
      <c r="B211" s="3" t="s">
        <v>609</v>
      </c>
      <c r="C211" s="3" t="s">
        <v>2367</v>
      </c>
      <c r="D211" s="3" t="s">
        <v>2355</v>
      </c>
      <c r="E211" s="3" t="s">
        <v>2355</v>
      </c>
    </row>
    <row r="212" spans="1:5" x14ac:dyDescent="0.35">
      <c r="A212" s="3" t="s">
        <v>4610</v>
      </c>
      <c r="B212" s="3" t="s">
        <v>611</v>
      </c>
      <c r="C212" s="3" t="s">
        <v>2367</v>
      </c>
      <c r="D212" s="3" t="s">
        <v>2355</v>
      </c>
      <c r="E212" s="3" t="s">
        <v>2355</v>
      </c>
    </row>
    <row r="213" spans="1:5" x14ac:dyDescent="0.35">
      <c r="A213" s="3" t="s">
        <v>4611</v>
      </c>
      <c r="B213" s="3" t="s">
        <v>613</v>
      </c>
      <c r="C213" s="3" t="s">
        <v>2367</v>
      </c>
      <c r="D213" s="3" t="s">
        <v>2355</v>
      </c>
      <c r="E213" s="3" t="s">
        <v>2355</v>
      </c>
    </row>
    <row r="214" spans="1:5" x14ac:dyDescent="0.35">
      <c r="A214" s="3" t="s">
        <v>4612</v>
      </c>
      <c r="B214" s="3" t="s">
        <v>615</v>
      </c>
      <c r="C214" s="3" t="s">
        <v>2367</v>
      </c>
      <c r="D214" s="3" t="s">
        <v>2355</v>
      </c>
      <c r="E214" s="3" t="s">
        <v>2355</v>
      </c>
    </row>
    <row r="215" spans="1:5" x14ac:dyDescent="0.35">
      <c r="A215" s="3" t="s">
        <v>4613</v>
      </c>
      <c r="B215" s="3" t="s">
        <v>619</v>
      </c>
      <c r="C215" s="3" t="s">
        <v>2367</v>
      </c>
      <c r="D215" s="3" t="s">
        <v>2355</v>
      </c>
      <c r="E215" s="3" t="s">
        <v>2355</v>
      </c>
    </row>
    <row r="216" spans="1:5" x14ac:dyDescent="0.35">
      <c r="A216" s="3" t="s">
        <v>4614</v>
      </c>
      <c r="B216" s="3" t="s">
        <v>621</v>
      </c>
      <c r="C216" s="3" t="s">
        <v>2367</v>
      </c>
      <c r="D216" s="3" t="s">
        <v>2355</v>
      </c>
      <c r="E216" s="3" t="s">
        <v>2355</v>
      </c>
    </row>
    <row r="217" spans="1:5" x14ac:dyDescent="0.35">
      <c r="A217" s="3" t="s">
        <v>4615</v>
      </c>
      <c r="B217" s="3" t="s">
        <v>623</v>
      </c>
      <c r="C217" s="3" t="s">
        <v>2367</v>
      </c>
      <c r="D217" s="3" t="s">
        <v>2355</v>
      </c>
      <c r="E217" s="3" t="s">
        <v>2355</v>
      </c>
    </row>
    <row r="218" spans="1:5" x14ac:dyDescent="0.35">
      <c r="A218" s="3" t="s">
        <v>4616</v>
      </c>
      <c r="B218" s="3" t="s">
        <v>625</v>
      </c>
      <c r="C218" s="3" t="s">
        <v>2367</v>
      </c>
      <c r="D218" s="3" t="s">
        <v>2355</v>
      </c>
      <c r="E218" s="3" t="s">
        <v>2355</v>
      </c>
    </row>
    <row r="219" spans="1:5" x14ac:dyDescent="0.35">
      <c r="A219" s="3" t="s">
        <v>4617</v>
      </c>
      <c r="B219" s="3" t="s">
        <v>627</v>
      </c>
      <c r="C219" s="3" t="s">
        <v>2367</v>
      </c>
      <c r="D219" s="3" t="s">
        <v>2355</v>
      </c>
      <c r="E219" s="3" t="s">
        <v>2355</v>
      </c>
    </row>
    <row r="220" spans="1:5" x14ac:dyDescent="0.35">
      <c r="A220" s="3" t="s">
        <v>3557</v>
      </c>
      <c r="B220" s="3" t="s">
        <v>629</v>
      </c>
      <c r="C220" s="3" t="s">
        <v>2367</v>
      </c>
      <c r="D220" s="3" t="s">
        <v>2355</v>
      </c>
      <c r="E220" s="3" t="s">
        <v>2355</v>
      </c>
    </row>
    <row r="221" spans="1:5" x14ac:dyDescent="0.35">
      <c r="A221" s="3" t="s">
        <v>4618</v>
      </c>
      <c r="B221" s="3" t="s">
        <v>631</v>
      </c>
      <c r="C221" s="3" t="s">
        <v>2367</v>
      </c>
      <c r="D221" s="3" t="s">
        <v>2355</v>
      </c>
      <c r="E221" s="3" t="s">
        <v>2355</v>
      </c>
    </row>
    <row r="222" spans="1:5" x14ac:dyDescent="0.35">
      <c r="A222" s="3" t="s">
        <v>4619</v>
      </c>
      <c r="B222" s="3" t="s">
        <v>633</v>
      </c>
      <c r="C222" s="3" t="s">
        <v>2367</v>
      </c>
      <c r="D222" s="3" t="s">
        <v>2355</v>
      </c>
      <c r="E222" s="3" t="s">
        <v>2355</v>
      </c>
    </row>
    <row r="223" spans="1:5" x14ac:dyDescent="0.35">
      <c r="A223" s="3" t="s">
        <v>3559</v>
      </c>
      <c r="B223" s="3" t="s">
        <v>637</v>
      </c>
      <c r="C223" s="3" t="s">
        <v>2367</v>
      </c>
      <c r="D223" s="3" t="s">
        <v>2356</v>
      </c>
      <c r="E223" s="3" t="s">
        <v>2355</v>
      </c>
    </row>
    <row r="224" spans="1:5" x14ac:dyDescent="0.35">
      <c r="A224" s="3" t="s">
        <v>3562</v>
      </c>
      <c r="B224" s="3" t="s">
        <v>639</v>
      </c>
      <c r="C224" s="3" t="s">
        <v>2367</v>
      </c>
      <c r="D224" s="3" t="s">
        <v>2356</v>
      </c>
      <c r="E224" s="3" t="s">
        <v>2355</v>
      </c>
    </row>
    <row r="225" spans="1:5" x14ac:dyDescent="0.35">
      <c r="A225" s="3" t="s">
        <v>4620</v>
      </c>
      <c r="B225" s="3" t="s">
        <v>643</v>
      </c>
      <c r="C225" s="3" t="s">
        <v>2367</v>
      </c>
      <c r="D225" s="3" t="s">
        <v>2356</v>
      </c>
      <c r="E225" s="3" t="s">
        <v>2355</v>
      </c>
    </row>
    <row r="226" spans="1:5" x14ac:dyDescent="0.35">
      <c r="A226" s="3" t="s">
        <v>4621</v>
      </c>
      <c r="B226" s="3" t="s">
        <v>645</v>
      </c>
      <c r="C226" s="3" t="s">
        <v>2367</v>
      </c>
      <c r="D226" s="3" t="s">
        <v>2355</v>
      </c>
      <c r="E226" s="3" t="s">
        <v>2355</v>
      </c>
    </row>
    <row r="227" spans="1:5" x14ac:dyDescent="0.35">
      <c r="A227" s="3" t="s">
        <v>4622</v>
      </c>
      <c r="B227" s="3" t="s">
        <v>649</v>
      </c>
      <c r="C227" s="3" t="s">
        <v>2367</v>
      </c>
      <c r="D227" s="3" t="s">
        <v>2355</v>
      </c>
      <c r="E227" s="3" t="s">
        <v>2355</v>
      </c>
    </row>
    <row r="228" spans="1:5" x14ac:dyDescent="0.35">
      <c r="A228" s="3" t="s">
        <v>4623</v>
      </c>
      <c r="B228" s="3" t="s">
        <v>651</v>
      </c>
      <c r="C228" s="3" t="s">
        <v>2367</v>
      </c>
      <c r="D228" s="3" t="s">
        <v>2356</v>
      </c>
      <c r="E228" s="3" t="s">
        <v>2355</v>
      </c>
    </row>
    <row r="229" spans="1:5" x14ac:dyDescent="0.35">
      <c r="A229" s="3" t="s">
        <v>4624</v>
      </c>
      <c r="B229" s="3" t="s">
        <v>653</v>
      </c>
      <c r="C229" s="3" t="s">
        <v>2367</v>
      </c>
      <c r="D229" s="3" t="s">
        <v>2355</v>
      </c>
      <c r="E229" s="3" t="s">
        <v>2355</v>
      </c>
    </row>
    <row r="230" spans="1:5" x14ac:dyDescent="0.35">
      <c r="A230" s="3" t="s">
        <v>4625</v>
      </c>
      <c r="B230" s="3" t="s">
        <v>657</v>
      </c>
      <c r="C230" s="3" t="s">
        <v>2359</v>
      </c>
      <c r="D230" s="3" t="s">
        <v>2355</v>
      </c>
      <c r="E230" s="3" t="s">
        <v>2355</v>
      </c>
    </row>
    <row r="231" spans="1:5" x14ac:dyDescent="0.35">
      <c r="A231" s="3" t="s">
        <v>4626</v>
      </c>
      <c r="B231" s="3" t="s">
        <v>659</v>
      </c>
      <c r="C231" s="3" t="s">
        <v>2367</v>
      </c>
      <c r="D231" s="3" t="s">
        <v>2355</v>
      </c>
      <c r="E231" s="3" t="s">
        <v>2355</v>
      </c>
    </row>
    <row r="232" spans="1:5" x14ac:dyDescent="0.35">
      <c r="A232" s="3" t="s">
        <v>3565</v>
      </c>
      <c r="B232" s="3" t="s">
        <v>661</v>
      </c>
      <c r="C232" s="3" t="s">
        <v>2367</v>
      </c>
      <c r="D232" s="3" t="s">
        <v>2355</v>
      </c>
      <c r="E232" s="3" t="s">
        <v>2355</v>
      </c>
    </row>
    <row r="233" spans="1:5" x14ac:dyDescent="0.35">
      <c r="A233" s="3" t="s">
        <v>3567</v>
      </c>
      <c r="B233" s="3" t="s">
        <v>663</v>
      </c>
      <c r="C233" s="3" t="s">
        <v>2367</v>
      </c>
      <c r="D233" s="3" t="s">
        <v>2355</v>
      </c>
      <c r="E233" s="3" t="s">
        <v>2355</v>
      </c>
    </row>
    <row r="234" spans="1:5" x14ac:dyDescent="0.35">
      <c r="A234" s="3" t="s">
        <v>3569</v>
      </c>
      <c r="B234" s="3" t="s">
        <v>665</v>
      </c>
      <c r="C234" s="3" t="s">
        <v>2367</v>
      </c>
      <c r="D234" s="3" t="s">
        <v>2355</v>
      </c>
      <c r="E234" s="3" t="s">
        <v>2355</v>
      </c>
    </row>
    <row r="235" spans="1:5" x14ac:dyDescent="0.35">
      <c r="A235" s="3" t="s">
        <v>4627</v>
      </c>
      <c r="B235" s="3" t="s">
        <v>667</v>
      </c>
      <c r="C235" s="3" t="s">
        <v>2367</v>
      </c>
      <c r="D235" s="3" t="s">
        <v>2355</v>
      </c>
      <c r="E235" s="3" t="s">
        <v>2355</v>
      </c>
    </row>
    <row r="236" spans="1:5" x14ac:dyDescent="0.35">
      <c r="A236" s="3" t="s">
        <v>4628</v>
      </c>
      <c r="B236" s="3" t="s">
        <v>671</v>
      </c>
      <c r="C236" s="3" t="s">
        <v>2367</v>
      </c>
      <c r="D236" s="3" t="s">
        <v>2355</v>
      </c>
      <c r="E236" s="3" t="s">
        <v>2355</v>
      </c>
    </row>
    <row r="237" spans="1:5" x14ac:dyDescent="0.35">
      <c r="A237" s="3" t="s">
        <v>4629</v>
      </c>
      <c r="B237" s="3" t="s">
        <v>673</v>
      </c>
      <c r="C237" s="3" t="s">
        <v>2367</v>
      </c>
      <c r="D237" s="3" t="s">
        <v>2355</v>
      </c>
      <c r="E237" s="3" t="s">
        <v>2355</v>
      </c>
    </row>
    <row r="238" spans="1:5" x14ac:dyDescent="0.35">
      <c r="A238" s="3" t="s">
        <v>3570</v>
      </c>
      <c r="B238" s="3" t="s">
        <v>675</v>
      </c>
      <c r="C238" s="3" t="s">
        <v>2353</v>
      </c>
      <c r="D238" s="3" t="s">
        <v>2356</v>
      </c>
      <c r="E238" s="3" t="s">
        <v>2355</v>
      </c>
    </row>
    <row r="239" spans="1:5" x14ac:dyDescent="0.35">
      <c r="A239" s="3" t="s">
        <v>3574</v>
      </c>
      <c r="B239" s="3" t="s">
        <v>677</v>
      </c>
      <c r="C239" s="3" t="s">
        <v>2367</v>
      </c>
      <c r="D239" s="3" t="s">
        <v>2355</v>
      </c>
      <c r="E239" s="3" t="s">
        <v>2355</v>
      </c>
    </row>
    <row r="240" spans="1:5" x14ac:dyDescent="0.35">
      <c r="A240" s="3" t="s">
        <v>3576</v>
      </c>
      <c r="B240" s="3" t="s">
        <v>683</v>
      </c>
      <c r="C240" s="3" t="s">
        <v>2361</v>
      </c>
      <c r="D240" s="3" t="s">
        <v>2355</v>
      </c>
      <c r="E240" s="3" t="s">
        <v>2355</v>
      </c>
    </row>
    <row r="241" spans="1:5" x14ac:dyDescent="0.35">
      <c r="A241" s="3" t="s">
        <v>4630</v>
      </c>
      <c r="B241" s="3" t="s">
        <v>685</v>
      </c>
      <c r="C241" s="3" t="s">
        <v>2353</v>
      </c>
      <c r="D241" s="3" t="s">
        <v>2355</v>
      </c>
      <c r="E241" s="3" t="s">
        <v>2355</v>
      </c>
    </row>
    <row r="242" spans="1:5" x14ac:dyDescent="0.35">
      <c r="A242" s="3" t="s">
        <v>4631</v>
      </c>
      <c r="B242" s="3" t="s">
        <v>689</v>
      </c>
      <c r="C242" s="3" t="s">
        <v>2353</v>
      </c>
      <c r="D242" s="3" t="s">
        <v>2355</v>
      </c>
      <c r="E242" s="3" t="s">
        <v>2355</v>
      </c>
    </row>
    <row r="243" spans="1:5" x14ac:dyDescent="0.35">
      <c r="A243" s="3" t="s">
        <v>4632</v>
      </c>
      <c r="B243" s="3" t="s">
        <v>691</v>
      </c>
      <c r="C243" s="3" t="s">
        <v>2353</v>
      </c>
      <c r="D243" s="3" t="s">
        <v>2355</v>
      </c>
      <c r="E243" s="3" t="s">
        <v>2355</v>
      </c>
    </row>
    <row r="244" spans="1:5" x14ac:dyDescent="0.35">
      <c r="A244" s="3" t="s">
        <v>4633</v>
      </c>
      <c r="B244" s="3" t="s">
        <v>693</v>
      </c>
      <c r="C244" s="3" t="s">
        <v>2353</v>
      </c>
      <c r="D244" s="3" t="s">
        <v>2356</v>
      </c>
      <c r="E244" s="3" t="s">
        <v>2355</v>
      </c>
    </row>
    <row r="245" spans="1:5" x14ac:dyDescent="0.35">
      <c r="A245" s="3" t="s">
        <v>4634</v>
      </c>
      <c r="B245" s="3" t="s">
        <v>697</v>
      </c>
      <c r="C245" s="3" t="s">
        <v>2353</v>
      </c>
      <c r="D245" s="3" t="s">
        <v>2355</v>
      </c>
      <c r="E245" s="3" t="s">
        <v>2355</v>
      </c>
    </row>
    <row r="246" spans="1:5" x14ac:dyDescent="0.35">
      <c r="A246" s="3" t="s">
        <v>4635</v>
      </c>
      <c r="B246" s="3" t="s">
        <v>699</v>
      </c>
      <c r="C246" s="3" t="s">
        <v>2353</v>
      </c>
      <c r="D246" s="3" t="s">
        <v>2356</v>
      </c>
      <c r="E246" s="3" t="s">
        <v>2355</v>
      </c>
    </row>
    <row r="247" spans="1:5" x14ac:dyDescent="0.35">
      <c r="A247" s="3" t="s">
        <v>4636</v>
      </c>
      <c r="B247" s="3" t="s">
        <v>703</v>
      </c>
      <c r="C247" s="3" t="s">
        <v>2353</v>
      </c>
      <c r="D247" s="3" t="s">
        <v>2355</v>
      </c>
      <c r="E247" s="3" t="s">
        <v>2355</v>
      </c>
    </row>
    <row r="248" spans="1:5" x14ac:dyDescent="0.35">
      <c r="A248" s="3" t="s">
        <v>4637</v>
      </c>
      <c r="B248" s="3" t="s">
        <v>705</v>
      </c>
      <c r="C248" s="3" t="s">
        <v>2353</v>
      </c>
      <c r="D248" s="3" t="s">
        <v>2355</v>
      </c>
      <c r="E248" s="3" t="s">
        <v>2355</v>
      </c>
    </row>
    <row r="249" spans="1:5" x14ac:dyDescent="0.35">
      <c r="A249" s="3" t="s">
        <v>4638</v>
      </c>
      <c r="B249" s="3" t="s">
        <v>707</v>
      </c>
      <c r="C249" s="3" t="s">
        <v>2353</v>
      </c>
      <c r="D249" s="3" t="s">
        <v>2355</v>
      </c>
      <c r="E249" s="3" t="s">
        <v>2355</v>
      </c>
    </row>
    <row r="250" spans="1:5" x14ac:dyDescent="0.35">
      <c r="A250" s="3" t="s">
        <v>4639</v>
      </c>
      <c r="B250" s="3" t="s">
        <v>709</v>
      </c>
      <c r="C250" s="3" t="s">
        <v>2353</v>
      </c>
      <c r="D250" s="3" t="s">
        <v>2355</v>
      </c>
      <c r="E250" s="3" t="s">
        <v>2355</v>
      </c>
    </row>
    <row r="251" spans="1:5" x14ac:dyDescent="0.35">
      <c r="A251" s="3" t="s">
        <v>4640</v>
      </c>
      <c r="B251" s="3" t="s">
        <v>711</v>
      </c>
      <c r="C251" s="3" t="s">
        <v>2353</v>
      </c>
      <c r="D251" s="3" t="s">
        <v>2355</v>
      </c>
      <c r="E251" s="3" t="s">
        <v>2355</v>
      </c>
    </row>
    <row r="252" spans="1:5" x14ac:dyDescent="0.35">
      <c r="A252" s="3" t="s">
        <v>3579</v>
      </c>
      <c r="B252" s="3" t="s">
        <v>715</v>
      </c>
      <c r="C252" s="3" t="s">
        <v>2353</v>
      </c>
      <c r="D252" s="3" t="s">
        <v>2355</v>
      </c>
      <c r="E252" s="3" t="s">
        <v>2355</v>
      </c>
    </row>
    <row r="253" spans="1:5" x14ac:dyDescent="0.35">
      <c r="A253" s="3" t="s">
        <v>4641</v>
      </c>
      <c r="B253" s="3" t="s">
        <v>717</v>
      </c>
      <c r="C253" s="3" t="s">
        <v>2357</v>
      </c>
      <c r="D253" s="3" t="s">
        <v>2356</v>
      </c>
      <c r="E253" s="3" t="s">
        <v>2355</v>
      </c>
    </row>
    <row r="254" spans="1:5" x14ac:dyDescent="0.35">
      <c r="A254" s="3" t="s">
        <v>3581</v>
      </c>
      <c r="B254" s="3" t="s">
        <v>719</v>
      </c>
      <c r="C254" s="3" t="s">
        <v>2353</v>
      </c>
      <c r="D254" s="3" t="s">
        <v>2355</v>
      </c>
      <c r="E254" s="3" t="s">
        <v>2355</v>
      </c>
    </row>
    <row r="255" spans="1:5" x14ac:dyDescent="0.35">
      <c r="A255" s="3" t="s">
        <v>3583</v>
      </c>
      <c r="B255" s="3" t="s">
        <v>721</v>
      </c>
      <c r="C255" s="3" t="s">
        <v>2365</v>
      </c>
      <c r="D255" s="3" t="s">
        <v>2355</v>
      </c>
      <c r="E255" s="3" t="s">
        <v>2355</v>
      </c>
    </row>
    <row r="256" spans="1:5" x14ac:dyDescent="0.35">
      <c r="A256" s="3" t="s">
        <v>4642</v>
      </c>
      <c r="B256" s="3" t="s">
        <v>723</v>
      </c>
      <c r="C256" s="3" t="s">
        <v>2353</v>
      </c>
      <c r="D256" s="3" t="s">
        <v>2355</v>
      </c>
      <c r="E256" s="3" t="s">
        <v>2355</v>
      </c>
    </row>
    <row r="257" spans="1:5" x14ac:dyDescent="0.35">
      <c r="A257" s="3" t="s">
        <v>4643</v>
      </c>
      <c r="B257" s="3" t="s">
        <v>729</v>
      </c>
      <c r="C257" s="3" t="s">
        <v>2359</v>
      </c>
      <c r="D257" s="3" t="s">
        <v>2355</v>
      </c>
      <c r="E257" s="3" t="s">
        <v>2355</v>
      </c>
    </row>
    <row r="258" spans="1:5" x14ac:dyDescent="0.35">
      <c r="A258" s="3" t="s">
        <v>4644</v>
      </c>
      <c r="B258" s="3" t="s">
        <v>731</v>
      </c>
      <c r="C258" s="3" t="s">
        <v>2359</v>
      </c>
      <c r="D258" s="3" t="s">
        <v>2355</v>
      </c>
      <c r="E258" s="3" t="s">
        <v>2355</v>
      </c>
    </row>
    <row r="259" spans="1:5" x14ac:dyDescent="0.35">
      <c r="A259" s="3" t="s">
        <v>4645</v>
      </c>
      <c r="B259" s="3" t="s">
        <v>733</v>
      </c>
      <c r="C259" s="3" t="s">
        <v>2353</v>
      </c>
      <c r="D259" s="3" t="s">
        <v>2355</v>
      </c>
      <c r="E259" s="3" t="s">
        <v>2355</v>
      </c>
    </row>
    <row r="260" spans="1:5" x14ac:dyDescent="0.35">
      <c r="A260" s="3" t="s">
        <v>4646</v>
      </c>
      <c r="B260" s="3" t="s">
        <v>735</v>
      </c>
      <c r="C260" s="3" t="s">
        <v>2359</v>
      </c>
      <c r="D260" s="3" t="s">
        <v>2355</v>
      </c>
      <c r="E260" s="3" t="s">
        <v>2355</v>
      </c>
    </row>
    <row r="261" spans="1:5" x14ac:dyDescent="0.35">
      <c r="A261" s="3" t="s">
        <v>3586</v>
      </c>
      <c r="B261" s="3" t="s">
        <v>737</v>
      </c>
      <c r="C261" s="3" t="s">
        <v>2363</v>
      </c>
      <c r="D261" s="3" t="s">
        <v>2355</v>
      </c>
      <c r="E261" s="3" t="s">
        <v>2355</v>
      </c>
    </row>
    <row r="262" spans="1:5" x14ac:dyDescent="0.35">
      <c r="A262" s="3" t="s">
        <v>3589</v>
      </c>
      <c r="B262" s="3" t="s">
        <v>741</v>
      </c>
      <c r="C262" s="3" t="s">
        <v>2359</v>
      </c>
      <c r="D262" s="3" t="s">
        <v>2355</v>
      </c>
      <c r="E262" s="3" t="s">
        <v>2355</v>
      </c>
    </row>
    <row r="263" spans="1:5" x14ac:dyDescent="0.35">
      <c r="A263" s="3" t="s">
        <v>4647</v>
      </c>
      <c r="B263" s="3" t="s">
        <v>743</v>
      </c>
      <c r="C263" s="3" t="s">
        <v>2359</v>
      </c>
      <c r="D263" s="3" t="s">
        <v>2354</v>
      </c>
      <c r="E263" s="3" t="s">
        <v>2355</v>
      </c>
    </row>
    <row r="264" spans="1:5" x14ac:dyDescent="0.35">
      <c r="A264" s="3" t="s">
        <v>4648</v>
      </c>
      <c r="B264" s="3" t="s">
        <v>747</v>
      </c>
      <c r="C264" s="3" t="s">
        <v>2353</v>
      </c>
      <c r="D264" s="3" t="s">
        <v>2355</v>
      </c>
      <c r="E264" s="3" t="s">
        <v>2355</v>
      </c>
    </row>
    <row r="265" spans="1:5" x14ac:dyDescent="0.35">
      <c r="A265" s="3" t="s">
        <v>4649</v>
      </c>
      <c r="B265" s="3" t="s">
        <v>749</v>
      </c>
      <c r="C265" s="3" t="s">
        <v>2365</v>
      </c>
      <c r="D265" s="3" t="s">
        <v>2355</v>
      </c>
      <c r="E265" s="3" t="s">
        <v>2355</v>
      </c>
    </row>
    <row r="266" spans="1:5" x14ac:dyDescent="0.35">
      <c r="A266" s="3" t="s">
        <v>4650</v>
      </c>
      <c r="B266" s="3" t="s">
        <v>751</v>
      </c>
      <c r="C266" s="3" t="s">
        <v>2353</v>
      </c>
      <c r="D266" s="3" t="s">
        <v>2355</v>
      </c>
      <c r="E266" s="3" t="s">
        <v>2355</v>
      </c>
    </row>
    <row r="267" spans="1:5" x14ac:dyDescent="0.35">
      <c r="A267" s="3" t="s">
        <v>4651</v>
      </c>
      <c r="B267" s="3" t="s">
        <v>757</v>
      </c>
      <c r="C267" s="3" t="s">
        <v>2353</v>
      </c>
      <c r="D267" s="3" t="s">
        <v>2354</v>
      </c>
      <c r="E267" s="3" t="s">
        <v>2355</v>
      </c>
    </row>
    <row r="268" spans="1:5" x14ac:dyDescent="0.35">
      <c r="A268" s="3" t="s">
        <v>4652</v>
      </c>
      <c r="B268" s="3" t="s">
        <v>759</v>
      </c>
      <c r="C268" s="3" t="s">
        <v>2364</v>
      </c>
      <c r="D268" s="3" t="s">
        <v>2355</v>
      </c>
      <c r="E268" s="3" t="s">
        <v>2362</v>
      </c>
    </row>
    <row r="269" spans="1:5" x14ac:dyDescent="0.35">
      <c r="A269" s="3" t="s">
        <v>4653</v>
      </c>
      <c r="B269" s="3" t="s">
        <v>761</v>
      </c>
      <c r="C269" s="3" t="s">
        <v>2353</v>
      </c>
      <c r="D269" s="3" t="s">
        <v>2355</v>
      </c>
      <c r="E269" s="3" t="s">
        <v>2362</v>
      </c>
    </row>
    <row r="270" spans="1:5" x14ac:dyDescent="0.35">
      <c r="A270" s="3" t="s">
        <v>3591</v>
      </c>
      <c r="B270" s="3" t="s">
        <v>763</v>
      </c>
      <c r="C270" s="3" t="s">
        <v>2353</v>
      </c>
      <c r="D270" s="3" t="s">
        <v>2355</v>
      </c>
      <c r="E270" s="3" t="s">
        <v>2355</v>
      </c>
    </row>
    <row r="271" spans="1:5" x14ac:dyDescent="0.35">
      <c r="A271" s="3" t="s">
        <v>4654</v>
      </c>
      <c r="B271" s="3" t="s">
        <v>765</v>
      </c>
      <c r="C271" s="3" t="s">
        <v>2364</v>
      </c>
      <c r="D271" s="3" t="s">
        <v>2355</v>
      </c>
      <c r="E271" s="3" t="s">
        <v>2362</v>
      </c>
    </row>
    <row r="272" spans="1:5" x14ac:dyDescent="0.35">
      <c r="A272" s="3" t="s">
        <v>4655</v>
      </c>
      <c r="B272" s="3" t="s">
        <v>769</v>
      </c>
      <c r="C272" s="3" t="s">
        <v>2353</v>
      </c>
      <c r="D272" s="3" t="s">
        <v>2355</v>
      </c>
      <c r="E272" s="3" t="s">
        <v>2355</v>
      </c>
    </row>
    <row r="273" spans="1:5" x14ac:dyDescent="0.35">
      <c r="A273" s="3" t="s">
        <v>3595</v>
      </c>
      <c r="B273" s="3" t="s">
        <v>771</v>
      </c>
      <c r="C273" s="3" t="s">
        <v>2353</v>
      </c>
      <c r="D273" s="3" t="s">
        <v>2355</v>
      </c>
      <c r="E273" s="3" t="s">
        <v>2355</v>
      </c>
    </row>
    <row r="274" spans="1:5" x14ac:dyDescent="0.35">
      <c r="A274" s="3" t="s">
        <v>3597</v>
      </c>
      <c r="B274" s="3" t="s">
        <v>773</v>
      </c>
      <c r="C274" s="3" t="s">
        <v>2357</v>
      </c>
      <c r="D274" s="3" t="s">
        <v>2355</v>
      </c>
      <c r="E274" s="3" t="s">
        <v>2358</v>
      </c>
    </row>
    <row r="275" spans="1:5" x14ac:dyDescent="0.35">
      <c r="A275" s="3" t="s">
        <v>4656</v>
      </c>
      <c r="B275" s="3" t="s">
        <v>775</v>
      </c>
      <c r="C275" s="3" t="s">
        <v>2353</v>
      </c>
      <c r="D275" s="3" t="s">
        <v>2355</v>
      </c>
      <c r="E275" s="3" t="s">
        <v>2355</v>
      </c>
    </row>
    <row r="276" spans="1:5" x14ac:dyDescent="0.35">
      <c r="A276" s="3" t="s">
        <v>4657</v>
      </c>
      <c r="B276" s="3" t="s">
        <v>777</v>
      </c>
      <c r="C276" s="3" t="s">
        <v>2353</v>
      </c>
      <c r="D276" s="3" t="s">
        <v>2355</v>
      </c>
      <c r="E276" s="3" t="s">
        <v>2355</v>
      </c>
    </row>
    <row r="277" spans="1:5" x14ac:dyDescent="0.35">
      <c r="A277" s="3" t="s">
        <v>3599</v>
      </c>
      <c r="B277" s="3" t="s">
        <v>779</v>
      </c>
      <c r="C277" s="3" t="s">
        <v>2357</v>
      </c>
      <c r="D277" s="3" t="s">
        <v>2355</v>
      </c>
      <c r="E277" s="3" t="s">
        <v>2360</v>
      </c>
    </row>
    <row r="278" spans="1:5" x14ac:dyDescent="0.35">
      <c r="A278" s="3" t="s">
        <v>4658</v>
      </c>
      <c r="B278" s="3" t="s">
        <v>781</v>
      </c>
      <c r="C278" s="3" t="s">
        <v>2353</v>
      </c>
      <c r="D278" s="3" t="s">
        <v>2355</v>
      </c>
      <c r="E278" s="3" t="s">
        <v>2355</v>
      </c>
    </row>
    <row r="279" spans="1:5" x14ac:dyDescent="0.35">
      <c r="A279" s="3" t="s">
        <v>4659</v>
      </c>
      <c r="B279" s="3" t="s">
        <v>783</v>
      </c>
      <c r="C279" s="3" t="s">
        <v>2353</v>
      </c>
      <c r="D279" s="3" t="s">
        <v>2355</v>
      </c>
      <c r="E279" s="3" t="s">
        <v>2355</v>
      </c>
    </row>
    <row r="280" spans="1:5" x14ac:dyDescent="0.35">
      <c r="A280" s="3" t="s">
        <v>4660</v>
      </c>
      <c r="B280" s="3" t="s">
        <v>789</v>
      </c>
      <c r="C280" s="3" t="s">
        <v>2365</v>
      </c>
      <c r="D280" s="3" t="s">
        <v>2355</v>
      </c>
      <c r="E280" s="3" t="s">
        <v>2362</v>
      </c>
    </row>
    <row r="281" spans="1:5" x14ac:dyDescent="0.35">
      <c r="A281" s="3" t="s">
        <v>3601</v>
      </c>
      <c r="B281" s="3" t="s">
        <v>791</v>
      </c>
      <c r="C281" s="3" t="s">
        <v>2353</v>
      </c>
      <c r="D281" s="3" t="s">
        <v>2356</v>
      </c>
      <c r="E281" s="3" t="s">
        <v>2355</v>
      </c>
    </row>
    <row r="282" spans="1:5" x14ac:dyDescent="0.35">
      <c r="A282" s="3" t="s">
        <v>4661</v>
      </c>
      <c r="B282" s="3" t="s">
        <v>795</v>
      </c>
      <c r="C282" s="3" t="s">
        <v>2364</v>
      </c>
      <c r="D282" s="3" t="s">
        <v>2355</v>
      </c>
      <c r="E282" s="3" t="s">
        <v>2362</v>
      </c>
    </row>
    <row r="283" spans="1:5" x14ac:dyDescent="0.35">
      <c r="A283" s="3" t="s">
        <v>3603</v>
      </c>
      <c r="B283" s="3" t="s">
        <v>797</v>
      </c>
      <c r="C283" s="3" t="s">
        <v>2353</v>
      </c>
      <c r="D283" s="3" t="s">
        <v>2355</v>
      </c>
      <c r="E283" s="3" t="s">
        <v>2355</v>
      </c>
    </row>
    <row r="284" spans="1:5" x14ac:dyDescent="0.35">
      <c r="A284" s="3" t="s">
        <v>4662</v>
      </c>
      <c r="B284" s="3" t="s">
        <v>799</v>
      </c>
      <c r="C284" s="3" t="s">
        <v>2357</v>
      </c>
      <c r="D284" s="3" t="s">
        <v>2355</v>
      </c>
      <c r="E284" s="3" t="s">
        <v>2358</v>
      </c>
    </row>
    <row r="285" spans="1:5" x14ac:dyDescent="0.35">
      <c r="A285" s="3" t="s">
        <v>4663</v>
      </c>
      <c r="B285" s="3" t="s">
        <v>803</v>
      </c>
      <c r="C285" s="3" t="s">
        <v>2364</v>
      </c>
      <c r="D285" s="3" t="s">
        <v>2355</v>
      </c>
      <c r="E285" s="3" t="s">
        <v>2362</v>
      </c>
    </row>
    <row r="286" spans="1:5" x14ac:dyDescent="0.35">
      <c r="A286" s="3" t="s">
        <v>4664</v>
      </c>
      <c r="B286" s="3" t="s">
        <v>805</v>
      </c>
      <c r="C286" s="3" t="s">
        <v>2357</v>
      </c>
      <c r="D286" s="3" t="s">
        <v>2354</v>
      </c>
      <c r="E286" s="3" t="s">
        <v>2362</v>
      </c>
    </row>
    <row r="287" spans="1:5" x14ac:dyDescent="0.35">
      <c r="A287" s="3" t="s">
        <v>3610</v>
      </c>
      <c r="B287" s="3" t="s">
        <v>809</v>
      </c>
      <c r="C287" s="3" t="s">
        <v>2353</v>
      </c>
      <c r="D287" s="3" t="s">
        <v>2356</v>
      </c>
      <c r="E287" s="3" t="s">
        <v>2355</v>
      </c>
    </row>
    <row r="288" spans="1:5" x14ac:dyDescent="0.35">
      <c r="A288" s="3" t="s">
        <v>4665</v>
      </c>
      <c r="B288" s="3" t="s">
        <v>811</v>
      </c>
      <c r="C288" s="3" t="s">
        <v>2364</v>
      </c>
      <c r="D288" s="3" t="s">
        <v>2355</v>
      </c>
      <c r="E288" s="3" t="s">
        <v>2362</v>
      </c>
    </row>
    <row r="289" spans="1:5" x14ac:dyDescent="0.35">
      <c r="A289" s="3" t="s">
        <v>4666</v>
      </c>
      <c r="B289" s="3" t="s">
        <v>815</v>
      </c>
      <c r="C289" s="3" t="s">
        <v>2357</v>
      </c>
      <c r="D289" s="3" t="s">
        <v>2355</v>
      </c>
      <c r="E289" s="3" t="s">
        <v>2360</v>
      </c>
    </row>
    <row r="290" spans="1:5" x14ac:dyDescent="0.35">
      <c r="A290" s="3" t="s">
        <v>4667</v>
      </c>
      <c r="B290" s="3" t="s">
        <v>817</v>
      </c>
      <c r="C290" s="3" t="s">
        <v>2364</v>
      </c>
      <c r="D290" s="3" t="s">
        <v>2355</v>
      </c>
      <c r="E290" s="3" t="s">
        <v>2360</v>
      </c>
    </row>
    <row r="291" spans="1:5" x14ac:dyDescent="0.35">
      <c r="A291" s="3" t="s">
        <v>3614</v>
      </c>
      <c r="B291" s="3" t="s">
        <v>821</v>
      </c>
      <c r="C291" s="3" t="s">
        <v>2353</v>
      </c>
      <c r="D291" s="3" t="s">
        <v>2355</v>
      </c>
      <c r="E291" s="3" t="s">
        <v>2355</v>
      </c>
    </row>
    <row r="292" spans="1:5" x14ac:dyDescent="0.35">
      <c r="A292" s="3" t="s">
        <v>4668</v>
      </c>
      <c r="B292" s="3" t="s">
        <v>823</v>
      </c>
      <c r="C292" s="3" t="s">
        <v>2353</v>
      </c>
      <c r="D292" s="3" t="s">
        <v>2355</v>
      </c>
      <c r="E292" s="3" t="s">
        <v>2355</v>
      </c>
    </row>
    <row r="293" spans="1:5" x14ac:dyDescent="0.35">
      <c r="A293" s="3" t="s">
        <v>4669</v>
      </c>
      <c r="B293" s="3" t="s">
        <v>825</v>
      </c>
      <c r="C293" s="3" t="s">
        <v>2353</v>
      </c>
      <c r="D293" s="3" t="s">
        <v>2355</v>
      </c>
      <c r="E293" s="3" t="s">
        <v>2355</v>
      </c>
    </row>
    <row r="294" spans="1:5" x14ac:dyDescent="0.35">
      <c r="A294" s="3" t="s">
        <v>4670</v>
      </c>
      <c r="B294" s="3" t="s">
        <v>829</v>
      </c>
      <c r="C294" s="3" t="s">
        <v>2353</v>
      </c>
      <c r="D294" s="3" t="s">
        <v>2356</v>
      </c>
      <c r="E294" s="3" t="s">
        <v>2355</v>
      </c>
    </row>
    <row r="295" spans="1:5" x14ac:dyDescent="0.35">
      <c r="A295" s="3" t="s">
        <v>3617</v>
      </c>
      <c r="B295" s="3" t="s">
        <v>831</v>
      </c>
      <c r="C295" s="3" t="s">
        <v>2353</v>
      </c>
      <c r="D295" s="3" t="s">
        <v>2356</v>
      </c>
      <c r="E295" s="3" t="s">
        <v>2360</v>
      </c>
    </row>
    <row r="296" spans="1:5" x14ac:dyDescent="0.35">
      <c r="A296" s="3" t="s">
        <v>3619</v>
      </c>
      <c r="B296" s="3" t="s">
        <v>833</v>
      </c>
      <c r="C296" s="3" t="s">
        <v>2353</v>
      </c>
      <c r="D296" s="3" t="s">
        <v>2355</v>
      </c>
      <c r="E296" s="3" t="s">
        <v>2362</v>
      </c>
    </row>
    <row r="297" spans="1:5" x14ac:dyDescent="0.35">
      <c r="A297" s="3" t="s">
        <v>4671</v>
      </c>
      <c r="B297" s="3" t="s">
        <v>837</v>
      </c>
      <c r="C297" s="3" t="s">
        <v>2353</v>
      </c>
      <c r="D297" s="3" t="s">
        <v>2355</v>
      </c>
      <c r="E297" s="3" t="s">
        <v>2355</v>
      </c>
    </row>
    <row r="298" spans="1:5" x14ac:dyDescent="0.35">
      <c r="A298" s="3" t="s">
        <v>4672</v>
      </c>
      <c r="B298" s="3" t="s">
        <v>839</v>
      </c>
      <c r="C298" s="3" t="s">
        <v>2363</v>
      </c>
      <c r="D298" s="3" t="s">
        <v>2355</v>
      </c>
      <c r="E298" s="3" t="s">
        <v>2360</v>
      </c>
    </row>
    <row r="299" spans="1:5" x14ac:dyDescent="0.35">
      <c r="A299" s="3" t="s">
        <v>4673</v>
      </c>
      <c r="B299" s="3" t="s">
        <v>841</v>
      </c>
      <c r="C299" s="3" t="s">
        <v>2357</v>
      </c>
      <c r="D299" s="3" t="s">
        <v>2355</v>
      </c>
      <c r="E299" s="3" t="s">
        <v>2360</v>
      </c>
    </row>
    <row r="300" spans="1:5" x14ac:dyDescent="0.35">
      <c r="A300" s="3" t="s">
        <v>3622</v>
      </c>
      <c r="B300" s="3" t="s">
        <v>847</v>
      </c>
      <c r="C300" s="3" t="s">
        <v>2363</v>
      </c>
      <c r="D300" s="3" t="s">
        <v>2355</v>
      </c>
      <c r="E300" s="3" t="s">
        <v>2360</v>
      </c>
    </row>
    <row r="301" spans="1:5" x14ac:dyDescent="0.35">
      <c r="A301" s="3" t="s">
        <v>3624</v>
      </c>
      <c r="B301" s="3" t="s">
        <v>849</v>
      </c>
      <c r="C301" s="3" t="s">
        <v>2361</v>
      </c>
      <c r="D301" s="3" t="s">
        <v>2355</v>
      </c>
      <c r="E301" s="3" t="s">
        <v>2360</v>
      </c>
    </row>
    <row r="302" spans="1:5" x14ac:dyDescent="0.35">
      <c r="A302" s="3" t="s">
        <v>3626</v>
      </c>
      <c r="B302" s="3" t="s">
        <v>851</v>
      </c>
      <c r="C302" s="3" t="s">
        <v>2363</v>
      </c>
      <c r="D302" s="3" t="s">
        <v>2355</v>
      </c>
      <c r="E302" s="3" t="s">
        <v>2360</v>
      </c>
    </row>
    <row r="303" spans="1:5" x14ac:dyDescent="0.35">
      <c r="A303" s="3" t="s">
        <v>3629</v>
      </c>
      <c r="B303" s="3" t="s">
        <v>853</v>
      </c>
      <c r="C303" s="3" t="s">
        <v>2363</v>
      </c>
      <c r="D303" s="3" t="s">
        <v>2355</v>
      </c>
      <c r="E303" s="3" t="s">
        <v>2360</v>
      </c>
    </row>
    <row r="304" spans="1:5" x14ac:dyDescent="0.35">
      <c r="A304" s="3" t="s">
        <v>4674</v>
      </c>
      <c r="B304" s="3" t="s">
        <v>855</v>
      </c>
      <c r="C304" s="3" t="s">
        <v>2357</v>
      </c>
      <c r="D304" s="3" t="s">
        <v>2355</v>
      </c>
      <c r="E304" s="3" t="s">
        <v>2358</v>
      </c>
    </row>
    <row r="305" spans="1:5" x14ac:dyDescent="0.35">
      <c r="A305" s="3" t="s">
        <v>3631</v>
      </c>
      <c r="B305" s="3" t="s">
        <v>859</v>
      </c>
      <c r="C305" s="3" t="s">
        <v>2353</v>
      </c>
      <c r="D305" s="3" t="s">
        <v>2355</v>
      </c>
      <c r="E305" s="3" t="s">
        <v>2355</v>
      </c>
    </row>
    <row r="306" spans="1:5" x14ac:dyDescent="0.35">
      <c r="A306" s="3" t="s">
        <v>3634</v>
      </c>
      <c r="B306" s="3" t="s">
        <v>861</v>
      </c>
      <c r="C306" s="3" t="s">
        <v>2353</v>
      </c>
      <c r="D306" s="3" t="s">
        <v>2355</v>
      </c>
      <c r="E306" s="3" t="s">
        <v>2355</v>
      </c>
    </row>
    <row r="307" spans="1:5" x14ac:dyDescent="0.35">
      <c r="A307" s="3" t="s">
        <v>4675</v>
      </c>
      <c r="B307" s="3" t="s">
        <v>863</v>
      </c>
      <c r="C307" s="3" t="s">
        <v>2357</v>
      </c>
      <c r="D307" s="3" t="s">
        <v>2355</v>
      </c>
      <c r="E307" s="3" t="s">
        <v>2360</v>
      </c>
    </row>
    <row r="308" spans="1:5" x14ac:dyDescent="0.35">
      <c r="A308" s="3" t="s">
        <v>3636</v>
      </c>
      <c r="B308" s="3" t="s">
        <v>867</v>
      </c>
      <c r="C308" s="3" t="s">
        <v>2367</v>
      </c>
      <c r="D308" s="3" t="s">
        <v>2355</v>
      </c>
      <c r="E308" s="3" t="s">
        <v>2355</v>
      </c>
    </row>
    <row r="309" spans="1:5" x14ac:dyDescent="0.35">
      <c r="A309" s="3" t="s">
        <v>3639</v>
      </c>
      <c r="B309" s="3" t="s">
        <v>871</v>
      </c>
      <c r="C309" s="3" t="s">
        <v>2367</v>
      </c>
      <c r="D309" s="3" t="s">
        <v>2355</v>
      </c>
      <c r="E309" s="3" t="s">
        <v>2355</v>
      </c>
    </row>
    <row r="310" spans="1:5" x14ac:dyDescent="0.35">
      <c r="A310" s="3" t="s">
        <v>4676</v>
      </c>
      <c r="B310" s="3" t="s">
        <v>873</v>
      </c>
      <c r="C310" s="3" t="s">
        <v>2367</v>
      </c>
      <c r="D310" s="3" t="s">
        <v>2355</v>
      </c>
      <c r="E310" s="3" t="s">
        <v>2366</v>
      </c>
    </row>
    <row r="311" spans="1:5" x14ac:dyDescent="0.35">
      <c r="A311" s="3" t="s">
        <v>4677</v>
      </c>
      <c r="B311" s="3" t="s">
        <v>875</v>
      </c>
      <c r="C311" s="3" t="s">
        <v>2367</v>
      </c>
      <c r="D311" s="3" t="s">
        <v>2355</v>
      </c>
      <c r="E311" s="3" t="s">
        <v>2366</v>
      </c>
    </row>
    <row r="312" spans="1:5" x14ac:dyDescent="0.35">
      <c r="A312" s="3" t="s">
        <v>4678</v>
      </c>
      <c r="B312" s="3" t="s">
        <v>877</v>
      </c>
      <c r="C312" s="3" t="s">
        <v>2367</v>
      </c>
      <c r="D312" s="3" t="s">
        <v>2355</v>
      </c>
      <c r="E312" s="3" t="s">
        <v>2366</v>
      </c>
    </row>
    <row r="313" spans="1:5" x14ac:dyDescent="0.35">
      <c r="A313" s="3" t="s">
        <v>4679</v>
      </c>
      <c r="B313" s="3" t="s">
        <v>879</v>
      </c>
      <c r="C313" s="3" t="s">
        <v>2367</v>
      </c>
      <c r="D313" s="3" t="s">
        <v>2355</v>
      </c>
      <c r="E313" s="3" t="s">
        <v>2366</v>
      </c>
    </row>
    <row r="314" spans="1:5" x14ac:dyDescent="0.35">
      <c r="A314" s="3" t="s">
        <v>3641</v>
      </c>
      <c r="B314" s="3" t="s">
        <v>881</v>
      </c>
      <c r="C314" s="3" t="s">
        <v>2353</v>
      </c>
      <c r="D314" s="3" t="s">
        <v>2355</v>
      </c>
      <c r="E314" s="3" t="s">
        <v>2366</v>
      </c>
    </row>
    <row r="315" spans="1:5" x14ac:dyDescent="0.35">
      <c r="A315" s="3" t="s">
        <v>3645</v>
      </c>
      <c r="B315" s="3" t="s">
        <v>883</v>
      </c>
      <c r="C315" s="3" t="s">
        <v>2367</v>
      </c>
      <c r="D315" s="3" t="s">
        <v>2355</v>
      </c>
      <c r="E315" s="3" t="s">
        <v>2355</v>
      </c>
    </row>
    <row r="316" spans="1:5" x14ac:dyDescent="0.35">
      <c r="A316" s="3" t="s">
        <v>3648</v>
      </c>
      <c r="B316" s="3" t="s">
        <v>885</v>
      </c>
      <c r="C316" s="3" t="s">
        <v>2367</v>
      </c>
      <c r="D316" s="3" t="s">
        <v>2355</v>
      </c>
      <c r="E316" s="3" t="s">
        <v>2355</v>
      </c>
    </row>
    <row r="317" spans="1:5" x14ac:dyDescent="0.35">
      <c r="A317" s="3" t="s">
        <v>3655</v>
      </c>
      <c r="B317" s="3" t="s">
        <v>887</v>
      </c>
      <c r="C317" s="3" t="s">
        <v>2359</v>
      </c>
      <c r="D317" s="3" t="s">
        <v>2355</v>
      </c>
      <c r="E317" s="3" t="s">
        <v>2355</v>
      </c>
    </row>
    <row r="318" spans="1:5" x14ac:dyDescent="0.35">
      <c r="A318" s="3" t="s">
        <v>3658</v>
      </c>
      <c r="B318" s="3" t="s">
        <v>889</v>
      </c>
      <c r="C318" s="3" t="s">
        <v>2367</v>
      </c>
      <c r="D318" s="3" t="s">
        <v>2355</v>
      </c>
      <c r="E318" s="3" t="s">
        <v>2366</v>
      </c>
    </row>
    <row r="319" spans="1:5" x14ac:dyDescent="0.35">
      <c r="A319" s="3" t="s">
        <v>3660</v>
      </c>
      <c r="B319" s="3" t="s">
        <v>893</v>
      </c>
      <c r="C319" s="3" t="s">
        <v>2359</v>
      </c>
      <c r="D319" s="3" t="s">
        <v>2355</v>
      </c>
      <c r="E319" s="3" t="s">
        <v>2355</v>
      </c>
    </row>
    <row r="320" spans="1:5" x14ac:dyDescent="0.35">
      <c r="A320" s="3" t="s">
        <v>3663</v>
      </c>
      <c r="B320" s="3" t="s">
        <v>895</v>
      </c>
      <c r="C320" s="3" t="s">
        <v>2367</v>
      </c>
      <c r="D320" s="3" t="s">
        <v>2355</v>
      </c>
      <c r="E320" s="3" t="s">
        <v>2355</v>
      </c>
    </row>
    <row r="321" spans="1:5" x14ac:dyDescent="0.35">
      <c r="A321" s="3" t="s">
        <v>3666</v>
      </c>
      <c r="B321" s="3" t="s">
        <v>897</v>
      </c>
      <c r="C321" s="3" t="s">
        <v>2361</v>
      </c>
      <c r="D321" s="3" t="s">
        <v>2355</v>
      </c>
      <c r="E321" s="3" t="s">
        <v>2355</v>
      </c>
    </row>
    <row r="322" spans="1:5" x14ac:dyDescent="0.35">
      <c r="A322" s="3" t="s">
        <v>3668</v>
      </c>
      <c r="B322" s="3" t="s">
        <v>899</v>
      </c>
      <c r="C322" s="3" t="s">
        <v>2353</v>
      </c>
      <c r="D322" s="3" t="s">
        <v>2355</v>
      </c>
      <c r="E322" s="3" t="s">
        <v>2355</v>
      </c>
    </row>
    <row r="323" spans="1:5" x14ac:dyDescent="0.35">
      <c r="A323" s="3" t="s">
        <v>3674</v>
      </c>
      <c r="B323" s="3" t="s">
        <v>901</v>
      </c>
      <c r="C323" s="3" t="s">
        <v>2361</v>
      </c>
      <c r="D323" s="3" t="s">
        <v>2355</v>
      </c>
      <c r="E323" s="3" t="s">
        <v>2355</v>
      </c>
    </row>
    <row r="324" spans="1:5" x14ac:dyDescent="0.35">
      <c r="A324" s="3" t="s">
        <v>3676</v>
      </c>
      <c r="B324" s="3" t="s">
        <v>903</v>
      </c>
      <c r="C324" s="3" t="s">
        <v>2359</v>
      </c>
      <c r="D324" s="3" t="s">
        <v>2355</v>
      </c>
      <c r="E324" s="3" t="s">
        <v>2366</v>
      </c>
    </row>
    <row r="325" spans="1:5" x14ac:dyDescent="0.35">
      <c r="A325" s="3" t="s">
        <v>4680</v>
      </c>
      <c r="B325" s="3" t="s">
        <v>905</v>
      </c>
      <c r="C325" s="3" t="s">
        <v>2353</v>
      </c>
      <c r="D325" s="3" t="s">
        <v>2355</v>
      </c>
      <c r="E325" s="3" t="s">
        <v>2355</v>
      </c>
    </row>
    <row r="326" spans="1:5" x14ac:dyDescent="0.35">
      <c r="A326" s="3" t="s">
        <v>4681</v>
      </c>
      <c r="B326" s="3" t="s">
        <v>907</v>
      </c>
      <c r="C326" s="3" t="s">
        <v>2353</v>
      </c>
      <c r="D326" s="3" t="s">
        <v>2355</v>
      </c>
      <c r="E326" s="3" t="s">
        <v>2355</v>
      </c>
    </row>
    <row r="327" spans="1:5" x14ac:dyDescent="0.35">
      <c r="A327" s="3" t="s">
        <v>4682</v>
      </c>
      <c r="B327" s="3" t="s">
        <v>909</v>
      </c>
      <c r="C327" s="3" t="s">
        <v>2367</v>
      </c>
      <c r="D327" s="3" t="s">
        <v>2355</v>
      </c>
      <c r="E327" s="3" t="s">
        <v>2355</v>
      </c>
    </row>
    <row r="328" spans="1:5" x14ac:dyDescent="0.35">
      <c r="A328" s="3" t="s">
        <v>3678</v>
      </c>
      <c r="B328" s="3" t="s">
        <v>911</v>
      </c>
      <c r="C328" s="3" t="s">
        <v>2353</v>
      </c>
      <c r="D328" s="3" t="s">
        <v>2355</v>
      </c>
      <c r="E328" s="3" t="s">
        <v>2355</v>
      </c>
    </row>
    <row r="329" spans="1:5" x14ac:dyDescent="0.35">
      <c r="A329" s="3" t="s">
        <v>3684</v>
      </c>
      <c r="B329" s="3" t="s">
        <v>913</v>
      </c>
      <c r="C329" s="3" t="s">
        <v>2359</v>
      </c>
      <c r="D329" s="3" t="s">
        <v>2355</v>
      </c>
      <c r="E329" s="3" t="s">
        <v>2355</v>
      </c>
    </row>
    <row r="330" spans="1:5" x14ac:dyDescent="0.35">
      <c r="A330" s="3" t="s">
        <v>4683</v>
      </c>
      <c r="B330" s="3" t="s">
        <v>915</v>
      </c>
      <c r="C330" s="3" t="s">
        <v>2359</v>
      </c>
      <c r="D330" s="3" t="s">
        <v>2355</v>
      </c>
      <c r="E330" s="3" t="s">
        <v>2355</v>
      </c>
    </row>
    <row r="331" spans="1:5" x14ac:dyDescent="0.35">
      <c r="A331" s="3" t="s">
        <v>3686</v>
      </c>
      <c r="B331" s="3" t="s">
        <v>917</v>
      </c>
      <c r="C331" s="3" t="s">
        <v>2359</v>
      </c>
      <c r="D331" s="3" t="s">
        <v>2355</v>
      </c>
      <c r="E331" s="3" t="s">
        <v>2355</v>
      </c>
    </row>
    <row r="332" spans="1:5" x14ac:dyDescent="0.35">
      <c r="A332" s="3" t="s">
        <v>4684</v>
      </c>
      <c r="B332" s="3" t="s">
        <v>919</v>
      </c>
      <c r="C332" s="3" t="s">
        <v>2367</v>
      </c>
      <c r="D332" s="3" t="s">
        <v>2355</v>
      </c>
      <c r="E332" s="3" t="s">
        <v>2355</v>
      </c>
    </row>
    <row r="333" spans="1:5" x14ac:dyDescent="0.35">
      <c r="A333" s="3" t="s">
        <v>3687</v>
      </c>
      <c r="B333" s="3" t="s">
        <v>923</v>
      </c>
      <c r="C333" s="3" t="s">
        <v>2367</v>
      </c>
      <c r="D333" s="3" t="s">
        <v>2355</v>
      </c>
      <c r="E333" s="3" t="s">
        <v>2366</v>
      </c>
    </row>
    <row r="334" spans="1:5" x14ac:dyDescent="0.35">
      <c r="A334" s="3" t="s">
        <v>4685</v>
      </c>
      <c r="B334" s="3" t="s">
        <v>925</v>
      </c>
      <c r="C334" s="3" t="s">
        <v>2367</v>
      </c>
      <c r="D334" s="3" t="s">
        <v>2355</v>
      </c>
      <c r="E334" s="3" t="s">
        <v>2366</v>
      </c>
    </row>
    <row r="335" spans="1:5" x14ac:dyDescent="0.35">
      <c r="A335" s="3" t="s">
        <v>4686</v>
      </c>
      <c r="B335" s="3" t="s">
        <v>927</v>
      </c>
      <c r="C335" s="3" t="s">
        <v>2367</v>
      </c>
      <c r="D335" s="3" t="s">
        <v>2355</v>
      </c>
      <c r="E335" s="3" t="s">
        <v>2366</v>
      </c>
    </row>
    <row r="336" spans="1:5" x14ac:dyDescent="0.35">
      <c r="A336" s="3" t="s">
        <v>3689</v>
      </c>
      <c r="B336" s="3" t="s">
        <v>929</v>
      </c>
      <c r="C336" s="3" t="s">
        <v>2367</v>
      </c>
      <c r="D336" s="3" t="s">
        <v>2355</v>
      </c>
      <c r="E336" s="3" t="s">
        <v>2366</v>
      </c>
    </row>
    <row r="337" spans="1:5" x14ac:dyDescent="0.35">
      <c r="A337" s="3" t="s">
        <v>4687</v>
      </c>
      <c r="B337" s="3" t="s">
        <v>931</v>
      </c>
      <c r="C337" s="3" t="s">
        <v>2367</v>
      </c>
      <c r="D337" s="3" t="s">
        <v>2355</v>
      </c>
      <c r="E337" s="3" t="s">
        <v>2366</v>
      </c>
    </row>
    <row r="338" spans="1:5" x14ac:dyDescent="0.35">
      <c r="A338" s="3" t="s">
        <v>3691</v>
      </c>
      <c r="B338" s="3" t="s">
        <v>933</v>
      </c>
      <c r="C338" s="3" t="s">
        <v>2367</v>
      </c>
      <c r="D338" s="3" t="s">
        <v>2355</v>
      </c>
      <c r="E338" s="3" t="s">
        <v>2366</v>
      </c>
    </row>
    <row r="339" spans="1:5" x14ac:dyDescent="0.35">
      <c r="A339" s="3" t="s">
        <v>4688</v>
      </c>
      <c r="B339" s="3" t="s">
        <v>935</v>
      </c>
      <c r="C339" s="3" t="s">
        <v>2367</v>
      </c>
      <c r="D339" s="3" t="s">
        <v>2355</v>
      </c>
      <c r="E339" s="3" t="s">
        <v>2366</v>
      </c>
    </row>
    <row r="340" spans="1:5" x14ac:dyDescent="0.35">
      <c r="A340" s="3" t="s">
        <v>3693</v>
      </c>
      <c r="B340" s="3" t="s">
        <v>937</v>
      </c>
      <c r="C340" s="3" t="s">
        <v>2367</v>
      </c>
      <c r="D340" s="3" t="s">
        <v>2355</v>
      </c>
      <c r="E340" s="3" t="s">
        <v>2366</v>
      </c>
    </row>
    <row r="341" spans="1:5" x14ac:dyDescent="0.35">
      <c r="A341" s="3" t="s">
        <v>3695</v>
      </c>
      <c r="B341" s="3" t="s">
        <v>939</v>
      </c>
      <c r="C341" s="3" t="s">
        <v>2367</v>
      </c>
      <c r="D341" s="3" t="s">
        <v>2355</v>
      </c>
      <c r="E341" s="3" t="s">
        <v>2366</v>
      </c>
    </row>
    <row r="342" spans="1:5" x14ac:dyDescent="0.35">
      <c r="A342" s="3" t="s">
        <v>4689</v>
      </c>
      <c r="B342" s="3" t="s">
        <v>941</v>
      </c>
      <c r="C342" s="3" t="s">
        <v>2367</v>
      </c>
      <c r="D342" s="3" t="s">
        <v>2355</v>
      </c>
      <c r="E342" s="3" t="s">
        <v>2366</v>
      </c>
    </row>
    <row r="343" spans="1:5" x14ac:dyDescent="0.35">
      <c r="A343" s="3" t="s">
        <v>3697</v>
      </c>
      <c r="B343" s="3" t="s">
        <v>943</v>
      </c>
      <c r="C343" s="3" t="s">
        <v>2367</v>
      </c>
      <c r="D343" s="3" t="s">
        <v>2355</v>
      </c>
      <c r="E343" s="3" t="s">
        <v>2366</v>
      </c>
    </row>
    <row r="344" spans="1:5" x14ac:dyDescent="0.35">
      <c r="A344" s="3" t="s">
        <v>4690</v>
      </c>
      <c r="B344" s="3" t="s">
        <v>945</v>
      </c>
      <c r="C344" s="3" t="s">
        <v>2367</v>
      </c>
      <c r="D344" s="3" t="s">
        <v>2355</v>
      </c>
      <c r="E344" s="3" t="s">
        <v>2366</v>
      </c>
    </row>
    <row r="345" spans="1:5" x14ac:dyDescent="0.35">
      <c r="A345" s="3" t="s">
        <v>4691</v>
      </c>
      <c r="B345" s="3" t="s">
        <v>947</v>
      </c>
      <c r="C345" s="3" t="s">
        <v>2367</v>
      </c>
      <c r="D345" s="3" t="s">
        <v>2355</v>
      </c>
      <c r="E345" s="3" t="s">
        <v>2366</v>
      </c>
    </row>
    <row r="346" spans="1:5" x14ac:dyDescent="0.35">
      <c r="A346" s="3" t="s">
        <v>4692</v>
      </c>
      <c r="B346" s="3" t="s">
        <v>951</v>
      </c>
      <c r="C346" s="3" t="s">
        <v>2367</v>
      </c>
      <c r="D346" s="3" t="s">
        <v>2355</v>
      </c>
      <c r="E346" s="3" t="s">
        <v>2366</v>
      </c>
    </row>
    <row r="347" spans="1:5" x14ac:dyDescent="0.35">
      <c r="A347" s="3" t="s">
        <v>3699</v>
      </c>
      <c r="B347" s="3" t="s">
        <v>953</v>
      </c>
      <c r="C347" s="3" t="s">
        <v>2367</v>
      </c>
      <c r="D347" s="3" t="s">
        <v>2355</v>
      </c>
      <c r="E347" s="3" t="s">
        <v>2366</v>
      </c>
    </row>
    <row r="348" spans="1:5" x14ac:dyDescent="0.35">
      <c r="A348" s="3" t="s">
        <v>3701</v>
      </c>
      <c r="B348" s="3" t="s">
        <v>955</v>
      </c>
      <c r="C348" s="3" t="s">
        <v>2367</v>
      </c>
      <c r="D348" s="3" t="s">
        <v>2355</v>
      </c>
      <c r="E348" s="3" t="s">
        <v>2366</v>
      </c>
    </row>
    <row r="349" spans="1:5" x14ac:dyDescent="0.35">
      <c r="A349" s="3" t="s">
        <v>3702</v>
      </c>
      <c r="B349" s="3" t="s">
        <v>957</v>
      </c>
      <c r="C349" s="3" t="s">
        <v>2367</v>
      </c>
      <c r="D349" s="3" t="s">
        <v>2355</v>
      </c>
      <c r="E349" s="3" t="s">
        <v>2366</v>
      </c>
    </row>
    <row r="350" spans="1:5" x14ac:dyDescent="0.35">
      <c r="A350" s="3" t="s">
        <v>4693</v>
      </c>
      <c r="B350" s="3" t="s">
        <v>961</v>
      </c>
      <c r="C350" s="3" t="s">
        <v>2359</v>
      </c>
      <c r="D350" s="3" t="s">
        <v>2355</v>
      </c>
      <c r="E350" s="3" t="s">
        <v>2355</v>
      </c>
    </row>
    <row r="351" spans="1:5" x14ac:dyDescent="0.35">
      <c r="A351" s="3" t="s">
        <v>3703</v>
      </c>
      <c r="B351" s="3" t="s">
        <v>963</v>
      </c>
      <c r="C351" s="3" t="s">
        <v>2361</v>
      </c>
      <c r="D351" s="3" t="s">
        <v>2355</v>
      </c>
      <c r="E351" s="3" t="s">
        <v>2355</v>
      </c>
    </row>
    <row r="352" spans="1:5" x14ac:dyDescent="0.35">
      <c r="A352" s="3" t="s">
        <v>4694</v>
      </c>
      <c r="B352" s="3" t="s">
        <v>965</v>
      </c>
      <c r="C352" s="3" t="s">
        <v>2359</v>
      </c>
      <c r="D352" s="3" t="s">
        <v>2355</v>
      </c>
      <c r="E352" s="3" t="s">
        <v>2355</v>
      </c>
    </row>
    <row r="353" spans="1:5" x14ac:dyDescent="0.35">
      <c r="A353" s="3" t="s">
        <v>3705</v>
      </c>
      <c r="B353" s="3" t="s">
        <v>969</v>
      </c>
      <c r="C353" s="3" t="s">
        <v>2353</v>
      </c>
      <c r="D353" s="3" t="s">
        <v>2355</v>
      </c>
      <c r="E353" s="3" t="s">
        <v>2355</v>
      </c>
    </row>
    <row r="354" spans="1:5" x14ac:dyDescent="0.35">
      <c r="A354" s="3" t="s">
        <v>4695</v>
      </c>
      <c r="B354" s="3" t="s">
        <v>973</v>
      </c>
      <c r="C354" s="3" t="s">
        <v>2361</v>
      </c>
      <c r="D354" s="3" t="s">
        <v>2355</v>
      </c>
      <c r="E354" s="3" t="s">
        <v>2355</v>
      </c>
    </row>
    <row r="355" spans="1:5" x14ac:dyDescent="0.35">
      <c r="A355" s="3" t="s">
        <v>3707</v>
      </c>
      <c r="B355" s="3" t="s">
        <v>975</v>
      </c>
      <c r="C355" s="3" t="s">
        <v>2361</v>
      </c>
      <c r="D355" s="3" t="s">
        <v>2355</v>
      </c>
      <c r="E355" s="3" t="s">
        <v>2355</v>
      </c>
    </row>
    <row r="356" spans="1:5" x14ac:dyDescent="0.35">
      <c r="A356" s="3" t="s">
        <v>3709</v>
      </c>
      <c r="B356" s="3" t="s">
        <v>977</v>
      </c>
      <c r="C356" s="3" t="s">
        <v>2361</v>
      </c>
      <c r="D356" s="3" t="s">
        <v>2355</v>
      </c>
      <c r="E356" s="3" t="s">
        <v>2355</v>
      </c>
    </row>
    <row r="357" spans="1:5" x14ac:dyDescent="0.35">
      <c r="A357" s="3" t="s">
        <v>3711</v>
      </c>
      <c r="B357" s="3" t="s">
        <v>979</v>
      </c>
      <c r="C357" s="3" t="s">
        <v>2361</v>
      </c>
      <c r="D357" s="3" t="s">
        <v>2355</v>
      </c>
      <c r="E357" s="3" t="s">
        <v>2355</v>
      </c>
    </row>
    <row r="358" spans="1:5" x14ac:dyDescent="0.35">
      <c r="A358" s="3" t="s">
        <v>3715</v>
      </c>
      <c r="B358" s="3" t="s">
        <v>981</v>
      </c>
      <c r="C358" s="3" t="s">
        <v>2361</v>
      </c>
      <c r="D358" s="3" t="s">
        <v>2356</v>
      </c>
      <c r="E358" s="3" t="s">
        <v>2355</v>
      </c>
    </row>
    <row r="359" spans="1:5" x14ac:dyDescent="0.35">
      <c r="A359" s="3" t="s">
        <v>4696</v>
      </c>
      <c r="B359" s="3" t="s">
        <v>983</v>
      </c>
      <c r="C359" s="3" t="s">
        <v>2353</v>
      </c>
      <c r="D359" s="3" t="s">
        <v>2355</v>
      </c>
      <c r="E359" s="3" t="s">
        <v>2355</v>
      </c>
    </row>
    <row r="360" spans="1:5" x14ac:dyDescent="0.35">
      <c r="A360" s="3" t="s">
        <v>3716</v>
      </c>
      <c r="B360" s="3" t="s">
        <v>987</v>
      </c>
      <c r="C360" s="3" t="s">
        <v>2363</v>
      </c>
      <c r="D360" s="3" t="s">
        <v>2355</v>
      </c>
      <c r="E360" s="3" t="s">
        <v>2355</v>
      </c>
    </row>
    <row r="361" spans="1:5" x14ac:dyDescent="0.35">
      <c r="A361" s="3" t="s">
        <v>3719</v>
      </c>
      <c r="B361" s="3" t="s">
        <v>989</v>
      </c>
      <c r="C361" s="3" t="s">
        <v>2363</v>
      </c>
      <c r="D361" s="3" t="s">
        <v>2356</v>
      </c>
      <c r="E361" s="3" t="s">
        <v>2355</v>
      </c>
    </row>
    <row r="362" spans="1:5" x14ac:dyDescent="0.35">
      <c r="A362" s="3" t="s">
        <v>4697</v>
      </c>
      <c r="B362" s="3" t="s">
        <v>993</v>
      </c>
      <c r="C362" s="3" t="s">
        <v>2361</v>
      </c>
      <c r="D362" s="3" t="s">
        <v>2355</v>
      </c>
      <c r="E362" s="3" t="s">
        <v>2355</v>
      </c>
    </row>
    <row r="363" spans="1:5" x14ac:dyDescent="0.35">
      <c r="A363" s="3" t="s">
        <v>3721</v>
      </c>
      <c r="B363" s="3" t="s">
        <v>995</v>
      </c>
      <c r="C363" s="3" t="s">
        <v>2357</v>
      </c>
      <c r="D363" s="3" t="s">
        <v>2355</v>
      </c>
      <c r="E363" s="3" t="s">
        <v>2358</v>
      </c>
    </row>
    <row r="364" spans="1:5" x14ac:dyDescent="0.35">
      <c r="A364" s="3" t="s">
        <v>4698</v>
      </c>
      <c r="B364" s="3" t="s">
        <v>997</v>
      </c>
      <c r="C364" s="3" t="s">
        <v>2363</v>
      </c>
      <c r="D364" s="3" t="s">
        <v>2356</v>
      </c>
      <c r="E364" s="3" t="s">
        <v>2360</v>
      </c>
    </row>
    <row r="365" spans="1:5" x14ac:dyDescent="0.35">
      <c r="A365" s="3" t="s">
        <v>4699</v>
      </c>
      <c r="B365" s="3" t="s">
        <v>999</v>
      </c>
      <c r="C365" s="3" t="s">
        <v>2363</v>
      </c>
      <c r="D365" s="3" t="s">
        <v>2355</v>
      </c>
      <c r="E365" s="3" t="s">
        <v>2355</v>
      </c>
    </row>
    <row r="366" spans="1:5" x14ac:dyDescent="0.35">
      <c r="A366" s="3" t="s">
        <v>4700</v>
      </c>
      <c r="B366" s="3" t="s">
        <v>1001</v>
      </c>
      <c r="C366" s="3" t="s">
        <v>2361</v>
      </c>
      <c r="D366" s="3" t="s">
        <v>2355</v>
      </c>
      <c r="E366" s="3" t="s">
        <v>2355</v>
      </c>
    </row>
    <row r="367" spans="1:5" x14ac:dyDescent="0.35">
      <c r="A367" s="3" t="s">
        <v>3725</v>
      </c>
      <c r="B367" s="3" t="s">
        <v>1003</v>
      </c>
      <c r="C367" s="3" t="s">
        <v>2363</v>
      </c>
      <c r="D367" s="3" t="s">
        <v>2355</v>
      </c>
      <c r="E367" s="3" t="s">
        <v>2355</v>
      </c>
    </row>
    <row r="368" spans="1:5" x14ac:dyDescent="0.35">
      <c r="A368" s="3" t="s">
        <v>4701</v>
      </c>
      <c r="B368" s="3" t="s">
        <v>1005</v>
      </c>
      <c r="C368" s="3" t="s">
        <v>2363</v>
      </c>
      <c r="D368" s="3" t="s">
        <v>2355</v>
      </c>
      <c r="E368" s="3" t="s">
        <v>2355</v>
      </c>
    </row>
    <row r="369" spans="1:5" x14ac:dyDescent="0.35">
      <c r="A369" s="3" t="s">
        <v>3729</v>
      </c>
      <c r="B369" s="3" t="s">
        <v>1007</v>
      </c>
      <c r="C369" s="3" t="s">
        <v>2363</v>
      </c>
      <c r="D369" s="3" t="s">
        <v>2355</v>
      </c>
      <c r="E369" s="3" t="s">
        <v>2355</v>
      </c>
    </row>
    <row r="370" spans="1:5" x14ac:dyDescent="0.35">
      <c r="A370" s="3" t="s">
        <v>4702</v>
      </c>
      <c r="B370" s="3" t="s">
        <v>1009</v>
      </c>
      <c r="C370" s="3" t="s">
        <v>2357</v>
      </c>
      <c r="D370" s="3" t="s">
        <v>2355</v>
      </c>
      <c r="E370" s="3" t="s">
        <v>2362</v>
      </c>
    </row>
    <row r="371" spans="1:5" x14ac:dyDescent="0.35">
      <c r="A371" s="3" t="s">
        <v>3731</v>
      </c>
      <c r="B371" s="3" t="s">
        <v>1013</v>
      </c>
      <c r="C371" s="3" t="s">
        <v>2359</v>
      </c>
      <c r="D371" s="3" t="s">
        <v>2355</v>
      </c>
      <c r="E371" s="3" t="s">
        <v>2366</v>
      </c>
    </row>
    <row r="372" spans="1:5" x14ac:dyDescent="0.35">
      <c r="A372" s="3" t="s">
        <v>3734</v>
      </c>
      <c r="B372" s="3" t="s">
        <v>1015</v>
      </c>
      <c r="C372" s="3" t="s">
        <v>2357</v>
      </c>
      <c r="D372" s="3" t="s">
        <v>2355</v>
      </c>
      <c r="E372" s="3" t="s">
        <v>2358</v>
      </c>
    </row>
    <row r="373" spans="1:5" x14ac:dyDescent="0.35">
      <c r="A373" s="3" t="s">
        <v>3736</v>
      </c>
      <c r="B373" s="3" t="s">
        <v>1017</v>
      </c>
      <c r="C373" s="3" t="s">
        <v>2363</v>
      </c>
      <c r="D373" s="3" t="s">
        <v>2355</v>
      </c>
      <c r="E373" s="3" t="s">
        <v>2355</v>
      </c>
    </row>
    <row r="374" spans="1:5" x14ac:dyDescent="0.35">
      <c r="A374" s="3" t="s">
        <v>3738</v>
      </c>
      <c r="B374" s="3" t="s">
        <v>1021</v>
      </c>
      <c r="C374" s="3" t="s">
        <v>2361</v>
      </c>
      <c r="D374" s="3" t="s">
        <v>2355</v>
      </c>
      <c r="E374" s="3" t="s">
        <v>2355</v>
      </c>
    </row>
    <row r="375" spans="1:5" x14ac:dyDescent="0.35">
      <c r="A375" s="3" t="s">
        <v>3740</v>
      </c>
      <c r="B375" s="3" t="s">
        <v>1025</v>
      </c>
      <c r="C375" s="3" t="s">
        <v>2359</v>
      </c>
      <c r="D375" s="3" t="s">
        <v>2355</v>
      </c>
      <c r="E375" s="3" t="s">
        <v>2355</v>
      </c>
    </row>
    <row r="376" spans="1:5" x14ac:dyDescent="0.35">
      <c r="A376" s="3" t="s">
        <v>3746</v>
      </c>
      <c r="B376" s="3" t="s">
        <v>1027</v>
      </c>
      <c r="C376" s="3" t="s">
        <v>2359</v>
      </c>
      <c r="D376" s="3" t="s">
        <v>2355</v>
      </c>
      <c r="E376" s="3" t="s">
        <v>2355</v>
      </c>
    </row>
    <row r="377" spans="1:5" x14ac:dyDescent="0.35">
      <c r="A377" s="3" t="s">
        <v>4703</v>
      </c>
      <c r="B377" s="3" t="s">
        <v>1029</v>
      </c>
      <c r="C377" s="3" t="s">
        <v>2363</v>
      </c>
      <c r="D377" s="3" t="s">
        <v>2355</v>
      </c>
      <c r="E377" s="3" t="s">
        <v>2355</v>
      </c>
    </row>
    <row r="378" spans="1:5" x14ac:dyDescent="0.35">
      <c r="A378" s="3" t="s">
        <v>4704</v>
      </c>
      <c r="B378" s="3" t="s">
        <v>1031</v>
      </c>
      <c r="C378" s="3" t="s">
        <v>2363</v>
      </c>
      <c r="D378" s="3" t="s">
        <v>2355</v>
      </c>
      <c r="E378" s="3" t="s">
        <v>2355</v>
      </c>
    </row>
    <row r="379" spans="1:5" x14ac:dyDescent="0.35">
      <c r="A379" s="3" t="s">
        <v>3748</v>
      </c>
      <c r="B379" s="3" t="s">
        <v>1035</v>
      </c>
      <c r="C379" s="3" t="s">
        <v>2357</v>
      </c>
      <c r="D379" s="3" t="s">
        <v>2355</v>
      </c>
      <c r="E379" s="3" t="s">
        <v>2360</v>
      </c>
    </row>
    <row r="380" spans="1:5" x14ac:dyDescent="0.35">
      <c r="A380" s="3" t="s">
        <v>4705</v>
      </c>
      <c r="B380" s="3" t="s">
        <v>1039</v>
      </c>
      <c r="C380" s="3" t="s">
        <v>2363</v>
      </c>
      <c r="D380" s="3" t="s">
        <v>2355</v>
      </c>
      <c r="E380" s="3" t="s">
        <v>2355</v>
      </c>
    </row>
    <row r="381" spans="1:5" x14ac:dyDescent="0.35">
      <c r="A381" s="3" t="s">
        <v>4706</v>
      </c>
      <c r="B381" s="3" t="s">
        <v>1041</v>
      </c>
      <c r="C381" s="3" t="s">
        <v>2357</v>
      </c>
      <c r="D381" s="3" t="s">
        <v>2355</v>
      </c>
      <c r="E381" s="3" t="s">
        <v>2360</v>
      </c>
    </row>
    <row r="382" spans="1:5" x14ac:dyDescent="0.35">
      <c r="A382" s="3" t="s">
        <v>4707</v>
      </c>
      <c r="B382" s="3" t="s">
        <v>1043</v>
      </c>
      <c r="C382" s="3" t="s">
        <v>2357</v>
      </c>
      <c r="D382" s="3" t="s">
        <v>2355</v>
      </c>
      <c r="E382" s="3" t="s">
        <v>2360</v>
      </c>
    </row>
    <row r="383" spans="1:5" x14ac:dyDescent="0.35">
      <c r="A383" s="3" t="s">
        <v>3751</v>
      </c>
      <c r="B383" s="3" t="s">
        <v>1049</v>
      </c>
      <c r="C383" s="3" t="s">
        <v>2361</v>
      </c>
      <c r="D383" s="3" t="s">
        <v>2355</v>
      </c>
      <c r="E383" s="3" t="s">
        <v>2355</v>
      </c>
    </row>
    <row r="384" spans="1:5" x14ac:dyDescent="0.35">
      <c r="A384" s="3" t="s">
        <v>3756</v>
      </c>
      <c r="B384" s="3" t="s">
        <v>1051</v>
      </c>
      <c r="C384" s="3" t="s">
        <v>2357</v>
      </c>
      <c r="D384" s="3" t="s">
        <v>2355</v>
      </c>
      <c r="E384" s="3" t="s">
        <v>2360</v>
      </c>
    </row>
    <row r="385" spans="1:5" x14ac:dyDescent="0.35">
      <c r="A385" s="3" t="s">
        <v>3758</v>
      </c>
      <c r="B385" s="3" t="s">
        <v>1055</v>
      </c>
      <c r="C385" s="3" t="s">
        <v>2361</v>
      </c>
      <c r="D385" s="3" t="s">
        <v>2355</v>
      </c>
      <c r="E385" s="3" t="s">
        <v>2355</v>
      </c>
    </row>
    <row r="386" spans="1:5" x14ac:dyDescent="0.35">
      <c r="A386" s="3" t="s">
        <v>3763</v>
      </c>
      <c r="B386" s="3" t="s">
        <v>1057</v>
      </c>
      <c r="C386" s="3" t="s">
        <v>2357</v>
      </c>
      <c r="D386" s="3" t="s">
        <v>2355</v>
      </c>
      <c r="E386" s="3" t="s">
        <v>2360</v>
      </c>
    </row>
    <row r="387" spans="1:5" x14ac:dyDescent="0.35">
      <c r="A387" s="3" t="s">
        <v>3765</v>
      </c>
      <c r="B387" s="3" t="s">
        <v>1061</v>
      </c>
      <c r="C387" s="3" t="s">
        <v>2363</v>
      </c>
      <c r="D387" s="3" t="s">
        <v>2355</v>
      </c>
      <c r="E387" s="3" t="s">
        <v>2355</v>
      </c>
    </row>
    <row r="388" spans="1:5" x14ac:dyDescent="0.35">
      <c r="A388" s="3" t="s">
        <v>4708</v>
      </c>
      <c r="B388" s="3" t="s">
        <v>1065</v>
      </c>
      <c r="C388" s="3" t="s">
        <v>2363</v>
      </c>
      <c r="D388" s="3" t="s">
        <v>2355</v>
      </c>
      <c r="E388" s="3" t="s">
        <v>2355</v>
      </c>
    </row>
    <row r="389" spans="1:5" x14ac:dyDescent="0.35">
      <c r="A389" s="3" t="s">
        <v>3769</v>
      </c>
      <c r="B389" s="3" t="s">
        <v>1067</v>
      </c>
      <c r="C389" s="3" t="s">
        <v>2363</v>
      </c>
      <c r="D389" s="3" t="s">
        <v>2355</v>
      </c>
      <c r="E389" s="3" t="s">
        <v>2355</v>
      </c>
    </row>
    <row r="390" spans="1:5" x14ac:dyDescent="0.35">
      <c r="A390" s="3" t="s">
        <v>4709</v>
      </c>
      <c r="B390" s="3" t="s">
        <v>1069</v>
      </c>
      <c r="C390" s="3" t="s">
        <v>2357</v>
      </c>
      <c r="D390" s="3" t="s">
        <v>2355</v>
      </c>
      <c r="E390" s="3" t="s">
        <v>2358</v>
      </c>
    </row>
    <row r="391" spans="1:5" x14ac:dyDescent="0.35">
      <c r="A391" s="3" t="s">
        <v>3771</v>
      </c>
      <c r="B391" s="3" t="s">
        <v>1071</v>
      </c>
      <c r="C391" s="3" t="s">
        <v>2363</v>
      </c>
      <c r="D391" s="3" t="s">
        <v>2355</v>
      </c>
      <c r="E391" s="3" t="s">
        <v>2355</v>
      </c>
    </row>
    <row r="392" spans="1:5" x14ac:dyDescent="0.35">
      <c r="A392" s="3" t="s">
        <v>3773</v>
      </c>
      <c r="B392" s="3" t="s">
        <v>1073</v>
      </c>
      <c r="C392" s="3" t="s">
        <v>2357</v>
      </c>
      <c r="D392" s="3" t="s">
        <v>2355</v>
      </c>
      <c r="E392" s="3" t="s">
        <v>2360</v>
      </c>
    </row>
    <row r="393" spans="1:5" x14ac:dyDescent="0.35">
      <c r="A393" s="3" t="s">
        <v>4710</v>
      </c>
      <c r="B393" s="3" t="s">
        <v>1075</v>
      </c>
      <c r="C393" s="3" t="s">
        <v>2357</v>
      </c>
      <c r="D393" s="3" t="s">
        <v>2355</v>
      </c>
      <c r="E393" s="3" t="s">
        <v>2360</v>
      </c>
    </row>
    <row r="394" spans="1:5" x14ac:dyDescent="0.35">
      <c r="A394" s="3" t="s">
        <v>4711</v>
      </c>
      <c r="B394" s="3" t="s">
        <v>1077</v>
      </c>
      <c r="C394" s="3" t="s">
        <v>2363</v>
      </c>
      <c r="D394" s="3" t="s">
        <v>2355</v>
      </c>
      <c r="E394" s="3" t="s">
        <v>2355</v>
      </c>
    </row>
    <row r="395" spans="1:5" x14ac:dyDescent="0.35">
      <c r="A395" s="3" t="s">
        <v>4712</v>
      </c>
      <c r="B395" s="3" t="s">
        <v>1079</v>
      </c>
      <c r="C395" s="3" t="s">
        <v>2357</v>
      </c>
      <c r="D395" s="3" t="s">
        <v>2355</v>
      </c>
      <c r="E395" s="3" t="s">
        <v>2355</v>
      </c>
    </row>
    <row r="396" spans="1:5" x14ac:dyDescent="0.35">
      <c r="A396" s="3" t="s">
        <v>3775</v>
      </c>
      <c r="B396" s="3" t="s">
        <v>1085</v>
      </c>
      <c r="C396" s="3" t="s">
        <v>2357</v>
      </c>
      <c r="D396" s="3" t="s">
        <v>2356</v>
      </c>
      <c r="E396" s="3" t="s">
        <v>2355</v>
      </c>
    </row>
    <row r="397" spans="1:5" x14ac:dyDescent="0.35">
      <c r="A397" s="3" t="s">
        <v>4713</v>
      </c>
      <c r="B397" s="3" t="s">
        <v>1087</v>
      </c>
      <c r="C397" s="3" t="s">
        <v>2357</v>
      </c>
      <c r="D397" s="3" t="s">
        <v>2356</v>
      </c>
      <c r="E397" s="3" t="s">
        <v>2358</v>
      </c>
    </row>
    <row r="398" spans="1:5" x14ac:dyDescent="0.35">
      <c r="A398" s="3" t="s">
        <v>4714</v>
      </c>
      <c r="B398" s="3" t="s">
        <v>1089</v>
      </c>
      <c r="C398" s="3" t="s">
        <v>2363</v>
      </c>
      <c r="D398" s="3" t="s">
        <v>2356</v>
      </c>
      <c r="E398" s="3" t="s">
        <v>2358</v>
      </c>
    </row>
    <row r="399" spans="1:5" x14ac:dyDescent="0.35">
      <c r="A399" s="3" t="s">
        <v>3779</v>
      </c>
      <c r="B399" s="3" t="s">
        <v>1093</v>
      </c>
      <c r="C399" s="3" t="s">
        <v>2357</v>
      </c>
      <c r="D399" s="3" t="s">
        <v>2356</v>
      </c>
      <c r="E399" s="3" t="s">
        <v>2355</v>
      </c>
    </row>
    <row r="400" spans="1:5" x14ac:dyDescent="0.35">
      <c r="A400" s="3" t="s">
        <v>4715</v>
      </c>
      <c r="B400" s="3" t="s">
        <v>1095</v>
      </c>
      <c r="C400" s="3" t="s">
        <v>2357</v>
      </c>
      <c r="D400" s="3" t="s">
        <v>2356</v>
      </c>
      <c r="E400" s="3" t="s">
        <v>2355</v>
      </c>
    </row>
    <row r="401" spans="1:5" x14ac:dyDescent="0.35">
      <c r="A401" s="3" t="s">
        <v>3781</v>
      </c>
      <c r="B401" s="3" t="s">
        <v>1099</v>
      </c>
      <c r="C401" s="3" t="s">
        <v>2363</v>
      </c>
      <c r="D401" s="3" t="s">
        <v>2355</v>
      </c>
      <c r="E401" s="3" t="s">
        <v>2362</v>
      </c>
    </row>
    <row r="402" spans="1:5" x14ac:dyDescent="0.35">
      <c r="A402" s="3" t="s">
        <v>4716</v>
      </c>
      <c r="B402" s="3" t="s">
        <v>1103</v>
      </c>
      <c r="C402" s="3" t="s">
        <v>2363</v>
      </c>
      <c r="D402" s="3" t="s">
        <v>2354</v>
      </c>
      <c r="E402" s="3" t="s">
        <v>2358</v>
      </c>
    </row>
    <row r="403" spans="1:5" x14ac:dyDescent="0.35">
      <c r="A403" s="3" t="s">
        <v>3784</v>
      </c>
      <c r="B403" s="3" t="s">
        <v>1105</v>
      </c>
      <c r="C403" s="3" t="s">
        <v>2357</v>
      </c>
      <c r="D403" s="3" t="s">
        <v>2356</v>
      </c>
      <c r="E403" s="3" t="s">
        <v>2358</v>
      </c>
    </row>
    <row r="404" spans="1:5" x14ac:dyDescent="0.35">
      <c r="A404" s="3" t="s">
        <v>3786</v>
      </c>
      <c r="B404" s="3" t="s">
        <v>1111</v>
      </c>
      <c r="C404" s="3" t="s">
        <v>2357</v>
      </c>
      <c r="D404" s="3" t="s">
        <v>2355</v>
      </c>
      <c r="E404" s="3" t="s">
        <v>2358</v>
      </c>
    </row>
    <row r="405" spans="1:5" x14ac:dyDescent="0.35">
      <c r="A405" s="3" t="s">
        <v>3788</v>
      </c>
      <c r="B405" s="3" t="s">
        <v>1113</v>
      </c>
      <c r="C405" s="3" t="s">
        <v>2357</v>
      </c>
      <c r="D405" s="3" t="s">
        <v>2355</v>
      </c>
      <c r="E405" s="3" t="s">
        <v>2358</v>
      </c>
    </row>
    <row r="406" spans="1:5" x14ac:dyDescent="0.35">
      <c r="A406" s="3" t="s">
        <v>4717</v>
      </c>
      <c r="B406" s="3" t="s">
        <v>1115</v>
      </c>
      <c r="C406" s="3" t="s">
        <v>2357</v>
      </c>
      <c r="D406" s="3" t="s">
        <v>2356</v>
      </c>
      <c r="E406" s="3" t="s">
        <v>2358</v>
      </c>
    </row>
    <row r="407" spans="1:5" x14ac:dyDescent="0.35">
      <c r="A407" s="3" t="s">
        <v>3792</v>
      </c>
      <c r="B407" s="3" t="s">
        <v>1117</v>
      </c>
      <c r="C407" s="3" t="s">
        <v>2353</v>
      </c>
      <c r="D407" s="3" t="s">
        <v>2355</v>
      </c>
      <c r="E407" s="3" t="s">
        <v>2358</v>
      </c>
    </row>
    <row r="408" spans="1:5" x14ac:dyDescent="0.35">
      <c r="A408" s="3" t="s">
        <v>3794</v>
      </c>
      <c r="B408" s="3" t="s">
        <v>1119</v>
      </c>
      <c r="C408" s="3" t="s">
        <v>2357</v>
      </c>
      <c r="D408" s="3" t="s">
        <v>2355</v>
      </c>
      <c r="E408" s="3" t="s">
        <v>2360</v>
      </c>
    </row>
    <row r="409" spans="1:5" x14ac:dyDescent="0.35">
      <c r="A409" s="3" t="s">
        <v>4718</v>
      </c>
      <c r="B409" s="3" t="s">
        <v>1123</v>
      </c>
      <c r="C409" s="3" t="s">
        <v>2357</v>
      </c>
      <c r="D409" s="3" t="s">
        <v>2355</v>
      </c>
      <c r="E409" s="3" t="s">
        <v>2358</v>
      </c>
    </row>
    <row r="410" spans="1:5" x14ac:dyDescent="0.35">
      <c r="A410" s="3" t="s">
        <v>4719</v>
      </c>
      <c r="B410" s="3" t="s">
        <v>1125</v>
      </c>
      <c r="C410" s="3" t="s">
        <v>2357</v>
      </c>
      <c r="D410" s="3" t="s">
        <v>2355</v>
      </c>
      <c r="E410" s="3" t="s">
        <v>2358</v>
      </c>
    </row>
    <row r="411" spans="1:5" x14ac:dyDescent="0.35">
      <c r="A411" s="3" t="s">
        <v>4720</v>
      </c>
      <c r="B411" s="3" t="s">
        <v>1129</v>
      </c>
      <c r="C411" s="3" t="s">
        <v>2357</v>
      </c>
      <c r="D411" s="3" t="s">
        <v>2355</v>
      </c>
      <c r="E411" s="3" t="s">
        <v>2358</v>
      </c>
    </row>
    <row r="412" spans="1:5" x14ac:dyDescent="0.35">
      <c r="A412" s="3" t="s">
        <v>4721</v>
      </c>
      <c r="B412" s="3" t="s">
        <v>1131</v>
      </c>
      <c r="C412" s="3" t="s">
        <v>2357</v>
      </c>
      <c r="D412" s="3" t="s">
        <v>2356</v>
      </c>
      <c r="E412" s="3" t="s">
        <v>2358</v>
      </c>
    </row>
    <row r="413" spans="1:5" x14ac:dyDescent="0.35">
      <c r="A413" s="3" t="s">
        <v>4722</v>
      </c>
      <c r="B413" s="3" t="s">
        <v>1135</v>
      </c>
      <c r="C413" s="3" t="s">
        <v>2357</v>
      </c>
      <c r="D413" s="3" t="s">
        <v>2356</v>
      </c>
      <c r="E413" s="3" t="s">
        <v>2358</v>
      </c>
    </row>
    <row r="414" spans="1:5" x14ac:dyDescent="0.35">
      <c r="A414" s="3" t="s">
        <v>3796</v>
      </c>
      <c r="B414" s="3" t="s">
        <v>1137</v>
      </c>
      <c r="C414" s="3" t="s">
        <v>2357</v>
      </c>
      <c r="D414" s="3" t="s">
        <v>2355</v>
      </c>
      <c r="E414" s="3" t="s">
        <v>2360</v>
      </c>
    </row>
    <row r="415" spans="1:5" x14ac:dyDescent="0.35">
      <c r="A415" s="3" t="s">
        <v>4723</v>
      </c>
      <c r="B415" s="3" t="s">
        <v>1141</v>
      </c>
      <c r="C415" s="3" t="s">
        <v>2364</v>
      </c>
      <c r="D415" s="3" t="s">
        <v>2355</v>
      </c>
      <c r="E415" s="3" t="s">
        <v>2360</v>
      </c>
    </row>
    <row r="416" spans="1:5" x14ac:dyDescent="0.35">
      <c r="A416" s="3" t="s">
        <v>4724</v>
      </c>
      <c r="B416" s="3" t="s">
        <v>1143</v>
      </c>
      <c r="C416" s="3" t="s">
        <v>2364</v>
      </c>
      <c r="D416" s="3" t="s">
        <v>2355</v>
      </c>
      <c r="E416" s="3" t="s">
        <v>2360</v>
      </c>
    </row>
    <row r="417" spans="1:5" x14ac:dyDescent="0.35">
      <c r="A417" s="3" t="s">
        <v>4725</v>
      </c>
      <c r="B417" s="3" t="s">
        <v>1145</v>
      </c>
      <c r="C417" s="3" t="s">
        <v>2357</v>
      </c>
      <c r="D417" s="3" t="s">
        <v>2355</v>
      </c>
      <c r="E417" s="3" t="s">
        <v>2360</v>
      </c>
    </row>
    <row r="418" spans="1:5" x14ac:dyDescent="0.35">
      <c r="A418" s="3" t="s">
        <v>3801</v>
      </c>
      <c r="B418" s="3" t="s">
        <v>1147</v>
      </c>
      <c r="C418" s="3" t="s">
        <v>2357</v>
      </c>
      <c r="D418" s="3" t="s">
        <v>2355</v>
      </c>
      <c r="E418" s="3" t="s">
        <v>2360</v>
      </c>
    </row>
    <row r="419" spans="1:5" x14ac:dyDescent="0.35">
      <c r="A419" s="3" t="s">
        <v>4726</v>
      </c>
      <c r="B419" s="3" t="s">
        <v>1149</v>
      </c>
      <c r="C419" s="3" t="s">
        <v>2357</v>
      </c>
      <c r="D419" s="3" t="s">
        <v>2355</v>
      </c>
      <c r="E419" s="3" t="s">
        <v>2360</v>
      </c>
    </row>
    <row r="420" spans="1:5" x14ac:dyDescent="0.35">
      <c r="A420" s="3" t="s">
        <v>3803</v>
      </c>
      <c r="B420" s="3" t="s">
        <v>1153</v>
      </c>
      <c r="C420" s="3" t="s">
        <v>2357</v>
      </c>
      <c r="D420" s="3" t="s">
        <v>2354</v>
      </c>
      <c r="E420" s="3" t="s">
        <v>2355</v>
      </c>
    </row>
    <row r="421" spans="1:5" x14ac:dyDescent="0.35">
      <c r="A421" s="3" t="s">
        <v>3806</v>
      </c>
      <c r="B421" s="3" t="s">
        <v>1155</v>
      </c>
      <c r="C421" s="3" t="s">
        <v>2357</v>
      </c>
      <c r="D421" s="3" t="s">
        <v>2356</v>
      </c>
      <c r="E421" s="3" t="s">
        <v>2355</v>
      </c>
    </row>
    <row r="422" spans="1:5" x14ac:dyDescent="0.35">
      <c r="A422" s="3" t="s">
        <v>3811</v>
      </c>
      <c r="B422" s="3" t="s">
        <v>1161</v>
      </c>
      <c r="C422" s="3" t="s">
        <v>2364</v>
      </c>
      <c r="D422" s="3" t="s">
        <v>2355</v>
      </c>
      <c r="E422" s="3" t="s">
        <v>2360</v>
      </c>
    </row>
    <row r="423" spans="1:5" x14ac:dyDescent="0.35">
      <c r="A423" s="3" t="s">
        <v>4727</v>
      </c>
      <c r="B423" s="3" t="s">
        <v>1163</v>
      </c>
      <c r="C423" s="3" t="s">
        <v>2364</v>
      </c>
      <c r="D423" s="3" t="s">
        <v>2355</v>
      </c>
      <c r="E423" s="3" t="s">
        <v>2360</v>
      </c>
    </row>
    <row r="424" spans="1:5" x14ac:dyDescent="0.35">
      <c r="A424" s="3" t="s">
        <v>4728</v>
      </c>
      <c r="B424" s="3" t="s">
        <v>1165</v>
      </c>
      <c r="C424" s="3" t="s">
        <v>2363</v>
      </c>
      <c r="D424" s="3" t="s">
        <v>2356</v>
      </c>
      <c r="E424" s="3" t="s">
        <v>2355</v>
      </c>
    </row>
    <row r="425" spans="1:5" x14ac:dyDescent="0.35">
      <c r="A425" s="3" t="s">
        <v>3814</v>
      </c>
      <c r="B425" s="3" t="s">
        <v>1167</v>
      </c>
      <c r="C425" s="3" t="s">
        <v>2364</v>
      </c>
      <c r="D425" s="3" t="s">
        <v>2356</v>
      </c>
      <c r="E425" s="3" t="s">
        <v>2358</v>
      </c>
    </row>
    <row r="426" spans="1:5" x14ac:dyDescent="0.35">
      <c r="A426" s="3" t="s">
        <v>3818</v>
      </c>
      <c r="B426" s="3" t="s">
        <v>1169</v>
      </c>
      <c r="C426" s="3" t="s">
        <v>2364</v>
      </c>
      <c r="D426" s="3" t="s">
        <v>2355</v>
      </c>
      <c r="E426" s="3" t="s">
        <v>2360</v>
      </c>
    </row>
    <row r="427" spans="1:5" x14ac:dyDescent="0.35">
      <c r="A427" s="3" t="s">
        <v>3821</v>
      </c>
      <c r="B427" s="3" t="s">
        <v>1171</v>
      </c>
      <c r="C427" s="3" t="s">
        <v>2364</v>
      </c>
      <c r="D427" s="3" t="s">
        <v>2355</v>
      </c>
      <c r="E427" s="3" t="s">
        <v>2358</v>
      </c>
    </row>
    <row r="428" spans="1:5" x14ac:dyDescent="0.35">
      <c r="A428" s="3" t="s">
        <v>3822</v>
      </c>
      <c r="B428" s="3" t="s">
        <v>1173</v>
      </c>
      <c r="C428" s="3" t="s">
        <v>2364</v>
      </c>
      <c r="D428" s="3" t="s">
        <v>2355</v>
      </c>
      <c r="E428" s="3" t="s">
        <v>2360</v>
      </c>
    </row>
    <row r="429" spans="1:5" x14ac:dyDescent="0.35">
      <c r="A429" s="3" t="s">
        <v>3828</v>
      </c>
      <c r="B429" s="3" t="s">
        <v>1177</v>
      </c>
      <c r="C429" s="3" t="s">
        <v>2364</v>
      </c>
      <c r="D429" s="3" t="s">
        <v>2355</v>
      </c>
      <c r="E429" s="3" t="s">
        <v>2360</v>
      </c>
    </row>
    <row r="430" spans="1:5" x14ac:dyDescent="0.35">
      <c r="A430" s="3" t="s">
        <v>4729</v>
      </c>
      <c r="B430" s="3" t="s">
        <v>1179</v>
      </c>
      <c r="C430" s="3" t="s">
        <v>2364</v>
      </c>
      <c r="D430" s="3" t="s">
        <v>2355</v>
      </c>
      <c r="E430" s="3" t="s">
        <v>2360</v>
      </c>
    </row>
    <row r="431" spans="1:5" x14ac:dyDescent="0.35">
      <c r="A431" s="3" t="s">
        <v>3832</v>
      </c>
      <c r="B431" s="3" t="s">
        <v>1181</v>
      </c>
      <c r="C431" s="3" t="s">
        <v>2364</v>
      </c>
      <c r="D431" s="3" t="s">
        <v>2355</v>
      </c>
      <c r="E431" s="3" t="s">
        <v>2360</v>
      </c>
    </row>
    <row r="432" spans="1:5" x14ac:dyDescent="0.35">
      <c r="A432" s="3" t="s">
        <v>3835</v>
      </c>
      <c r="B432" s="3" t="s">
        <v>1183</v>
      </c>
      <c r="C432" s="3" t="s">
        <v>2364</v>
      </c>
      <c r="D432" s="3" t="s">
        <v>2355</v>
      </c>
      <c r="E432" s="3" t="s">
        <v>2360</v>
      </c>
    </row>
    <row r="433" spans="1:5" x14ac:dyDescent="0.35">
      <c r="A433" s="3" t="s">
        <v>3837</v>
      </c>
      <c r="B433" s="3" t="s">
        <v>1187</v>
      </c>
      <c r="C433" s="3" t="s">
        <v>2364</v>
      </c>
      <c r="D433" s="3" t="s">
        <v>2355</v>
      </c>
      <c r="E433" s="3" t="s">
        <v>2360</v>
      </c>
    </row>
    <row r="434" spans="1:5" x14ac:dyDescent="0.35">
      <c r="A434" s="3" t="s">
        <v>3840</v>
      </c>
      <c r="B434" s="3" t="s">
        <v>1189</v>
      </c>
      <c r="C434" s="3" t="s">
        <v>2364</v>
      </c>
      <c r="D434" s="3" t="s">
        <v>2355</v>
      </c>
      <c r="E434" s="3" t="s">
        <v>2360</v>
      </c>
    </row>
    <row r="435" spans="1:5" x14ac:dyDescent="0.35">
      <c r="A435" s="3" t="s">
        <v>3843</v>
      </c>
      <c r="B435" s="3" t="s">
        <v>1191</v>
      </c>
      <c r="C435" s="3" t="s">
        <v>2364</v>
      </c>
      <c r="D435" s="3" t="s">
        <v>2355</v>
      </c>
      <c r="E435" s="3" t="s">
        <v>2360</v>
      </c>
    </row>
    <row r="436" spans="1:5" x14ac:dyDescent="0.35">
      <c r="A436" s="3" t="s">
        <v>3845</v>
      </c>
      <c r="B436" s="3" t="s">
        <v>1193</v>
      </c>
      <c r="C436" s="3" t="s">
        <v>2364</v>
      </c>
      <c r="D436" s="3" t="s">
        <v>2355</v>
      </c>
      <c r="E436" s="3" t="s">
        <v>2360</v>
      </c>
    </row>
    <row r="437" spans="1:5" x14ac:dyDescent="0.35">
      <c r="A437" s="3" t="s">
        <v>4730</v>
      </c>
      <c r="B437" s="3" t="s">
        <v>1197</v>
      </c>
      <c r="C437" s="3" t="s">
        <v>2357</v>
      </c>
      <c r="D437" s="3" t="s">
        <v>2356</v>
      </c>
      <c r="E437" s="3" t="s">
        <v>2355</v>
      </c>
    </row>
    <row r="438" spans="1:5" x14ac:dyDescent="0.35">
      <c r="A438" s="3" t="s">
        <v>4731</v>
      </c>
      <c r="B438" s="3" t="s">
        <v>1199</v>
      </c>
      <c r="C438" s="3" t="s">
        <v>2357</v>
      </c>
      <c r="D438" s="3" t="s">
        <v>2356</v>
      </c>
      <c r="E438" s="3" t="s">
        <v>2355</v>
      </c>
    </row>
    <row r="439" spans="1:5" x14ac:dyDescent="0.35">
      <c r="A439" s="3" t="s">
        <v>3846</v>
      </c>
      <c r="B439" s="3" t="s">
        <v>1205</v>
      </c>
      <c r="C439" s="3" t="s">
        <v>2364</v>
      </c>
      <c r="D439" s="3" t="s">
        <v>2355</v>
      </c>
      <c r="E439" s="3" t="s">
        <v>2360</v>
      </c>
    </row>
    <row r="440" spans="1:5" x14ac:dyDescent="0.35">
      <c r="A440" s="3" t="s">
        <v>3848</v>
      </c>
      <c r="B440" s="3" t="s">
        <v>1207</v>
      </c>
      <c r="C440" s="3" t="s">
        <v>2364</v>
      </c>
      <c r="D440" s="3" t="s">
        <v>2355</v>
      </c>
      <c r="E440" s="3" t="s">
        <v>2360</v>
      </c>
    </row>
    <row r="441" spans="1:5" x14ac:dyDescent="0.35">
      <c r="A441" s="3" t="s">
        <v>4732</v>
      </c>
      <c r="B441" s="3" t="s">
        <v>1209</v>
      </c>
      <c r="C441" s="3" t="s">
        <v>2364</v>
      </c>
      <c r="D441" s="3" t="s">
        <v>2355</v>
      </c>
      <c r="E441" s="3" t="s">
        <v>2360</v>
      </c>
    </row>
    <row r="442" spans="1:5" x14ac:dyDescent="0.35">
      <c r="A442" s="3" t="s">
        <v>4733</v>
      </c>
      <c r="B442" s="3" t="s">
        <v>1211</v>
      </c>
      <c r="C442" s="3" t="s">
        <v>2357</v>
      </c>
      <c r="D442" s="3" t="s">
        <v>2355</v>
      </c>
      <c r="E442" s="3" t="s">
        <v>2358</v>
      </c>
    </row>
    <row r="443" spans="1:5" x14ac:dyDescent="0.35">
      <c r="A443" s="3" t="s">
        <v>3852</v>
      </c>
      <c r="B443" s="3" t="s">
        <v>1215</v>
      </c>
      <c r="C443" s="3" t="s">
        <v>2364</v>
      </c>
      <c r="D443" s="3" t="s">
        <v>2355</v>
      </c>
      <c r="E443" s="3" t="s">
        <v>2360</v>
      </c>
    </row>
    <row r="444" spans="1:5" x14ac:dyDescent="0.35">
      <c r="A444" s="3" t="s">
        <v>4734</v>
      </c>
      <c r="B444" s="3" t="s">
        <v>1217</v>
      </c>
      <c r="C444" s="3" t="s">
        <v>2357</v>
      </c>
      <c r="D444" s="3" t="s">
        <v>2355</v>
      </c>
      <c r="E444" s="3" t="s">
        <v>2358</v>
      </c>
    </row>
    <row r="445" spans="1:5" x14ac:dyDescent="0.35">
      <c r="A445" s="3" t="s">
        <v>3856</v>
      </c>
      <c r="B445" s="3" t="s">
        <v>1219</v>
      </c>
      <c r="C445" s="3" t="s">
        <v>2357</v>
      </c>
      <c r="D445" s="3" t="s">
        <v>2355</v>
      </c>
      <c r="E445" s="3" t="s">
        <v>2360</v>
      </c>
    </row>
    <row r="446" spans="1:5" x14ac:dyDescent="0.35">
      <c r="A446" s="3" t="s">
        <v>4735</v>
      </c>
      <c r="B446" s="3" t="s">
        <v>1221</v>
      </c>
      <c r="C446" s="3" t="s">
        <v>2364</v>
      </c>
      <c r="D446" s="3" t="s">
        <v>2355</v>
      </c>
      <c r="E446" s="3" t="s">
        <v>2360</v>
      </c>
    </row>
    <row r="447" spans="1:5" x14ac:dyDescent="0.35">
      <c r="A447" s="3" t="s">
        <v>4736</v>
      </c>
      <c r="B447" s="3" t="s">
        <v>1227</v>
      </c>
      <c r="C447" s="3" t="s">
        <v>2357</v>
      </c>
      <c r="D447" s="3" t="s">
        <v>2356</v>
      </c>
      <c r="E447" s="3" t="s">
        <v>2355</v>
      </c>
    </row>
    <row r="448" spans="1:5" x14ac:dyDescent="0.35">
      <c r="A448" s="3" t="s">
        <v>4737</v>
      </c>
      <c r="B448" s="3" t="s">
        <v>1229</v>
      </c>
      <c r="C448" s="3" t="s">
        <v>2357</v>
      </c>
      <c r="D448" s="3" t="s">
        <v>2356</v>
      </c>
      <c r="E448" s="3" t="s">
        <v>2355</v>
      </c>
    </row>
    <row r="449" spans="1:5" x14ac:dyDescent="0.35">
      <c r="A449" s="3" t="s">
        <v>4738</v>
      </c>
      <c r="B449" s="3" t="s">
        <v>1231</v>
      </c>
      <c r="C449" s="3" t="s">
        <v>2357</v>
      </c>
      <c r="D449" s="3" t="s">
        <v>2356</v>
      </c>
      <c r="E449" s="3" t="s">
        <v>2355</v>
      </c>
    </row>
    <row r="450" spans="1:5" x14ac:dyDescent="0.35">
      <c r="A450" s="3" t="s">
        <v>4739</v>
      </c>
      <c r="B450" s="3" t="s">
        <v>1235</v>
      </c>
      <c r="C450" s="3" t="s">
        <v>2357</v>
      </c>
      <c r="D450" s="3" t="s">
        <v>2355</v>
      </c>
      <c r="E450" s="3" t="s">
        <v>2358</v>
      </c>
    </row>
    <row r="451" spans="1:5" x14ac:dyDescent="0.35">
      <c r="A451" s="3" t="s">
        <v>3858</v>
      </c>
      <c r="B451" s="3" t="s">
        <v>1237</v>
      </c>
      <c r="C451" s="3" t="s">
        <v>2357</v>
      </c>
      <c r="D451" s="3" t="s">
        <v>2355</v>
      </c>
      <c r="E451" s="3" t="s">
        <v>2360</v>
      </c>
    </row>
    <row r="452" spans="1:5" x14ac:dyDescent="0.35">
      <c r="A452" s="3" t="s">
        <v>4740</v>
      </c>
      <c r="B452" s="3" t="s">
        <v>1243</v>
      </c>
      <c r="C452" s="3" t="s">
        <v>2357</v>
      </c>
      <c r="D452" s="3" t="s">
        <v>2355</v>
      </c>
      <c r="E452" s="3" t="s">
        <v>2360</v>
      </c>
    </row>
    <row r="453" spans="1:5" x14ac:dyDescent="0.35">
      <c r="A453" s="3" t="s">
        <v>3861</v>
      </c>
      <c r="B453" s="3" t="s">
        <v>1245</v>
      </c>
      <c r="C453" s="3" t="s">
        <v>2357</v>
      </c>
      <c r="D453" s="3" t="s">
        <v>2355</v>
      </c>
      <c r="E453" s="3" t="s">
        <v>2360</v>
      </c>
    </row>
    <row r="454" spans="1:5" x14ac:dyDescent="0.35">
      <c r="A454" s="3" t="s">
        <v>4741</v>
      </c>
      <c r="B454" s="3" t="s">
        <v>1247</v>
      </c>
      <c r="C454" s="3" t="s">
        <v>2357</v>
      </c>
      <c r="D454" s="3" t="s">
        <v>2355</v>
      </c>
      <c r="E454" s="3" t="s">
        <v>2360</v>
      </c>
    </row>
    <row r="455" spans="1:5" x14ac:dyDescent="0.35">
      <c r="A455" s="3" t="s">
        <v>3863</v>
      </c>
      <c r="B455" s="3" t="s">
        <v>1249</v>
      </c>
      <c r="C455" s="3" t="s">
        <v>2364</v>
      </c>
      <c r="D455" s="3" t="s">
        <v>2355</v>
      </c>
      <c r="E455" s="3" t="s">
        <v>2360</v>
      </c>
    </row>
    <row r="456" spans="1:5" x14ac:dyDescent="0.35">
      <c r="A456" s="3" t="s">
        <v>3865</v>
      </c>
      <c r="B456" s="3" t="s">
        <v>1251</v>
      </c>
      <c r="C456" s="3" t="s">
        <v>2364</v>
      </c>
      <c r="D456" s="3" t="s">
        <v>2355</v>
      </c>
      <c r="E456" s="3" t="s">
        <v>2360</v>
      </c>
    </row>
    <row r="457" spans="1:5" x14ac:dyDescent="0.35">
      <c r="A457" s="3" t="s">
        <v>3868</v>
      </c>
      <c r="B457" s="3" t="s">
        <v>1255</v>
      </c>
      <c r="C457" s="3" t="s">
        <v>2364</v>
      </c>
      <c r="D457" s="3" t="s">
        <v>2355</v>
      </c>
      <c r="E457" s="3" t="s">
        <v>2360</v>
      </c>
    </row>
    <row r="458" spans="1:5" x14ac:dyDescent="0.35">
      <c r="A458" s="3" t="s">
        <v>4742</v>
      </c>
      <c r="B458" s="3" t="s">
        <v>1257</v>
      </c>
      <c r="C458" s="3" t="s">
        <v>2357</v>
      </c>
      <c r="D458" s="3" t="s">
        <v>2355</v>
      </c>
      <c r="E458" s="3" t="s">
        <v>2360</v>
      </c>
    </row>
    <row r="459" spans="1:5" x14ac:dyDescent="0.35">
      <c r="A459" s="3" t="s">
        <v>4743</v>
      </c>
      <c r="B459" s="3" t="s">
        <v>1259</v>
      </c>
      <c r="C459" s="3" t="s">
        <v>2357</v>
      </c>
      <c r="D459" s="3" t="s">
        <v>2355</v>
      </c>
      <c r="E459" s="3" t="s">
        <v>2360</v>
      </c>
    </row>
    <row r="460" spans="1:5" x14ac:dyDescent="0.35">
      <c r="A460" s="3" t="s">
        <v>4744</v>
      </c>
      <c r="B460" s="3" t="s">
        <v>1261</v>
      </c>
      <c r="C460" s="3" t="s">
        <v>2357</v>
      </c>
      <c r="D460" s="3" t="s">
        <v>2355</v>
      </c>
      <c r="E460" s="3" t="s">
        <v>2360</v>
      </c>
    </row>
    <row r="461" spans="1:5" x14ac:dyDescent="0.35">
      <c r="A461" s="3" t="s">
        <v>3870</v>
      </c>
      <c r="B461" s="3" t="s">
        <v>1267</v>
      </c>
      <c r="C461" s="3" t="s">
        <v>2361</v>
      </c>
      <c r="D461" s="3" t="s">
        <v>2355</v>
      </c>
      <c r="E461" s="3" t="s">
        <v>2362</v>
      </c>
    </row>
    <row r="462" spans="1:5" x14ac:dyDescent="0.35">
      <c r="A462" s="3" t="s">
        <v>4745</v>
      </c>
      <c r="B462" s="3" t="s">
        <v>1269</v>
      </c>
      <c r="C462" s="3" t="s">
        <v>2357</v>
      </c>
      <c r="D462" s="3" t="s">
        <v>2355</v>
      </c>
      <c r="E462" s="3" t="s">
        <v>2360</v>
      </c>
    </row>
    <row r="463" spans="1:5" x14ac:dyDescent="0.35">
      <c r="A463" s="3" t="s">
        <v>4746</v>
      </c>
      <c r="B463" s="3" t="s">
        <v>1271</v>
      </c>
      <c r="C463" s="3" t="s">
        <v>2357</v>
      </c>
      <c r="D463" s="3" t="s">
        <v>2355</v>
      </c>
      <c r="E463" s="3" t="s">
        <v>2360</v>
      </c>
    </row>
    <row r="464" spans="1:5" x14ac:dyDescent="0.35">
      <c r="A464" s="3" t="s">
        <v>4747</v>
      </c>
      <c r="B464" s="3" t="s">
        <v>1273</v>
      </c>
      <c r="C464" s="3" t="s">
        <v>2361</v>
      </c>
      <c r="D464" s="3" t="s">
        <v>2355</v>
      </c>
      <c r="E464" s="3" t="s">
        <v>2362</v>
      </c>
    </row>
    <row r="465" spans="1:5" x14ac:dyDescent="0.35">
      <c r="A465" s="3" t="s">
        <v>4748</v>
      </c>
      <c r="B465" s="3" t="s">
        <v>1279</v>
      </c>
      <c r="C465" s="3" t="s">
        <v>2363</v>
      </c>
      <c r="D465" s="3" t="s">
        <v>2355</v>
      </c>
      <c r="E465" s="3" t="s">
        <v>2355</v>
      </c>
    </row>
    <row r="466" spans="1:5" x14ac:dyDescent="0.35">
      <c r="A466" s="3" t="s">
        <v>4749</v>
      </c>
      <c r="B466" s="3" t="s">
        <v>1281</v>
      </c>
      <c r="C466" s="3" t="s">
        <v>2363</v>
      </c>
      <c r="D466" s="3" t="s">
        <v>2355</v>
      </c>
      <c r="E466" s="3" t="s">
        <v>2355</v>
      </c>
    </row>
    <row r="467" spans="1:5" x14ac:dyDescent="0.35">
      <c r="A467" s="3" t="s">
        <v>4750</v>
      </c>
      <c r="B467" s="3" t="s">
        <v>1285</v>
      </c>
      <c r="C467" s="3" t="s">
        <v>2363</v>
      </c>
      <c r="D467" s="3" t="s">
        <v>2355</v>
      </c>
      <c r="E467" s="3" t="s">
        <v>2355</v>
      </c>
    </row>
    <row r="468" spans="1:5" x14ac:dyDescent="0.35">
      <c r="A468" s="3" t="s">
        <v>4751</v>
      </c>
      <c r="B468" s="3" t="s">
        <v>1287</v>
      </c>
      <c r="C468" s="3" t="s">
        <v>2363</v>
      </c>
      <c r="D468" s="3" t="s">
        <v>2355</v>
      </c>
      <c r="E468" s="3" t="s">
        <v>2355</v>
      </c>
    </row>
    <row r="469" spans="1:5" x14ac:dyDescent="0.35">
      <c r="A469" s="3" t="s">
        <v>4752</v>
      </c>
      <c r="B469" s="3" t="s">
        <v>1289</v>
      </c>
      <c r="C469" s="3" t="s">
        <v>2364</v>
      </c>
      <c r="D469" s="3" t="s">
        <v>2355</v>
      </c>
      <c r="E469" s="3" t="s">
        <v>2360</v>
      </c>
    </row>
    <row r="470" spans="1:5" x14ac:dyDescent="0.35">
      <c r="A470" s="3" t="s">
        <v>4753</v>
      </c>
      <c r="B470" s="3" t="s">
        <v>1291</v>
      </c>
      <c r="C470" s="3" t="s">
        <v>2363</v>
      </c>
      <c r="D470" s="3" t="s">
        <v>2355</v>
      </c>
      <c r="E470" s="3" t="s">
        <v>2355</v>
      </c>
    </row>
    <row r="471" spans="1:5" x14ac:dyDescent="0.35">
      <c r="A471" s="3" t="s">
        <v>4754</v>
      </c>
      <c r="B471" s="3" t="s">
        <v>1295</v>
      </c>
      <c r="C471" s="3" t="s">
        <v>2357</v>
      </c>
      <c r="D471" s="3" t="s">
        <v>2355</v>
      </c>
      <c r="E471" s="3" t="s">
        <v>2360</v>
      </c>
    </row>
    <row r="472" spans="1:5" x14ac:dyDescent="0.35">
      <c r="A472" s="3" t="s">
        <v>4755</v>
      </c>
      <c r="B472" s="3" t="s">
        <v>1297</v>
      </c>
      <c r="C472" s="3" t="s">
        <v>2357</v>
      </c>
      <c r="D472" s="3" t="s">
        <v>2355</v>
      </c>
      <c r="E472" s="3" t="s">
        <v>2358</v>
      </c>
    </row>
    <row r="473" spans="1:5" x14ac:dyDescent="0.35">
      <c r="A473" s="3" t="s">
        <v>4756</v>
      </c>
      <c r="B473" s="3" t="s">
        <v>1301</v>
      </c>
      <c r="C473" s="3" t="s">
        <v>2357</v>
      </c>
      <c r="D473" s="3" t="s">
        <v>2355</v>
      </c>
      <c r="E473" s="3" t="s">
        <v>2358</v>
      </c>
    </row>
    <row r="474" spans="1:5" x14ac:dyDescent="0.35">
      <c r="A474" s="3" t="s">
        <v>4757</v>
      </c>
      <c r="B474" s="3" t="s">
        <v>1305</v>
      </c>
      <c r="C474" s="3" t="s">
        <v>2357</v>
      </c>
      <c r="D474" s="3" t="s">
        <v>2355</v>
      </c>
      <c r="E474" s="3" t="s">
        <v>2360</v>
      </c>
    </row>
    <row r="475" spans="1:5" x14ac:dyDescent="0.35">
      <c r="A475" s="3" t="s">
        <v>3872</v>
      </c>
      <c r="B475" s="3" t="s">
        <v>1309</v>
      </c>
      <c r="C475" s="3" t="s">
        <v>2357</v>
      </c>
      <c r="D475" s="3" t="s">
        <v>2355</v>
      </c>
      <c r="E475" s="3" t="s">
        <v>2360</v>
      </c>
    </row>
    <row r="476" spans="1:5" x14ac:dyDescent="0.35">
      <c r="A476" s="3" t="s">
        <v>4758</v>
      </c>
      <c r="B476" s="3" t="s">
        <v>1311</v>
      </c>
      <c r="C476" s="3" t="s">
        <v>2357</v>
      </c>
      <c r="D476" s="3" t="s">
        <v>2355</v>
      </c>
      <c r="E476" s="3" t="s">
        <v>2360</v>
      </c>
    </row>
    <row r="477" spans="1:5" x14ac:dyDescent="0.35">
      <c r="A477" s="3" t="s">
        <v>4759</v>
      </c>
      <c r="B477" s="3" t="s">
        <v>1313</v>
      </c>
      <c r="C477" s="3" t="s">
        <v>2357</v>
      </c>
      <c r="D477" s="3" t="s">
        <v>2355</v>
      </c>
      <c r="E477" s="3" t="s">
        <v>2360</v>
      </c>
    </row>
    <row r="478" spans="1:5" x14ac:dyDescent="0.35">
      <c r="A478" s="3" t="s">
        <v>4760</v>
      </c>
      <c r="B478" s="3" t="s">
        <v>1315</v>
      </c>
      <c r="C478" s="3" t="s">
        <v>2357</v>
      </c>
      <c r="D478" s="3" t="s">
        <v>2355</v>
      </c>
      <c r="E478" s="3" t="s">
        <v>2360</v>
      </c>
    </row>
    <row r="479" spans="1:5" x14ac:dyDescent="0.35">
      <c r="A479" s="3" t="s">
        <v>4761</v>
      </c>
      <c r="B479" s="3" t="s">
        <v>1319</v>
      </c>
      <c r="C479" s="3" t="s">
        <v>2357</v>
      </c>
      <c r="D479" s="3" t="s">
        <v>2356</v>
      </c>
      <c r="E479" s="3" t="s">
        <v>2355</v>
      </c>
    </row>
    <row r="480" spans="1:5" x14ac:dyDescent="0.35">
      <c r="A480" s="3" t="s">
        <v>4762</v>
      </c>
      <c r="B480" s="3" t="s">
        <v>1321</v>
      </c>
      <c r="C480" s="3" t="s">
        <v>2357</v>
      </c>
      <c r="D480" s="3" t="s">
        <v>2356</v>
      </c>
      <c r="E480" s="3" t="s">
        <v>2355</v>
      </c>
    </row>
    <row r="481" spans="1:5" x14ac:dyDescent="0.35">
      <c r="A481" s="3" t="s">
        <v>3875</v>
      </c>
      <c r="B481" s="3" t="s">
        <v>1327</v>
      </c>
      <c r="C481" s="3" t="s">
        <v>2364</v>
      </c>
      <c r="D481" s="3" t="s">
        <v>2355</v>
      </c>
      <c r="E481" s="3" t="s">
        <v>2360</v>
      </c>
    </row>
    <row r="482" spans="1:5" x14ac:dyDescent="0.35">
      <c r="A482" s="3" t="s">
        <v>3898</v>
      </c>
      <c r="B482" s="3" t="s">
        <v>1329</v>
      </c>
      <c r="C482" s="3" t="s">
        <v>2364</v>
      </c>
      <c r="D482" s="3" t="s">
        <v>2355</v>
      </c>
      <c r="E482" s="3" t="s">
        <v>2360</v>
      </c>
    </row>
    <row r="483" spans="1:5" x14ac:dyDescent="0.35">
      <c r="A483" s="3" t="s">
        <v>3900</v>
      </c>
      <c r="B483" s="3" t="s">
        <v>1333</v>
      </c>
      <c r="C483" s="3" t="s">
        <v>2364</v>
      </c>
      <c r="D483" s="3" t="s">
        <v>2355</v>
      </c>
      <c r="E483" s="3" t="s">
        <v>2360</v>
      </c>
    </row>
    <row r="484" spans="1:5" x14ac:dyDescent="0.35">
      <c r="A484" s="3" t="s">
        <v>4763</v>
      </c>
      <c r="B484" s="3" t="s">
        <v>1335</v>
      </c>
      <c r="C484" s="3" t="s">
        <v>2364</v>
      </c>
      <c r="D484" s="3" t="s">
        <v>2355</v>
      </c>
      <c r="E484" s="3" t="s">
        <v>2358</v>
      </c>
    </row>
    <row r="485" spans="1:5" x14ac:dyDescent="0.35">
      <c r="A485" s="3" t="s">
        <v>3902</v>
      </c>
      <c r="B485" s="3" t="s">
        <v>1337</v>
      </c>
      <c r="C485" s="3" t="s">
        <v>2364</v>
      </c>
      <c r="D485" s="3" t="s">
        <v>2355</v>
      </c>
      <c r="E485" s="3" t="s">
        <v>2360</v>
      </c>
    </row>
    <row r="486" spans="1:5" x14ac:dyDescent="0.35">
      <c r="A486" s="3" t="s">
        <v>3904</v>
      </c>
      <c r="B486" s="3" t="s">
        <v>1341</v>
      </c>
      <c r="C486" s="3" t="s">
        <v>2357</v>
      </c>
      <c r="D486" s="3" t="s">
        <v>2355</v>
      </c>
      <c r="E486" s="3" t="s">
        <v>2358</v>
      </c>
    </row>
    <row r="487" spans="1:5" x14ac:dyDescent="0.35">
      <c r="A487" s="3" t="s">
        <v>4764</v>
      </c>
      <c r="B487" s="3" t="s">
        <v>1343</v>
      </c>
      <c r="C487" s="3" t="s">
        <v>2357</v>
      </c>
      <c r="D487" s="3" t="s">
        <v>2355</v>
      </c>
      <c r="E487" s="3" t="s">
        <v>2358</v>
      </c>
    </row>
    <row r="488" spans="1:5" x14ac:dyDescent="0.35">
      <c r="A488" s="3" t="s">
        <v>4765</v>
      </c>
      <c r="B488" s="3" t="s">
        <v>1345</v>
      </c>
      <c r="C488" s="3" t="s">
        <v>2353</v>
      </c>
      <c r="D488" s="3" t="s">
        <v>2355</v>
      </c>
      <c r="E488" s="3" t="s">
        <v>2358</v>
      </c>
    </row>
    <row r="489" spans="1:5" x14ac:dyDescent="0.35">
      <c r="A489" s="3" t="s">
        <v>4766</v>
      </c>
      <c r="B489" s="3" t="s">
        <v>1347</v>
      </c>
      <c r="C489" s="3" t="s">
        <v>2357</v>
      </c>
      <c r="D489" s="3" t="s">
        <v>2355</v>
      </c>
      <c r="E489" s="3" t="s">
        <v>2358</v>
      </c>
    </row>
    <row r="490" spans="1:5" x14ac:dyDescent="0.35">
      <c r="A490" s="3" t="s">
        <v>3906</v>
      </c>
      <c r="B490" s="3" t="s">
        <v>1349</v>
      </c>
      <c r="C490" s="3" t="s">
        <v>2357</v>
      </c>
      <c r="D490" s="3" t="s">
        <v>2355</v>
      </c>
      <c r="E490" s="3" t="s">
        <v>2358</v>
      </c>
    </row>
    <row r="491" spans="1:5" x14ac:dyDescent="0.35">
      <c r="A491" s="3" t="s">
        <v>4767</v>
      </c>
      <c r="B491" s="3" t="s">
        <v>1353</v>
      </c>
      <c r="C491" s="3" t="s">
        <v>2353</v>
      </c>
      <c r="D491" s="3" t="s">
        <v>2355</v>
      </c>
      <c r="E491" s="3" t="s">
        <v>2358</v>
      </c>
    </row>
    <row r="492" spans="1:5" x14ac:dyDescent="0.35">
      <c r="A492" s="3" t="s">
        <v>4768</v>
      </c>
      <c r="B492" s="3" t="s">
        <v>1355</v>
      </c>
      <c r="C492" s="3" t="s">
        <v>2357</v>
      </c>
      <c r="D492" s="3" t="s">
        <v>2355</v>
      </c>
      <c r="E492" s="3" t="s">
        <v>2358</v>
      </c>
    </row>
    <row r="493" spans="1:5" x14ac:dyDescent="0.35">
      <c r="A493" s="3" t="s">
        <v>3909</v>
      </c>
      <c r="B493" s="3" t="s">
        <v>1361</v>
      </c>
      <c r="C493" s="3" t="s">
        <v>2364</v>
      </c>
      <c r="D493" s="3" t="s">
        <v>2355</v>
      </c>
      <c r="E493" s="3" t="s">
        <v>2360</v>
      </c>
    </row>
    <row r="494" spans="1:5" x14ac:dyDescent="0.35">
      <c r="A494" s="3" t="s">
        <v>4769</v>
      </c>
      <c r="B494" s="3" t="s">
        <v>1363</v>
      </c>
      <c r="C494" s="3" t="s">
        <v>2364</v>
      </c>
      <c r="D494" s="3" t="s">
        <v>2355</v>
      </c>
      <c r="E494" s="3" t="s">
        <v>2355</v>
      </c>
    </row>
    <row r="495" spans="1:5" x14ac:dyDescent="0.35">
      <c r="A495" s="3" t="s">
        <v>4770</v>
      </c>
      <c r="B495" s="3" t="s">
        <v>1367</v>
      </c>
      <c r="C495" s="3" t="s">
        <v>2357</v>
      </c>
      <c r="D495" s="3" t="s">
        <v>2356</v>
      </c>
      <c r="E495" s="3" t="s">
        <v>2355</v>
      </c>
    </row>
    <row r="496" spans="1:5" x14ac:dyDescent="0.35">
      <c r="A496" s="3" t="s">
        <v>4771</v>
      </c>
      <c r="B496" s="3" t="s">
        <v>1369</v>
      </c>
      <c r="C496" s="3" t="s">
        <v>2357</v>
      </c>
      <c r="D496" s="3" t="s">
        <v>2355</v>
      </c>
      <c r="E496" s="3" t="s">
        <v>2358</v>
      </c>
    </row>
    <row r="497" spans="1:5" x14ac:dyDescent="0.35">
      <c r="A497" s="3" t="s">
        <v>4772</v>
      </c>
      <c r="B497" s="3" t="s">
        <v>1371</v>
      </c>
      <c r="C497" s="3" t="s">
        <v>2353</v>
      </c>
      <c r="D497" s="3" t="s">
        <v>2355</v>
      </c>
      <c r="E497" s="3" t="s">
        <v>2358</v>
      </c>
    </row>
    <row r="498" spans="1:5" x14ac:dyDescent="0.35">
      <c r="A498" s="3" t="s">
        <v>3911</v>
      </c>
      <c r="B498" s="3" t="s">
        <v>1373</v>
      </c>
      <c r="C498" s="3" t="s">
        <v>2364</v>
      </c>
      <c r="D498" s="3" t="s">
        <v>2355</v>
      </c>
      <c r="E498" s="3" t="s">
        <v>2360</v>
      </c>
    </row>
    <row r="499" spans="1:5" x14ac:dyDescent="0.35">
      <c r="A499" s="3" t="s">
        <v>4773</v>
      </c>
      <c r="B499" s="3" t="s">
        <v>1377</v>
      </c>
      <c r="C499" s="3" t="s">
        <v>2364</v>
      </c>
      <c r="D499" s="3" t="s">
        <v>2355</v>
      </c>
      <c r="E499" s="3" t="s">
        <v>2360</v>
      </c>
    </row>
    <row r="500" spans="1:5" x14ac:dyDescent="0.35">
      <c r="A500" s="3" t="s">
        <v>4774</v>
      </c>
      <c r="B500" s="3" t="s">
        <v>1379</v>
      </c>
      <c r="C500" s="3" t="s">
        <v>2357</v>
      </c>
      <c r="D500" s="3" t="s">
        <v>2355</v>
      </c>
      <c r="E500" s="3" t="s">
        <v>2355</v>
      </c>
    </row>
    <row r="501" spans="1:5" x14ac:dyDescent="0.35">
      <c r="A501" s="3" t="s">
        <v>3914</v>
      </c>
      <c r="B501" s="3" t="s">
        <v>1383</v>
      </c>
      <c r="C501" s="3" t="s">
        <v>2357</v>
      </c>
      <c r="D501" s="3" t="s">
        <v>2356</v>
      </c>
      <c r="E501" s="3" t="s">
        <v>2355</v>
      </c>
    </row>
    <row r="502" spans="1:5" x14ac:dyDescent="0.35">
      <c r="A502" s="3" t="s">
        <v>3917</v>
      </c>
      <c r="B502" s="3" t="s">
        <v>1387</v>
      </c>
      <c r="C502" s="3" t="s">
        <v>2357</v>
      </c>
      <c r="D502" s="3" t="s">
        <v>2355</v>
      </c>
      <c r="E502" s="3" t="s">
        <v>2360</v>
      </c>
    </row>
    <row r="503" spans="1:5" x14ac:dyDescent="0.35">
      <c r="A503" s="3" t="s">
        <v>3919</v>
      </c>
      <c r="B503" s="3" t="s">
        <v>1389</v>
      </c>
      <c r="C503" s="3" t="s">
        <v>2357</v>
      </c>
      <c r="D503" s="3" t="s">
        <v>2355</v>
      </c>
      <c r="E503" s="3" t="s">
        <v>2360</v>
      </c>
    </row>
    <row r="504" spans="1:5" x14ac:dyDescent="0.35">
      <c r="A504" s="3" t="s">
        <v>4775</v>
      </c>
      <c r="B504" s="3" t="s">
        <v>1391</v>
      </c>
      <c r="C504" s="3" t="s">
        <v>2357</v>
      </c>
      <c r="D504" s="3" t="s">
        <v>2355</v>
      </c>
      <c r="E504" s="3" t="s">
        <v>2360</v>
      </c>
    </row>
    <row r="505" spans="1:5" x14ac:dyDescent="0.35">
      <c r="A505" s="3" t="s">
        <v>3921</v>
      </c>
      <c r="B505" s="3" t="s">
        <v>1395</v>
      </c>
      <c r="C505" s="3" t="s">
        <v>2357</v>
      </c>
      <c r="D505" s="3" t="s">
        <v>2355</v>
      </c>
      <c r="E505" s="3" t="s">
        <v>2358</v>
      </c>
    </row>
    <row r="506" spans="1:5" x14ac:dyDescent="0.35">
      <c r="A506" s="3" t="s">
        <v>3923</v>
      </c>
      <c r="B506" s="3" t="s">
        <v>1397</v>
      </c>
      <c r="C506" s="3" t="s">
        <v>2357</v>
      </c>
      <c r="D506" s="3" t="s">
        <v>2355</v>
      </c>
      <c r="E506" s="3" t="s">
        <v>2358</v>
      </c>
    </row>
    <row r="507" spans="1:5" x14ac:dyDescent="0.35">
      <c r="A507" s="3" t="s">
        <v>3926</v>
      </c>
      <c r="B507" s="3" t="s">
        <v>1399</v>
      </c>
      <c r="C507" s="3" t="s">
        <v>2365</v>
      </c>
      <c r="D507" s="3" t="s">
        <v>2355</v>
      </c>
      <c r="E507" s="3" t="s">
        <v>2358</v>
      </c>
    </row>
    <row r="508" spans="1:5" x14ac:dyDescent="0.35">
      <c r="A508" s="3" t="s">
        <v>3932</v>
      </c>
      <c r="B508" s="3" t="s">
        <v>1401</v>
      </c>
      <c r="C508" s="3" t="s">
        <v>2357</v>
      </c>
      <c r="D508" s="3" t="s">
        <v>2355</v>
      </c>
      <c r="E508" s="3" t="s">
        <v>2360</v>
      </c>
    </row>
    <row r="509" spans="1:5" x14ac:dyDescent="0.35">
      <c r="A509" s="3" t="s">
        <v>3934</v>
      </c>
      <c r="B509" s="3" t="s">
        <v>1403</v>
      </c>
      <c r="C509" s="3" t="s">
        <v>2357</v>
      </c>
      <c r="D509" s="3" t="s">
        <v>2355</v>
      </c>
      <c r="E509" s="3" t="s">
        <v>2358</v>
      </c>
    </row>
    <row r="510" spans="1:5" x14ac:dyDescent="0.35">
      <c r="A510" s="3" t="s">
        <v>3936</v>
      </c>
      <c r="B510" s="3" t="s">
        <v>1405</v>
      </c>
      <c r="C510" s="3" t="s">
        <v>2357</v>
      </c>
      <c r="D510" s="3" t="s">
        <v>2355</v>
      </c>
      <c r="E510" s="3" t="s">
        <v>2358</v>
      </c>
    </row>
    <row r="511" spans="1:5" x14ac:dyDescent="0.35">
      <c r="A511" s="3" t="s">
        <v>3938</v>
      </c>
      <c r="B511" s="3" t="s">
        <v>1407</v>
      </c>
      <c r="C511" s="3" t="s">
        <v>2357</v>
      </c>
      <c r="D511" s="3" t="s">
        <v>2355</v>
      </c>
      <c r="E511" s="3" t="s">
        <v>2360</v>
      </c>
    </row>
    <row r="512" spans="1:5" x14ac:dyDescent="0.35">
      <c r="A512" s="3" t="s">
        <v>3940</v>
      </c>
      <c r="B512" s="3" t="s">
        <v>1409</v>
      </c>
      <c r="C512" s="3" t="s">
        <v>2357</v>
      </c>
      <c r="D512" s="3" t="s">
        <v>2355</v>
      </c>
      <c r="E512" s="3" t="s">
        <v>2360</v>
      </c>
    </row>
    <row r="513" spans="1:5" x14ac:dyDescent="0.35">
      <c r="A513" s="3" t="s">
        <v>3942</v>
      </c>
      <c r="B513" s="3" t="s">
        <v>1413</v>
      </c>
      <c r="C513" s="3" t="s">
        <v>2357</v>
      </c>
      <c r="D513" s="3" t="s">
        <v>2355</v>
      </c>
      <c r="E513" s="3" t="s">
        <v>2358</v>
      </c>
    </row>
    <row r="514" spans="1:5" x14ac:dyDescent="0.35">
      <c r="A514" s="3" t="s">
        <v>3944</v>
      </c>
      <c r="B514" s="3" t="s">
        <v>1415</v>
      </c>
      <c r="C514" s="3" t="s">
        <v>2357</v>
      </c>
      <c r="D514" s="3" t="s">
        <v>2355</v>
      </c>
      <c r="E514" s="3" t="s">
        <v>2360</v>
      </c>
    </row>
    <row r="515" spans="1:5" x14ac:dyDescent="0.35">
      <c r="A515" s="3" t="s">
        <v>4776</v>
      </c>
      <c r="B515" s="3" t="s">
        <v>1417</v>
      </c>
      <c r="C515" s="3" t="s">
        <v>2357</v>
      </c>
      <c r="D515" s="3" t="s">
        <v>2355</v>
      </c>
      <c r="E515" s="3" t="s">
        <v>2362</v>
      </c>
    </row>
    <row r="516" spans="1:5" x14ac:dyDescent="0.35">
      <c r="A516" s="3" t="s">
        <v>3946</v>
      </c>
      <c r="B516" s="3" t="s">
        <v>1419</v>
      </c>
      <c r="C516" s="3" t="s">
        <v>2357</v>
      </c>
      <c r="D516" s="3" t="s">
        <v>2355</v>
      </c>
      <c r="E516" s="3" t="s">
        <v>2358</v>
      </c>
    </row>
    <row r="517" spans="1:5" x14ac:dyDescent="0.35">
      <c r="A517" s="3" t="s">
        <v>3948</v>
      </c>
      <c r="B517" s="3" t="s">
        <v>1421</v>
      </c>
      <c r="C517" s="3" t="s">
        <v>2357</v>
      </c>
      <c r="D517" s="3" t="s">
        <v>2355</v>
      </c>
      <c r="E517" s="3" t="s">
        <v>2360</v>
      </c>
    </row>
    <row r="518" spans="1:5" x14ac:dyDescent="0.35">
      <c r="A518" s="3" t="s">
        <v>4777</v>
      </c>
      <c r="B518" s="3" t="s">
        <v>1423</v>
      </c>
      <c r="C518" s="3" t="s">
        <v>2357</v>
      </c>
      <c r="D518" s="3" t="s">
        <v>2355</v>
      </c>
      <c r="E518" s="3" t="s">
        <v>2358</v>
      </c>
    </row>
    <row r="519" spans="1:5" x14ac:dyDescent="0.35">
      <c r="A519" s="3" t="s">
        <v>3962</v>
      </c>
      <c r="B519" s="3" t="s">
        <v>1425</v>
      </c>
      <c r="C519" s="3" t="s">
        <v>2357</v>
      </c>
      <c r="D519" s="3" t="s">
        <v>2355</v>
      </c>
      <c r="E519" s="3" t="s">
        <v>2360</v>
      </c>
    </row>
    <row r="520" spans="1:5" x14ac:dyDescent="0.35">
      <c r="A520" s="3" t="s">
        <v>4778</v>
      </c>
      <c r="B520" s="3" t="s">
        <v>1427</v>
      </c>
      <c r="C520" s="3" t="s">
        <v>2357</v>
      </c>
      <c r="D520" s="3" t="s">
        <v>2355</v>
      </c>
      <c r="E520" s="3" t="s">
        <v>2360</v>
      </c>
    </row>
    <row r="521" spans="1:5" x14ac:dyDescent="0.35">
      <c r="A521" s="3" t="s">
        <v>3964</v>
      </c>
      <c r="B521" s="3" t="s">
        <v>1429</v>
      </c>
      <c r="C521" s="3" t="s">
        <v>2357</v>
      </c>
      <c r="D521" s="3" t="s">
        <v>2355</v>
      </c>
      <c r="E521" s="3" t="s">
        <v>2360</v>
      </c>
    </row>
    <row r="522" spans="1:5" x14ac:dyDescent="0.35">
      <c r="A522" s="3" t="s">
        <v>3967</v>
      </c>
      <c r="B522" s="3" t="s">
        <v>1431</v>
      </c>
      <c r="C522" s="3" t="s">
        <v>2357</v>
      </c>
      <c r="D522" s="3" t="s">
        <v>2355</v>
      </c>
      <c r="E522" s="3" t="s">
        <v>2360</v>
      </c>
    </row>
    <row r="523" spans="1:5" x14ac:dyDescent="0.35">
      <c r="A523" s="3" t="s">
        <v>3969</v>
      </c>
      <c r="B523" s="3" t="s">
        <v>1433</v>
      </c>
      <c r="C523" s="3" t="s">
        <v>2357</v>
      </c>
      <c r="D523" s="3" t="s">
        <v>2355</v>
      </c>
      <c r="E523" s="3" t="s">
        <v>2360</v>
      </c>
    </row>
    <row r="524" spans="1:5" x14ac:dyDescent="0.35">
      <c r="A524" s="3" t="s">
        <v>3971</v>
      </c>
      <c r="B524" s="3" t="s">
        <v>1435</v>
      </c>
      <c r="C524" s="3" t="s">
        <v>2357</v>
      </c>
      <c r="D524" s="3" t="s">
        <v>2355</v>
      </c>
      <c r="E524" s="3" t="s">
        <v>2358</v>
      </c>
    </row>
    <row r="525" spans="1:5" x14ac:dyDescent="0.35">
      <c r="A525" s="3" t="s">
        <v>3973</v>
      </c>
      <c r="B525" s="3" t="s">
        <v>1437</v>
      </c>
      <c r="C525" s="3" t="s">
        <v>2365</v>
      </c>
      <c r="D525" s="3" t="s">
        <v>2355</v>
      </c>
      <c r="E525" s="3" t="s">
        <v>2360</v>
      </c>
    </row>
    <row r="526" spans="1:5" x14ac:dyDescent="0.35">
      <c r="A526" s="3" t="s">
        <v>3975</v>
      </c>
      <c r="B526" s="3" t="s">
        <v>1439</v>
      </c>
      <c r="C526" s="3" t="s">
        <v>2361</v>
      </c>
      <c r="D526" s="3" t="s">
        <v>2355</v>
      </c>
      <c r="E526" s="3" t="s">
        <v>2355</v>
      </c>
    </row>
    <row r="527" spans="1:5" x14ac:dyDescent="0.35">
      <c r="A527" s="3" t="s">
        <v>3977</v>
      </c>
      <c r="B527" s="3" t="s">
        <v>1441</v>
      </c>
      <c r="C527" s="3" t="s">
        <v>2357</v>
      </c>
      <c r="D527" s="3" t="s">
        <v>2355</v>
      </c>
      <c r="E527" s="3" t="s">
        <v>2360</v>
      </c>
    </row>
    <row r="528" spans="1:5" x14ac:dyDescent="0.35">
      <c r="A528" s="3" t="s">
        <v>3980</v>
      </c>
      <c r="B528" s="3" t="s">
        <v>1443</v>
      </c>
      <c r="C528" s="3" t="s">
        <v>2357</v>
      </c>
      <c r="D528" s="3" t="s">
        <v>2355</v>
      </c>
      <c r="E528" s="3" t="s">
        <v>2360</v>
      </c>
    </row>
    <row r="529" spans="1:5" x14ac:dyDescent="0.35">
      <c r="A529" s="3" t="s">
        <v>4779</v>
      </c>
      <c r="B529" s="3" t="s">
        <v>1445</v>
      </c>
      <c r="C529" s="3" t="s">
        <v>2357</v>
      </c>
      <c r="D529" s="3" t="s">
        <v>2355</v>
      </c>
      <c r="E529" s="3" t="s">
        <v>2360</v>
      </c>
    </row>
    <row r="530" spans="1:5" x14ac:dyDescent="0.35">
      <c r="A530" s="3" t="s">
        <v>4780</v>
      </c>
      <c r="B530" s="3" t="s">
        <v>1449</v>
      </c>
      <c r="C530" s="3" t="s">
        <v>2357</v>
      </c>
      <c r="D530" s="3" t="s">
        <v>2355</v>
      </c>
      <c r="E530" s="3" t="s">
        <v>2360</v>
      </c>
    </row>
    <row r="531" spans="1:5" x14ac:dyDescent="0.35">
      <c r="A531" s="3" t="s">
        <v>3982</v>
      </c>
      <c r="B531" s="3" t="s">
        <v>1451</v>
      </c>
      <c r="C531" s="3" t="s">
        <v>2357</v>
      </c>
      <c r="D531" s="3" t="s">
        <v>2355</v>
      </c>
      <c r="E531" s="3" t="s">
        <v>2360</v>
      </c>
    </row>
    <row r="532" spans="1:5" x14ac:dyDescent="0.35">
      <c r="A532" s="3" t="s">
        <v>4781</v>
      </c>
      <c r="B532" s="3" t="s">
        <v>1455</v>
      </c>
      <c r="C532" s="3" t="s">
        <v>2357</v>
      </c>
      <c r="D532" s="3" t="s">
        <v>2355</v>
      </c>
      <c r="E532" s="3" t="s">
        <v>2358</v>
      </c>
    </row>
    <row r="533" spans="1:5" x14ac:dyDescent="0.35">
      <c r="A533" s="3" t="s">
        <v>3986</v>
      </c>
      <c r="B533" s="3" t="s">
        <v>1457</v>
      </c>
      <c r="C533" s="3" t="s">
        <v>2357</v>
      </c>
      <c r="D533" s="3" t="s">
        <v>2355</v>
      </c>
      <c r="E533" s="3" t="s">
        <v>2358</v>
      </c>
    </row>
    <row r="534" spans="1:5" x14ac:dyDescent="0.35">
      <c r="A534" s="3" t="s">
        <v>3990</v>
      </c>
      <c r="B534" s="3" t="s">
        <v>1459</v>
      </c>
      <c r="C534" s="3" t="s">
        <v>2357</v>
      </c>
      <c r="D534" s="3" t="s">
        <v>2355</v>
      </c>
      <c r="E534" s="3" t="s">
        <v>2360</v>
      </c>
    </row>
    <row r="535" spans="1:5" x14ac:dyDescent="0.35">
      <c r="A535" s="3" t="s">
        <v>4782</v>
      </c>
      <c r="B535" s="3" t="s">
        <v>1463</v>
      </c>
      <c r="C535" s="3" t="s">
        <v>2364</v>
      </c>
      <c r="D535" s="3" t="s">
        <v>2355</v>
      </c>
      <c r="E535" s="3" t="s">
        <v>2360</v>
      </c>
    </row>
    <row r="536" spans="1:5" x14ac:dyDescent="0.35">
      <c r="A536" s="3" t="s">
        <v>4783</v>
      </c>
      <c r="B536" s="3" t="s">
        <v>1465</v>
      </c>
      <c r="C536" s="3" t="s">
        <v>2364</v>
      </c>
      <c r="D536" s="3" t="s">
        <v>2355</v>
      </c>
      <c r="E536" s="3" t="s">
        <v>2360</v>
      </c>
    </row>
    <row r="537" spans="1:5" x14ac:dyDescent="0.35">
      <c r="A537" s="3" t="s">
        <v>3994</v>
      </c>
      <c r="B537" s="3" t="s">
        <v>1467</v>
      </c>
      <c r="C537" s="3" t="s">
        <v>2364</v>
      </c>
      <c r="D537" s="3" t="s">
        <v>2355</v>
      </c>
      <c r="E537" s="3" t="s">
        <v>2360</v>
      </c>
    </row>
    <row r="538" spans="1:5" x14ac:dyDescent="0.35">
      <c r="A538" s="3" t="s">
        <v>4784</v>
      </c>
      <c r="B538" s="3" t="s">
        <v>1469</v>
      </c>
      <c r="C538" s="3" t="s">
        <v>2357</v>
      </c>
      <c r="D538" s="3" t="s">
        <v>2355</v>
      </c>
      <c r="E538" s="3" t="s">
        <v>2358</v>
      </c>
    </row>
    <row r="539" spans="1:5" x14ac:dyDescent="0.35">
      <c r="A539" s="3" t="s">
        <v>3997</v>
      </c>
      <c r="B539" s="3" t="s">
        <v>1471</v>
      </c>
      <c r="C539" s="3" t="s">
        <v>2357</v>
      </c>
      <c r="D539" s="3" t="s">
        <v>2355</v>
      </c>
      <c r="E539" s="3" t="s">
        <v>2360</v>
      </c>
    </row>
    <row r="540" spans="1:5" x14ac:dyDescent="0.35">
      <c r="A540" s="3" t="s">
        <v>4003</v>
      </c>
      <c r="B540" s="3" t="s">
        <v>1473</v>
      </c>
      <c r="C540" s="3" t="s">
        <v>2357</v>
      </c>
      <c r="D540" s="3" t="s">
        <v>2355</v>
      </c>
      <c r="E540" s="3" t="s">
        <v>2360</v>
      </c>
    </row>
    <row r="541" spans="1:5" x14ac:dyDescent="0.35">
      <c r="A541" s="3" t="s">
        <v>4005</v>
      </c>
      <c r="B541" s="3" t="s">
        <v>1477</v>
      </c>
      <c r="C541" s="3" t="s">
        <v>2357</v>
      </c>
      <c r="D541" s="3" t="s">
        <v>2356</v>
      </c>
      <c r="E541" s="3" t="s">
        <v>2355</v>
      </c>
    </row>
    <row r="542" spans="1:5" x14ac:dyDescent="0.35">
      <c r="A542" s="3" t="s">
        <v>4009</v>
      </c>
      <c r="B542" s="3" t="s">
        <v>1479</v>
      </c>
      <c r="C542" s="3" t="s">
        <v>2357</v>
      </c>
      <c r="D542" s="3" t="s">
        <v>2355</v>
      </c>
      <c r="E542" s="3" t="s">
        <v>2358</v>
      </c>
    </row>
    <row r="543" spans="1:5" x14ac:dyDescent="0.35">
      <c r="A543" s="3" t="s">
        <v>4011</v>
      </c>
      <c r="B543" s="3" t="s">
        <v>1481</v>
      </c>
      <c r="C543" s="3" t="s">
        <v>2357</v>
      </c>
      <c r="D543" s="3" t="s">
        <v>2355</v>
      </c>
      <c r="E543" s="3" t="s">
        <v>2358</v>
      </c>
    </row>
    <row r="544" spans="1:5" x14ac:dyDescent="0.35">
      <c r="A544" s="3" t="s">
        <v>4014</v>
      </c>
      <c r="B544" s="3" t="s">
        <v>1483</v>
      </c>
      <c r="C544" s="3" t="s">
        <v>2357</v>
      </c>
      <c r="D544" s="3" t="s">
        <v>2355</v>
      </c>
      <c r="E544" s="3" t="s">
        <v>2360</v>
      </c>
    </row>
    <row r="545" spans="1:5" x14ac:dyDescent="0.35">
      <c r="A545" s="3" t="s">
        <v>4023</v>
      </c>
      <c r="B545" s="3" t="s">
        <v>1489</v>
      </c>
      <c r="C545" s="3" t="s">
        <v>2357</v>
      </c>
      <c r="D545" s="3" t="s">
        <v>2355</v>
      </c>
      <c r="E545" s="3" t="s">
        <v>2360</v>
      </c>
    </row>
    <row r="546" spans="1:5" x14ac:dyDescent="0.35">
      <c r="A546" s="3" t="s">
        <v>4025</v>
      </c>
      <c r="B546" s="3" t="s">
        <v>1491</v>
      </c>
      <c r="C546" s="3" t="s">
        <v>2357</v>
      </c>
      <c r="D546" s="3" t="s">
        <v>2355</v>
      </c>
      <c r="E546" s="3" t="s">
        <v>2360</v>
      </c>
    </row>
    <row r="547" spans="1:5" x14ac:dyDescent="0.35">
      <c r="A547" s="3" t="s">
        <v>4027</v>
      </c>
      <c r="B547" s="3" t="s">
        <v>1493</v>
      </c>
      <c r="C547" s="3" t="s">
        <v>2361</v>
      </c>
      <c r="D547" s="3" t="s">
        <v>2355</v>
      </c>
      <c r="E547" s="3" t="s">
        <v>2360</v>
      </c>
    </row>
    <row r="548" spans="1:5" x14ac:dyDescent="0.35">
      <c r="A548" s="3" t="s">
        <v>4029</v>
      </c>
      <c r="B548" s="3" t="s">
        <v>1495</v>
      </c>
      <c r="C548" s="3" t="s">
        <v>2357</v>
      </c>
      <c r="D548" s="3" t="s">
        <v>2355</v>
      </c>
      <c r="E548" s="3" t="s">
        <v>2358</v>
      </c>
    </row>
    <row r="549" spans="1:5" x14ac:dyDescent="0.35">
      <c r="A549" s="3" t="s">
        <v>4031</v>
      </c>
      <c r="B549" s="3" t="s">
        <v>1497</v>
      </c>
      <c r="C549" s="3" t="s">
        <v>2357</v>
      </c>
      <c r="D549" s="3" t="s">
        <v>2355</v>
      </c>
      <c r="E549" s="3" t="s">
        <v>2360</v>
      </c>
    </row>
    <row r="550" spans="1:5" x14ac:dyDescent="0.35">
      <c r="A550" s="3" t="s">
        <v>4033</v>
      </c>
      <c r="B550" s="3" t="s">
        <v>1499</v>
      </c>
      <c r="C550" s="3" t="s">
        <v>2357</v>
      </c>
      <c r="D550" s="3" t="s">
        <v>2355</v>
      </c>
      <c r="E550" s="3" t="s">
        <v>2360</v>
      </c>
    </row>
    <row r="551" spans="1:5" x14ac:dyDescent="0.35">
      <c r="A551" s="3" t="s">
        <v>4038</v>
      </c>
      <c r="B551" s="3" t="s">
        <v>1501</v>
      </c>
      <c r="C551" s="3" t="s">
        <v>2357</v>
      </c>
      <c r="D551" s="3" t="s">
        <v>2355</v>
      </c>
      <c r="E551" s="3" t="s">
        <v>2360</v>
      </c>
    </row>
    <row r="552" spans="1:5" x14ac:dyDescent="0.35">
      <c r="A552" s="3" t="s">
        <v>4785</v>
      </c>
      <c r="B552" s="3" t="s">
        <v>1503</v>
      </c>
      <c r="C552" s="3" t="s">
        <v>2353</v>
      </c>
      <c r="D552" s="3" t="s">
        <v>2355</v>
      </c>
      <c r="E552" s="3" t="s">
        <v>2355</v>
      </c>
    </row>
    <row r="553" spans="1:5" x14ac:dyDescent="0.35">
      <c r="A553" s="3" t="s">
        <v>4040</v>
      </c>
      <c r="B553" s="3" t="s">
        <v>1505</v>
      </c>
      <c r="C553" s="3" t="s">
        <v>2353</v>
      </c>
      <c r="D553" s="3" t="s">
        <v>2355</v>
      </c>
      <c r="E553" s="3" t="s">
        <v>2355</v>
      </c>
    </row>
    <row r="554" spans="1:5" x14ac:dyDescent="0.35">
      <c r="A554" s="3" t="s">
        <v>4042</v>
      </c>
      <c r="B554" s="3" t="s">
        <v>1507</v>
      </c>
      <c r="C554" s="3" t="s">
        <v>2357</v>
      </c>
      <c r="D554" s="3" t="s">
        <v>2355</v>
      </c>
      <c r="E554" s="3" t="s">
        <v>2360</v>
      </c>
    </row>
    <row r="555" spans="1:5" x14ac:dyDescent="0.35">
      <c r="A555" s="3" t="s">
        <v>4786</v>
      </c>
      <c r="B555" s="3" t="s">
        <v>1511</v>
      </c>
      <c r="C555" s="3" t="s">
        <v>2357</v>
      </c>
      <c r="D555" s="3" t="s">
        <v>2356</v>
      </c>
      <c r="E555" s="3" t="s">
        <v>2355</v>
      </c>
    </row>
    <row r="556" spans="1:5" x14ac:dyDescent="0.35">
      <c r="A556" s="3" t="s">
        <v>4787</v>
      </c>
      <c r="B556" s="3" t="s">
        <v>1515</v>
      </c>
      <c r="C556" s="3" t="s">
        <v>2353</v>
      </c>
      <c r="D556" s="3" t="s">
        <v>2355</v>
      </c>
      <c r="E556" s="3" t="s">
        <v>2358</v>
      </c>
    </row>
    <row r="557" spans="1:5" x14ac:dyDescent="0.35">
      <c r="A557" s="3" t="s">
        <v>4044</v>
      </c>
      <c r="B557" s="3" t="s">
        <v>1517</v>
      </c>
      <c r="C557" s="3" t="s">
        <v>2357</v>
      </c>
      <c r="D557" s="3" t="s">
        <v>2355</v>
      </c>
      <c r="E557" s="3" t="s">
        <v>2360</v>
      </c>
    </row>
    <row r="558" spans="1:5" x14ac:dyDescent="0.35">
      <c r="A558" s="3" t="s">
        <v>4047</v>
      </c>
      <c r="B558" s="3" t="s">
        <v>1519</v>
      </c>
      <c r="C558" s="3" t="s">
        <v>2364</v>
      </c>
      <c r="D558" s="3" t="s">
        <v>2355</v>
      </c>
      <c r="E558" s="3" t="s">
        <v>2360</v>
      </c>
    </row>
    <row r="559" spans="1:5" x14ac:dyDescent="0.35">
      <c r="A559" s="3" t="s">
        <v>4049</v>
      </c>
      <c r="B559" s="3" t="s">
        <v>1523</v>
      </c>
      <c r="C559" s="3" t="s">
        <v>2364</v>
      </c>
      <c r="D559" s="3" t="s">
        <v>2355</v>
      </c>
      <c r="E559" s="3" t="s">
        <v>2358</v>
      </c>
    </row>
    <row r="560" spans="1:5" x14ac:dyDescent="0.35">
      <c r="A560" s="3" t="s">
        <v>4056</v>
      </c>
      <c r="B560" s="3" t="s">
        <v>1525</v>
      </c>
      <c r="C560" s="3" t="s">
        <v>2364</v>
      </c>
      <c r="D560" s="3" t="s">
        <v>2355</v>
      </c>
      <c r="E560" s="3" t="s">
        <v>2360</v>
      </c>
    </row>
    <row r="561" spans="1:5" x14ac:dyDescent="0.35">
      <c r="A561" s="3" t="s">
        <v>4059</v>
      </c>
      <c r="B561" s="3" t="s">
        <v>1527</v>
      </c>
      <c r="C561" s="3" t="s">
        <v>2364</v>
      </c>
      <c r="D561" s="3" t="s">
        <v>2355</v>
      </c>
      <c r="E561" s="3" t="s">
        <v>2360</v>
      </c>
    </row>
    <row r="562" spans="1:5" x14ac:dyDescent="0.35">
      <c r="A562" s="3" t="s">
        <v>4788</v>
      </c>
      <c r="B562" s="3" t="s">
        <v>1529</v>
      </c>
      <c r="C562" s="3" t="s">
        <v>2364</v>
      </c>
      <c r="D562" s="3" t="s">
        <v>2355</v>
      </c>
      <c r="E562" s="3" t="s">
        <v>2360</v>
      </c>
    </row>
    <row r="563" spans="1:5" x14ac:dyDescent="0.35">
      <c r="A563" s="3" t="s">
        <v>4789</v>
      </c>
      <c r="B563" s="3" t="s">
        <v>1533</v>
      </c>
      <c r="C563" s="3" t="s">
        <v>2364</v>
      </c>
      <c r="D563" s="3" t="s">
        <v>2355</v>
      </c>
      <c r="E563" s="3" t="s">
        <v>2358</v>
      </c>
    </row>
    <row r="564" spans="1:5" x14ac:dyDescent="0.35">
      <c r="A564" s="3" t="s">
        <v>4061</v>
      </c>
      <c r="B564" s="3" t="s">
        <v>1537</v>
      </c>
      <c r="C564" s="3" t="s">
        <v>2357</v>
      </c>
      <c r="D564" s="3" t="s">
        <v>2355</v>
      </c>
      <c r="E564" s="3" t="s">
        <v>2358</v>
      </c>
    </row>
    <row r="565" spans="1:5" x14ac:dyDescent="0.35">
      <c r="A565" s="3" t="s">
        <v>4063</v>
      </c>
      <c r="B565" s="3" t="s">
        <v>1541</v>
      </c>
      <c r="C565" s="3" t="s">
        <v>2357</v>
      </c>
      <c r="D565" s="3" t="s">
        <v>2355</v>
      </c>
      <c r="E565" s="3" t="s">
        <v>2358</v>
      </c>
    </row>
    <row r="566" spans="1:5" x14ac:dyDescent="0.35">
      <c r="A566" s="3" t="s">
        <v>4065</v>
      </c>
      <c r="B566" s="3" t="s">
        <v>1543</v>
      </c>
      <c r="C566" s="3" t="s">
        <v>2357</v>
      </c>
      <c r="D566" s="3" t="s">
        <v>2355</v>
      </c>
      <c r="E566" s="3" t="s">
        <v>2358</v>
      </c>
    </row>
    <row r="567" spans="1:5" x14ac:dyDescent="0.35">
      <c r="A567" s="3" t="s">
        <v>4790</v>
      </c>
      <c r="B567" s="3" t="s">
        <v>1545</v>
      </c>
      <c r="C567" s="3" t="s">
        <v>2357</v>
      </c>
      <c r="D567" s="3" t="s">
        <v>2355</v>
      </c>
      <c r="E567" s="3" t="s">
        <v>2358</v>
      </c>
    </row>
    <row r="568" spans="1:5" x14ac:dyDescent="0.35">
      <c r="A568" s="3" t="s">
        <v>4791</v>
      </c>
      <c r="B568" s="3" t="s">
        <v>1547</v>
      </c>
      <c r="C568" s="3" t="s">
        <v>2357</v>
      </c>
      <c r="D568" s="3" t="s">
        <v>2355</v>
      </c>
      <c r="E568" s="3" t="s">
        <v>2358</v>
      </c>
    </row>
    <row r="569" spans="1:5" x14ac:dyDescent="0.35">
      <c r="A569" s="3" t="s">
        <v>4067</v>
      </c>
      <c r="B569" s="3" t="s">
        <v>1551</v>
      </c>
      <c r="C569" s="3" t="s">
        <v>2357</v>
      </c>
      <c r="D569" s="3" t="s">
        <v>2354</v>
      </c>
      <c r="E569" s="3" t="s">
        <v>2355</v>
      </c>
    </row>
    <row r="570" spans="1:5" x14ac:dyDescent="0.35">
      <c r="A570" s="3" t="s">
        <v>4073</v>
      </c>
      <c r="B570" s="3" t="s">
        <v>1555</v>
      </c>
      <c r="C570" s="3" t="s">
        <v>2357</v>
      </c>
      <c r="D570" s="3" t="s">
        <v>2355</v>
      </c>
      <c r="E570" s="3" t="s">
        <v>2369</v>
      </c>
    </row>
    <row r="571" spans="1:5" x14ac:dyDescent="0.35">
      <c r="A571" s="3" t="s">
        <v>4079</v>
      </c>
      <c r="B571" s="3" t="s">
        <v>1559</v>
      </c>
      <c r="C571" s="3" t="s">
        <v>2357</v>
      </c>
      <c r="D571" s="3" t="s">
        <v>2355</v>
      </c>
      <c r="E571" s="3" t="s">
        <v>2369</v>
      </c>
    </row>
    <row r="572" spans="1:5" x14ac:dyDescent="0.35">
      <c r="A572" s="3" t="s">
        <v>4084</v>
      </c>
      <c r="B572" s="3" t="s">
        <v>1561</v>
      </c>
      <c r="C572" s="3" t="s">
        <v>2357</v>
      </c>
      <c r="D572" s="3" t="s">
        <v>2355</v>
      </c>
      <c r="E572" s="3" t="s">
        <v>2369</v>
      </c>
    </row>
    <row r="573" spans="1:5" x14ac:dyDescent="0.35">
      <c r="A573" s="3" t="s">
        <v>4792</v>
      </c>
      <c r="B573" s="3" t="s">
        <v>1563</v>
      </c>
      <c r="C573" s="3" t="s">
        <v>2357</v>
      </c>
      <c r="D573" s="3" t="s">
        <v>2355</v>
      </c>
      <c r="E573" s="3" t="s">
        <v>2369</v>
      </c>
    </row>
    <row r="574" spans="1:5" x14ac:dyDescent="0.35">
      <c r="A574" s="3" t="s">
        <v>4086</v>
      </c>
      <c r="B574" s="3" t="s">
        <v>1567</v>
      </c>
      <c r="C574" s="3" t="s">
        <v>2364</v>
      </c>
      <c r="D574" s="3" t="s">
        <v>2355</v>
      </c>
      <c r="E574" s="3" t="s">
        <v>2360</v>
      </c>
    </row>
    <row r="575" spans="1:5" x14ac:dyDescent="0.35">
      <c r="A575" s="3" t="s">
        <v>4088</v>
      </c>
      <c r="B575" s="3" t="s">
        <v>1569</v>
      </c>
      <c r="C575" s="3" t="s">
        <v>2364</v>
      </c>
      <c r="D575" s="3" t="s">
        <v>2355</v>
      </c>
      <c r="E575" s="3" t="s">
        <v>2358</v>
      </c>
    </row>
    <row r="576" spans="1:5" x14ac:dyDescent="0.35">
      <c r="A576" s="3" t="s">
        <v>4793</v>
      </c>
      <c r="B576" s="3" t="s">
        <v>1571</v>
      </c>
      <c r="C576" s="3" t="s">
        <v>2364</v>
      </c>
      <c r="D576" s="3" t="s">
        <v>2355</v>
      </c>
      <c r="E576" s="3" t="s">
        <v>2358</v>
      </c>
    </row>
    <row r="577" spans="1:5" x14ac:dyDescent="0.35">
      <c r="A577" s="3" t="s">
        <v>4090</v>
      </c>
      <c r="B577" s="3" t="s">
        <v>1573</v>
      </c>
      <c r="C577" s="3" t="s">
        <v>2364</v>
      </c>
      <c r="D577" s="3" t="s">
        <v>2355</v>
      </c>
      <c r="E577" s="3" t="s">
        <v>2362</v>
      </c>
    </row>
    <row r="578" spans="1:5" x14ac:dyDescent="0.35">
      <c r="A578" s="3" t="s">
        <v>4092</v>
      </c>
      <c r="B578" s="3" t="s">
        <v>1577</v>
      </c>
      <c r="C578" s="3" t="s">
        <v>2364</v>
      </c>
      <c r="D578" s="3" t="s">
        <v>2355</v>
      </c>
      <c r="E578" s="3" t="s">
        <v>2358</v>
      </c>
    </row>
    <row r="579" spans="1:5" x14ac:dyDescent="0.35">
      <c r="A579" s="3" t="s">
        <v>4794</v>
      </c>
      <c r="B579" s="3" t="s">
        <v>1579</v>
      </c>
      <c r="C579" s="3" t="s">
        <v>2357</v>
      </c>
      <c r="D579" s="3" t="s">
        <v>2355</v>
      </c>
      <c r="E579" s="3" t="s">
        <v>2369</v>
      </c>
    </row>
    <row r="580" spans="1:5" x14ac:dyDescent="0.35">
      <c r="A580" s="3" t="s">
        <v>4098</v>
      </c>
      <c r="B580" s="3" t="s">
        <v>1581</v>
      </c>
      <c r="C580" s="3" t="s">
        <v>2364</v>
      </c>
      <c r="D580" s="3" t="s">
        <v>2355</v>
      </c>
      <c r="E580" s="3" t="s">
        <v>2360</v>
      </c>
    </row>
    <row r="581" spans="1:5" x14ac:dyDescent="0.35">
      <c r="A581" s="3" t="s">
        <v>4104</v>
      </c>
      <c r="B581" s="3" t="s">
        <v>1585</v>
      </c>
      <c r="C581" s="3" t="s">
        <v>2357</v>
      </c>
      <c r="D581" s="3" t="s">
        <v>2355</v>
      </c>
      <c r="E581" s="3" t="s">
        <v>2358</v>
      </c>
    </row>
    <row r="582" spans="1:5" x14ac:dyDescent="0.35">
      <c r="A582" s="3" t="s">
        <v>4106</v>
      </c>
      <c r="B582" s="3" t="s">
        <v>1587</v>
      </c>
      <c r="C582" s="3" t="s">
        <v>2357</v>
      </c>
      <c r="D582" s="3" t="s">
        <v>2355</v>
      </c>
      <c r="E582" s="3" t="s">
        <v>2358</v>
      </c>
    </row>
    <row r="583" spans="1:5" x14ac:dyDescent="0.35">
      <c r="A583" s="3" t="s">
        <v>4109</v>
      </c>
      <c r="B583" s="3" t="s">
        <v>1589</v>
      </c>
      <c r="C583" s="3" t="s">
        <v>2357</v>
      </c>
      <c r="D583" s="3" t="s">
        <v>2355</v>
      </c>
      <c r="E583" s="3" t="s">
        <v>2358</v>
      </c>
    </row>
    <row r="584" spans="1:5" x14ac:dyDescent="0.35">
      <c r="A584" s="3" t="s">
        <v>4795</v>
      </c>
      <c r="B584" s="3" t="s">
        <v>1593</v>
      </c>
      <c r="C584" s="3" t="s">
        <v>2364</v>
      </c>
      <c r="D584" s="3" t="s">
        <v>2355</v>
      </c>
      <c r="E584" s="3" t="s">
        <v>2358</v>
      </c>
    </row>
    <row r="585" spans="1:5" x14ac:dyDescent="0.35">
      <c r="A585" s="3" t="s">
        <v>4112</v>
      </c>
      <c r="B585" s="3" t="s">
        <v>1595</v>
      </c>
      <c r="C585" s="3" t="s">
        <v>2364</v>
      </c>
      <c r="D585" s="3" t="s">
        <v>2355</v>
      </c>
      <c r="E585" s="3" t="s">
        <v>2358</v>
      </c>
    </row>
    <row r="586" spans="1:5" x14ac:dyDescent="0.35">
      <c r="A586" s="3" t="s">
        <v>4116</v>
      </c>
      <c r="B586" s="3" t="s">
        <v>1597</v>
      </c>
      <c r="C586" s="3" t="s">
        <v>2357</v>
      </c>
      <c r="D586" s="3" t="s">
        <v>2355</v>
      </c>
      <c r="E586" s="3" t="s">
        <v>2369</v>
      </c>
    </row>
    <row r="587" spans="1:5" x14ac:dyDescent="0.35">
      <c r="A587" s="3" t="s">
        <v>4796</v>
      </c>
      <c r="B587" s="3" t="s">
        <v>1599</v>
      </c>
      <c r="C587" s="3" t="s">
        <v>2357</v>
      </c>
      <c r="D587" s="3" t="s">
        <v>2355</v>
      </c>
      <c r="E587" s="3" t="s">
        <v>2369</v>
      </c>
    </row>
    <row r="588" spans="1:5" x14ac:dyDescent="0.35">
      <c r="A588" s="3" t="s">
        <v>4797</v>
      </c>
      <c r="B588" s="3" t="s">
        <v>1603</v>
      </c>
      <c r="C588" s="3" t="s">
        <v>2364</v>
      </c>
      <c r="D588" s="3" t="s">
        <v>2355</v>
      </c>
      <c r="E588" s="3" t="s">
        <v>2360</v>
      </c>
    </row>
    <row r="589" spans="1:5" x14ac:dyDescent="0.35">
      <c r="A589" s="3" t="s">
        <v>4798</v>
      </c>
      <c r="B589" s="3" t="s">
        <v>1605</v>
      </c>
      <c r="C589" s="3" t="s">
        <v>2357</v>
      </c>
      <c r="D589" s="3" t="s">
        <v>2355</v>
      </c>
      <c r="E589" s="3" t="s">
        <v>2369</v>
      </c>
    </row>
    <row r="590" spans="1:5" x14ac:dyDescent="0.35">
      <c r="A590" s="3" t="s">
        <v>4799</v>
      </c>
      <c r="B590" s="3" t="s">
        <v>1609</v>
      </c>
      <c r="C590" s="3" t="s">
        <v>2364</v>
      </c>
      <c r="D590" s="3" t="s">
        <v>2355</v>
      </c>
      <c r="E590" s="3" t="s">
        <v>2358</v>
      </c>
    </row>
    <row r="591" spans="1:5" x14ac:dyDescent="0.35">
      <c r="A591" s="3" t="s">
        <v>4800</v>
      </c>
      <c r="B591" s="3" t="s">
        <v>1611</v>
      </c>
      <c r="C591" s="3" t="s">
        <v>2364</v>
      </c>
      <c r="D591" s="3" t="s">
        <v>2355</v>
      </c>
      <c r="E591" s="3" t="s">
        <v>2362</v>
      </c>
    </row>
    <row r="592" spans="1:5" x14ac:dyDescent="0.35">
      <c r="A592" s="3" t="s">
        <v>4801</v>
      </c>
      <c r="B592" s="3" t="s">
        <v>1615</v>
      </c>
      <c r="C592" s="3" t="s">
        <v>2364</v>
      </c>
      <c r="D592" s="3" t="s">
        <v>2355</v>
      </c>
      <c r="E592" s="3" t="s">
        <v>2360</v>
      </c>
    </row>
    <row r="593" spans="1:5" x14ac:dyDescent="0.35">
      <c r="A593" s="3" t="s">
        <v>4802</v>
      </c>
      <c r="B593" s="3" t="s">
        <v>1617</v>
      </c>
      <c r="C593" s="3" t="s">
        <v>2357</v>
      </c>
      <c r="D593" s="3" t="s">
        <v>2355</v>
      </c>
      <c r="E593" s="3" t="s">
        <v>2369</v>
      </c>
    </row>
    <row r="594" spans="1:5" x14ac:dyDescent="0.35">
      <c r="A594" s="3" t="s">
        <v>4803</v>
      </c>
      <c r="B594" s="3" t="s">
        <v>1619</v>
      </c>
      <c r="C594" s="3" t="s">
        <v>2364</v>
      </c>
      <c r="D594" s="3" t="s">
        <v>2355</v>
      </c>
      <c r="E594" s="3" t="s">
        <v>2362</v>
      </c>
    </row>
    <row r="595" spans="1:5" x14ac:dyDescent="0.35">
      <c r="A595" s="3" t="s">
        <v>4119</v>
      </c>
      <c r="B595" s="3" t="s">
        <v>1621</v>
      </c>
      <c r="C595" s="3" t="s">
        <v>2357</v>
      </c>
      <c r="D595" s="3" t="s">
        <v>2355</v>
      </c>
      <c r="E595" s="3" t="s">
        <v>2369</v>
      </c>
    </row>
    <row r="596" spans="1:5" x14ac:dyDescent="0.35">
      <c r="A596" s="3" t="s">
        <v>4804</v>
      </c>
      <c r="B596" s="3" t="s">
        <v>1623</v>
      </c>
      <c r="C596" s="3" t="s">
        <v>2364</v>
      </c>
      <c r="D596" s="3" t="s">
        <v>2355</v>
      </c>
      <c r="E596" s="3" t="s">
        <v>2358</v>
      </c>
    </row>
    <row r="597" spans="1:5" x14ac:dyDescent="0.35">
      <c r="A597" s="3" t="s">
        <v>4121</v>
      </c>
      <c r="B597" s="3" t="s">
        <v>1625</v>
      </c>
      <c r="C597" s="3" t="s">
        <v>2357</v>
      </c>
      <c r="D597" s="3" t="s">
        <v>2355</v>
      </c>
      <c r="E597" s="3" t="s">
        <v>2369</v>
      </c>
    </row>
    <row r="598" spans="1:5" x14ac:dyDescent="0.35">
      <c r="A598" s="3" t="s">
        <v>4123</v>
      </c>
      <c r="B598" s="3" t="s">
        <v>1627</v>
      </c>
      <c r="C598" s="3" t="s">
        <v>2357</v>
      </c>
      <c r="D598" s="3" t="s">
        <v>2355</v>
      </c>
      <c r="E598" s="3" t="s">
        <v>2369</v>
      </c>
    </row>
    <row r="599" spans="1:5" x14ac:dyDescent="0.35">
      <c r="A599" s="3" t="s">
        <v>4125</v>
      </c>
      <c r="B599" s="3" t="s">
        <v>1629</v>
      </c>
      <c r="C599" s="3" t="s">
        <v>2357</v>
      </c>
      <c r="D599" s="3" t="s">
        <v>2355</v>
      </c>
      <c r="E599" s="3" t="s">
        <v>2358</v>
      </c>
    </row>
    <row r="600" spans="1:5" x14ac:dyDescent="0.35">
      <c r="A600" s="3" t="s">
        <v>4129</v>
      </c>
      <c r="B600" s="3" t="s">
        <v>1633</v>
      </c>
      <c r="C600" s="3" t="s">
        <v>2364</v>
      </c>
      <c r="D600" s="3" t="s">
        <v>2355</v>
      </c>
      <c r="E600" s="3" t="s">
        <v>2360</v>
      </c>
    </row>
    <row r="601" spans="1:5" x14ac:dyDescent="0.35">
      <c r="A601" s="3" t="s">
        <v>4131</v>
      </c>
      <c r="B601" s="3" t="s">
        <v>1635</v>
      </c>
      <c r="C601" s="3" t="s">
        <v>2364</v>
      </c>
      <c r="D601" s="3" t="s">
        <v>2355</v>
      </c>
      <c r="E601" s="3" t="s">
        <v>2360</v>
      </c>
    </row>
    <row r="602" spans="1:5" x14ac:dyDescent="0.35">
      <c r="A602" s="3" t="s">
        <v>4805</v>
      </c>
      <c r="B602" s="3" t="s">
        <v>1637</v>
      </c>
      <c r="C602" s="3" t="s">
        <v>2357</v>
      </c>
      <c r="D602" s="3" t="s">
        <v>2355</v>
      </c>
      <c r="E602" s="3" t="s">
        <v>2360</v>
      </c>
    </row>
    <row r="603" spans="1:5" x14ac:dyDescent="0.35">
      <c r="A603" s="3" t="s">
        <v>4806</v>
      </c>
      <c r="B603" s="3" t="s">
        <v>1639</v>
      </c>
      <c r="C603" s="3" t="s">
        <v>2364</v>
      </c>
      <c r="D603" s="3" t="s">
        <v>2355</v>
      </c>
      <c r="E603" s="3" t="s">
        <v>2360</v>
      </c>
    </row>
    <row r="604" spans="1:5" x14ac:dyDescent="0.35">
      <c r="A604" s="3" t="s">
        <v>4807</v>
      </c>
      <c r="B604" s="3" t="s">
        <v>1641</v>
      </c>
      <c r="C604" s="3" t="s">
        <v>2357</v>
      </c>
      <c r="D604" s="3" t="s">
        <v>2355</v>
      </c>
      <c r="E604" s="3" t="s">
        <v>2360</v>
      </c>
    </row>
    <row r="605" spans="1:5" x14ac:dyDescent="0.35">
      <c r="A605" s="3" t="s">
        <v>4808</v>
      </c>
      <c r="B605" s="3" t="s">
        <v>1643</v>
      </c>
      <c r="C605" s="3" t="s">
        <v>2364</v>
      </c>
      <c r="D605" s="3" t="s">
        <v>2355</v>
      </c>
      <c r="E605" s="3" t="s">
        <v>2360</v>
      </c>
    </row>
    <row r="606" spans="1:5" x14ac:dyDescent="0.35">
      <c r="A606" s="3" t="s">
        <v>4809</v>
      </c>
      <c r="B606" s="3" t="s">
        <v>1645</v>
      </c>
      <c r="C606" s="3" t="s">
        <v>2364</v>
      </c>
      <c r="D606" s="3" t="s">
        <v>2355</v>
      </c>
      <c r="E606" s="3" t="s">
        <v>2360</v>
      </c>
    </row>
    <row r="607" spans="1:5" x14ac:dyDescent="0.35">
      <c r="A607" s="3" t="s">
        <v>4133</v>
      </c>
      <c r="B607" s="3" t="s">
        <v>1649</v>
      </c>
      <c r="C607" s="3" t="s">
        <v>2357</v>
      </c>
      <c r="D607" s="3" t="s">
        <v>2354</v>
      </c>
      <c r="E607" s="3" t="s">
        <v>2358</v>
      </c>
    </row>
    <row r="608" spans="1:5" x14ac:dyDescent="0.35">
      <c r="A608" s="3" t="s">
        <v>4810</v>
      </c>
      <c r="B608" s="3" t="s">
        <v>1651</v>
      </c>
      <c r="C608" s="3" t="s">
        <v>2357</v>
      </c>
      <c r="D608" s="3" t="s">
        <v>2355</v>
      </c>
      <c r="E608" s="3" t="s">
        <v>2369</v>
      </c>
    </row>
    <row r="609" spans="1:5" x14ac:dyDescent="0.35">
      <c r="A609" s="3" t="s">
        <v>4811</v>
      </c>
      <c r="B609" s="3" t="s">
        <v>1653</v>
      </c>
      <c r="C609" s="3" t="s">
        <v>2364</v>
      </c>
      <c r="D609" s="3" t="s">
        <v>2355</v>
      </c>
      <c r="E609" s="3" t="s">
        <v>2358</v>
      </c>
    </row>
    <row r="610" spans="1:5" x14ac:dyDescent="0.35">
      <c r="A610" s="3" t="s">
        <v>4136</v>
      </c>
      <c r="B610" s="3" t="s">
        <v>1655</v>
      </c>
      <c r="C610" s="3" t="s">
        <v>2357</v>
      </c>
      <c r="D610" s="3" t="s">
        <v>2355</v>
      </c>
      <c r="E610" s="3" t="s">
        <v>2358</v>
      </c>
    </row>
    <row r="611" spans="1:5" x14ac:dyDescent="0.35">
      <c r="A611" s="3" t="s">
        <v>4140</v>
      </c>
      <c r="B611" s="3" t="s">
        <v>1657</v>
      </c>
      <c r="C611" s="3" t="s">
        <v>2357</v>
      </c>
      <c r="D611" s="3" t="s">
        <v>2355</v>
      </c>
      <c r="E611" s="3" t="s">
        <v>2358</v>
      </c>
    </row>
    <row r="612" spans="1:5" x14ac:dyDescent="0.35">
      <c r="A612" s="3" t="s">
        <v>4812</v>
      </c>
      <c r="B612" s="3" t="s">
        <v>1659</v>
      </c>
      <c r="C612" s="3" t="s">
        <v>2357</v>
      </c>
      <c r="D612" s="3" t="s">
        <v>2355</v>
      </c>
      <c r="E612" s="3" t="s">
        <v>2358</v>
      </c>
    </row>
    <row r="613" spans="1:5" x14ac:dyDescent="0.35">
      <c r="A613" s="3" t="s">
        <v>4813</v>
      </c>
      <c r="B613" s="3" t="s">
        <v>1661</v>
      </c>
      <c r="C613" s="3" t="s">
        <v>2357</v>
      </c>
      <c r="D613" s="3" t="s">
        <v>2355</v>
      </c>
      <c r="E613" s="3" t="s">
        <v>2358</v>
      </c>
    </row>
    <row r="614" spans="1:5" x14ac:dyDescent="0.35">
      <c r="A614" s="3" t="s">
        <v>4814</v>
      </c>
      <c r="B614" s="3" t="s">
        <v>1663</v>
      </c>
      <c r="C614" s="3" t="s">
        <v>2357</v>
      </c>
      <c r="D614" s="3" t="s">
        <v>2355</v>
      </c>
      <c r="E614" s="3" t="s">
        <v>2358</v>
      </c>
    </row>
    <row r="615" spans="1:5" x14ac:dyDescent="0.35">
      <c r="A615" s="3" t="s">
        <v>4141</v>
      </c>
      <c r="B615" s="3" t="s">
        <v>1669</v>
      </c>
      <c r="C615" s="3" t="s">
        <v>2364</v>
      </c>
      <c r="D615" s="3" t="s">
        <v>2355</v>
      </c>
      <c r="E615" s="3" t="s">
        <v>2360</v>
      </c>
    </row>
    <row r="616" spans="1:5" x14ac:dyDescent="0.35">
      <c r="A616" s="3" t="s">
        <v>4143</v>
      </c>
      <c r="B616" s="3" t="s">
        <v>1671</v>
      </c>
      <c r="C616" s="3" t="s">
        <v>2364</v>
      </c>
      <c r="D616" s="3" t="s">
        <v>2355</v>
      </c>
      <c r="E616" s="3" t="s">
        <v>2358</v>
      </c>
    </row>
    <row r="617" spans="1:5" x14ac:dyDescent="0.35">
      <c r="A617" s="3" t="s">
        <v>4145</v>
      </c>
      <c r="B617" s="3" t="s">
        <v>1673</v>
      </c>
      <c r="C617" s="3" t="s">
        <v>2364</v>
      </c>
      <c r="D617" s="3" t="s">
        <v>2355</v>
      </c>
      <c r="E617" s="3" t="s">
        <v>2358</v>
      </c>
    </row>
    <row r="618" spans="1:5" x14ac:dyDescent="0.35">
      <c r="A618" s="3" t="s">
        <v>4147</v>
      </c>
      <c r="B618" s="3" t="s">
        <v>1677</v>
      </c>
      <c r="C618" s="3" t="s">
        <v>2357</v>
      </c>
      <c r="D618" s="3" t="s">
        <v>2356</v>
      </c>
      <c r="E618" s="3" t="s">
        <v>2358</v>
      </c>
    </row>
    <row r="619" spans="1:5" x14ac:dyDescent="0.35">
      <c r="A619" s="3" t="s">
        <v>4151</v>
      </c>
      <c r="B619" s="3" t="s">
        <v>1679</v>
      </c>
      <c r="C619" s="3" t="s">
        <v>2357</v>
      </c>
      <c r="D619" s="3" t="s">
        <v>2356</v>
      </c>
      <c r="E619" s="3" t="s">
        <v>2362</v>
      </c>
    </row>
    <row r="620" spans="1:5" x14ac:dyDescent="0.35">
      <c r="A620" s="3" t="s">
        <v>4154</v>
      </c>
      <c r="B620" s="3" t="s">
        <v>1681</v>
      </c>
      <c r="C620" s="3" t="s">
        <v>2357</v>
      </c>
      <c r="D620" s="3" t="s">
        <v>2356</v>
      </c>
      <c r="E620" s="3" t="s">
        <v>2362</v>
      </c>
    </row>
    <row r="621" spans="1:5" x14ac:dyDescent="0.35">
      <c r="A621" s="3" t="s">
        <v>4815</v>
      </c>
      <c r="B621" s="3" t="s">
        <v>1685</v>
      </c>
      <c r="C621" s="3" t="s">
        <v>2364</v>
      </c>
      <c r="D621" s="3" t="s">
        <v>2355</v>
      </c>
      <c r="E621" s="3" t="s">
        <v>2358</v>
      </c>
    </row>
    <row r="622" spans="1:5" x14ac:dyDescent="0.35">
      <c r="A622" s="3" t="s">
        <v>4156</v>
      </c>
      <c r="B622" s="3" t="s">
        <v>1687</v>
      </c>
      <c r="C622" s="3" t="s">
        <v>2357</v>
      </c>
      <c r="D622" s="3" t="s">
        <v>2355</v>
      </c>
      <c r="E622" s="3" t="s">
        <v>2358</v>
      </c>
    </row>
    <row r="623" spans="1:5" x14ac:dyDescent="0.35">
      <c r="A623" s="3" t="s">
        <v>4158</v>
      </c>
      <c r="B623" s="3" t="s">
        <v>1689</v>
      </c>
      <c r="C623" s="3" t="s">
        <v>2364</v>
      </c>
      <c r="D623" s="3" t="s">
        <v>2355</v>
      </c>
      <c r="E623" s="3" t="s">
        <v>2360</v>
      </c>
    </row>
    <row r="624" spans="1:5" x14ac:dyDescent="0.35">
      <c r="A624" s="3" t="s">
        <v>4160</v>
      </c>
      <c r="B624" s="3" t="s">
        <v>1691</v>
      </c>
      <c r="C624" s="3" t="s">
        <v>2364</v>
      </c>
      <c r="D624" s="3" t="s">
        <v>2355</v>
      </c>
      <c r="E624" s="3" t="s">
        <v>2358</v>
      </c>
    </row>
    <row r="625" spans="1:5" x14ac:dyDescent="0.35">
      <c r="A625" s="3" t="s">
        <v>4816</v>
      </c>
      <c r="B625" s="3" t="s">
        <v>1693</v>
      </c>
      <c r="C625" s="3" t="s">
        <v>2364</v>
      </c>
      <c r="D625" s="3" t="s">
        <v>2355</v>
      </c>
      <c r="E625" s="3" t="s">
        <v>2360</v>
      </c>
    </row>
    <row r="626" spans="1:5" x14ac:dyDescent="0.35">
      <c r="A626" s="3" t="s">
        <v>4817</v>
      </c>
      <c r="B626" s="3" t="s">
        <v>1695</v>
      </c>
      <c r="C626" s="3" t="s">
        <v>2364</v>
      </c>
      <c r="D626" s="3" t="s">
        <v>2355</v>
      </c>
      <c r="E626" s="3" t="s">
        <v>2358</v>
      </c>
    </row>
    <row r="627" spans="1:5" x14ac:dyDescent="0.35">
      <c r="A627" s="3" t="s">
        <v>4818</v>
      </c>
      <c r="B627" s="3" t="s">
        <v>1697</v>
      </c>
      <c r="C627" s="3" t="s">
        <v>2357</v>
      </c>
      <c r="D627" s="3" t="s">
        <v>2355</v>
      </c>
      <c r="E627" s="3" t="s">
        <v>2358</v>
      </c>
    </row>
    <row r="628" spans="1:5" x14ac:dyDescent="0.35">
      <c r="A628" s="3" t="s">
        <v>4819</v>
      </c>
      <c r="B628" s="3" t="s">
        <v>1699</v>
      </c>
      <c r="C628" s="3" t="s">
        <v>2357</v>
      </c>
      <c r="D628" s="3" t="s">
        <v>2355</v>
      </c>
      <c r="E628" s="3" t="s">
        <v>2358</v>
      </c>
    </row>
    <row r="629" spans="1:5" x14ac:dyDescent="0.35">
      <c r="A629" s="3" t="s">
        <v>4161</v>
      </c>
      <c r="B629" s="3" t="s">
        <v>1703</v>
      </c>
      <c r="C629" s="3" t="s">
        <v>2357</v>
      </c>
      <c r="D629" s="3" t="s">
        <v>2356</v>
      </c>
      <c r="E629" s="3" t="s">
        <v>2355</v>
      </c>
    </row>
    <row r="630" spans="1:5" x14ac:dyDescent="0.35">
      <c r="A630" s="3" t="s">
        <v>4164</v>
      </c>
      <c r="B630" s="3" t="s">
        <v>1707</v>
      </c>
      <c r="C630" s="3" t="s">
        <v>2365</v>
      </c>
      <c r="D630" s="3" t="s">
        <v>2355</v>
      </c>
      <c r="E630" s="3" t="s">
        <v>2360</v>
      </c>
    </row>
    <row r="631" spans="1:5" x14ac:dyDescent="0.35">
      <c r="A631" s="3" t="s">
        <v>4168</v>
      </c>
      <c r="B631" s="3" t="s">
        <v>1711</v>
      </c>
      <c r="C631" s="3" t="s">
        <v>2361</v>
      </c>
      <c r="D631" s="3" t="s">
        <v>2355</v>
      </c>
      <c r="E631" s="3" t="s">
        <v>2358</v>
      </c>
    </row>
    <row r="632" spans="1:5" x14ac:dyDescent="0.35">
      <c r="A632" s="3" t="s">
        <v>4171</v>
      </c>
      <c r="B632" s="3" t="s">
        <v>1713</v>
      </c>
      <c r="C632" s="3" t="s">
        <v>2363</v>
      </c>
      <c r="D632" s="3" t="s">
        <v>2355</v>
      </c>
      <c r="E632" s="3" t="s">
        <v>2358</v>
      </c>
    </row>
    <row r="633" spans="1:5" x14ac:dyDescent="0.35">
      <c r="A633" s="3" t="s">
        <v>4820</v>
      </c>
      <c r="B633" s="3" t="s">
        <v>1717</v>
      </c>
      <c r="C633" s="3" t="s">
        <v>2361</v>
      </c>
      <c r="D633" s="3" t="s">
        <v>2355</v>
      </c>
      <c r="E633" s="3" t="s">
        <v>2355</v>
      </c>
    </row>
    <row r="634" spans="1:5" x14ac:dyDescent="0.35">
      <c r="A634" s="3" t="s">
        <v>4821</v>
      </c>
      <c r="B634" s="3" t="s">
        <v>1719</v>
      </c>
      <c r="C634" s="3" t="s">
        <v>2357</v>
      </c>
      <c r="D634" s="3" t="s">
        <v>2356</v>
      </c>
      <c r="E634" s="3" t="s">
        <v>2358</v>
      </c>
    </row>
    <row r="635" spans="1:5" x14ac:dyDescent="0.35">
      <c r="A635" s="3" t="s">
        <v>4174</v>
      </c>
      <c r="B635" s="3" t="s">
        <v>1721</v>
      </c>
      <c r="C635" s="3" t="s">
        <v>2363</v>
      </c>
      <c r="D635" s="3" t="s">
        <v>2355</v>
      </c>
      <c r="E635" s="3" t="s">
        <v>2362</v>
      </c>
    </row>
    <row r="636" spans="1:5" x14ac:dyDescent="0.35">
      <c r="A636" s="3" t="s">
        <v>4178</v>
      </c>
      <c r="B636" s="3" t="s">
        <v>1723</v>
      </c>
      <c r="C636" s="3" t="s">
        <v>2363</v>
      </c>
      <c r="D636" s="3" t="s">
        <v>2355</v>
      </c>
      <c r="E636" s="3" t="s">
        <v>2362</v>
      </c>
    </row>
    <row r="637" spans="1:5" x14ac:dyDescent="0.35">
      <c r="A637" s="3" t="s">
        <v>4822</v>
      </c>
      <c r="B637" s="3" t="s">
        <v>1725</v>
      </c>
      <c r="C637" s="3" t="s">
        <v>2363</v>
      </c>
      <c r="D637" s="3" t="s">
        <v>2356</v>
      </c>
      <c r="E637" s="3" t="s">
        <v>2358</v>
      </c>
    </row>
    <row r="638" spans="1:5" x14ac:dyDescent="0.35">
      <c r="A638" s="3" t="s">
        <v>4180</v>
      </c>
      <c r="B638" s="3" t="s">
        <v>1727</v>
      </c>
      <c r="C638" s="3" t="s">
        <v>2357</v>
      </c>
      <c r="D638" s="3" t="s">
        <v>2355</v>
      </c>
      <c r="E638" s="3" t="s">
        <v>2358</v>
      </c>
    </row>
    <row r="639" spans="1:5" x14ac:dyDescent="0.35">
      <c r="A639" s="3" t="s">
        <v>4186</v>
      </c>
      <c r="B639" s="3" t="s">
        <v>1729</v>
      </c>
      <c r="C639" s="3" t="s">
        <v>2363</v>
      </c>
      <c r="D639" s="3" t="s">
        <v>2355</v>
      </c>
      <c r="E639" s="3" t="s">
        <v>2360</v>
      </c>
    </row>
    <row r="640" spans="1:5" x14ac:dyDescent="0.35">
      <c r="A640" s="3" t="s">
        <v>4823</v>
      </c>
      <c r="B640" s="3" t="s">
        <v>1731</v>
      </c>
      <c r="C640" s="3" t="s">
        <v>2357</v>
      </c>
      <c r="D640" s="3" t="s">
        <v>2355</v>
      </c>
      <c r="E640" s="3" t="s">
        <v>2358</v>
      </c>
    </row>
    <row r="641" spans="1:5" x14ac:dyDescent="0.35">
      <c r="A641" s="3" t="s">
        <v>4824</v>
      </c>
      <c r="B641" s="3" t="s">
        <v>1735</v>
      </c>
      <c r="C641" s="3" t="s">
        <v>2363</v>
      </c>
      <c r="D641" s="3" t="s">
        <v>2355</v>
      </c>
      <c r="E641" s="3" t="s">
        <v>2355</v>
      </c>
    </row>
    <row r="642" spans="1:5" x14ac:dyDescent="0.35">
      <c r="A642" s="3" t="s">
        <v>4190</v>
      </c>
      <c r="B642" s="3" t="s">
        <v>1739</v>
      </c>
      <c r="C642" s="3" t="s">
        <v>2357</v>
      </c>
      <c r="D642" s="3" t="s">
        <v>2355</v>
      </c>
      <c r="E642" s="3" t="s">
        <v>2362</v>
      </c>
    </row>
    <row r="643" spans="1:5" x14ac:dyDescent="0.35">
      <c r="A643" s="3" t="s">
        <v>4825</v>
      </c>
      <c r="B643" s="3" t="s">
        <v>1741</v>
      </c>
      <c r="C643" s="3" t="s">
        <v>2357</v>
      </c>
      <c r="D643" s="3" t="s">
        <v>2355</v>
      </c>
      <c r="E643" s="3" t="s">
        <v>2358</v>
      </c>
    </row>
    <row r="644" spans="1:5" x14ac:dyDescent="0.35">
      <c r="A644" s="3" t="s">
        <v>4192</v>
      </c>
      <c r="B644" s="3" t="s">
        <v>1743</v>
      </c>
      <c r="C644" s="3" t="s">
        <v>2363</v>
      </c>
      <c r="D644" s="3" t="s">
        <v>2355</v>
      </c>
      <c r="E644" s="3" t="s">
        <v>2360</v>
      </c>
    </row>
    <row r="645" spans="1:5" x14ac:dyDescent="0.35">
      <c r="A645" s="3" t="s">
        <v>4197</v>
      </c>
      <c r="B645" s="3" t="s">
        <v>1745</v>
      </c>
      <c r="C645" s="3" t="s">
        <v>2357</v>
      </c>
      <c r="D645" s="3" t="s">
        <v>2355</v>
      </c>
      <c r="E645" s="3" t="s">
        <v>2362</v>
      </c>
    </row>
    <row r="646" spans="1:5" x14ac:dyDescent="0.35">
      <c r="A646" s="3" t="s">
        <v>4200</v>
      </c>
      <c r="B646" s="3" t="s">
        <v>1749</v>
      </c>
      <c r="C646" s="3" t="s">
        <v>2357</v>
      </c>
      <c r="D646" s="3" t="s">
        <v>2355</v>
      </c>
      <c r="E646" s="3" t="s">
        <v>2362</v>
      </c>
    </row>
    <row r="647" spans="1:5" x14ac:dyDescent="0.35">
      <c r="A647" s="3" t="s">
        <v>4203</v>
      </c>
      <c r="B647" s="3" t="s">
        <v>1751</v>
      </c>
      <c r="C647" s="3" t="s">
        <v>2357</v>
      </c>
      <c r="D647" s="3" t="s">
        <v>2355</v>
      </c>
      <c r="E647" s="3" t="s">
        <v>2362</v>
      </c>
    </row>
    <row r="648" spans="1:5" x14ac:dyDescent="0.35">
      <c r="A648" s="3" t="s">
        <v>4205</v>
      </c>
      <c r="B648" s="3" t="s">
        <v>1753</v>
      </c>
      <c r="C648" s="3" t="s">
        <v>2357</v>
      </c>
      <c r="D648" s="3" t="s">
        <v>2355</v>
      </c>
      <c r="E648" s="3" t="s">
        <v>2362</v>
      </c>
    </row>
    <row r="649" spans="1:5" x14ac:dyDescent="0.35">
      <c r="A649" s="3" t="s">
        <v>4207</v>
      </c>
      <c r="B649" s="3" t="s">
        <v>1757</v>
      </c>
      <c r="C649" s="3" t="s">
        <v>2357</v>
      </c>
      <c r="D649" s="3" t="s">
        <v>2355</v>
      </c>
      <c r="E649" s="3" t="s">
        <v>2362</v>
      </c>
    </row>
    <row r="650" spans="1:5" x14ac:dyDescent="0.35">
      <c r="A650" s="3" t="s">
        <v>4826</v>
      </c>
      <c r="B650" s="3" t="s">
        <v>1759</v>
      </c>
      <c r="C650" s="3" t="s">
        <v>2363</v>
      </c>
      <c r="D650" s="3" t="s">
        <v>2355</v>
      </c>
      <c r="E650" s="3" t="s">
        <v>2360</v>
      </c>
    </row>
    <row r="651" spans="1:5" x14ac:dyDescent="0.35">
      <c r="A651" s="3" t="s">
        <v>4212</v>
      </c>
      <c r="B651" s="3" t="s">
        <v>1761</v>
      </c>
      <c r="C651" s="3" t="s">
        <v>2357</v>
      </c>
      <c r="D651" s="3" t="s">
        <v>2355</v>
      </c>
      <c r="E651" s="3" t="s">
        <v>2358</v>
      </c>
    </row>
    <row r="652" spans="1:5" x14ac:dyDescent="0.35">
      <c r="A652" s="3" t="s">
        <v>4827</v>
      </c>
      <c r="B652" s="3" t="s">
        <v>1765</v>
      </c>
      <c r="C652" s="3" t="s">
        <v>2357</v>
      </c>
      <c r="D652" s="3" t="s">
        <v>2355</v>
      </c>
      <c r="E652" s="3" t="s">
        <v>2358</v>
      </c>
    </row>
    <row r="653" spans="1:5" x14ac:dyDescent="0.35">
      <c r="A653" s="3" t="s">
        <v>4215</v>
      </c>
      <c r="B653" s="3" t="s">
        <v>1767</v>
      </c>
      <c r="C653" s="3" t="s">
        <v>2357</v>
      </c>
      <c r="D653" s="3" t="s">
        <v>2355</v>
      </c>
      <c r="E653" s="3" t="s">
        <v>2362</v>
      </c>
    </row>
    <row r="654" spans="1:5" x14ac:dyDescent="0.35">
      <c r="A654" s="3" t="s">
        <v>4217</v>
      </c>
      <c r="B654" s="3" t="s">
        <v>1769</v>
      </c>
      <c r="C654" s="3" t="s">
        <v>2357</v>
      </c>
      <c r="D654" s="3" t="s">
        <v>2355</v>
      </c>
      <c r="E654" s="3" t="s">
        <v>2360</v>
      </c>
    </row>
    <row r="655" spans="1:5" x14ac:dyDescent="0.35">
      <c r="A655" s="3" t="s">
        <v>4220</v>
      </c>
      <c r="B655" s="3" t="s">
        <v>1775</v>
      </c>
      <c r="C655" s="3" t="s">
        <v>2357</v>
      </c>
      <c r="D655" s="3" t="s">
        <v>2355</v>
      </c>
      <c r="E655" s="3" t="s">
        <v>2358</v>
      </c>
    </row>
    <row r="656" spans="1:5" x14ac:dyDescent="0.35">
      <c r="A656" s="3" t="s">
        <v>4828</v>
      </c>
      <c r="B656" s="3" t="s">
        <v>1777</v>
      </c>
      <c r="C656" s="3" t="s">
        <v>2357</v>
      </c>
      <c r="D656" s="3" t="s">
        <v>2355</v>
      </c>
      <c r="E656" s="3" t="s">
        <v>2358</v>
      </c>
    </row>
    <row r="657" spans="1:5" x14ac:dyDescent="0.35">
      <c r="A657" s="3" t="s">
        <v>4222</v>
      </c>
      <c r="B657" s="3" t="s">
        <v>1779</v>
      </c>
      <c r="C657" s="3" t="s">
        <v>2363</v>
      </c>
      <c r="D657" s="3" t="s">
        <v>2355</v>
      </c>
      <c r="E657" s="3" t="s">
        <v>2362</v>
      </c>
    </row>
    <row r="658" spans="1:5" x14ac:dyDescent="0.35">
      <c r="A658" s="3" t="s">
        <v>4829</v>
      </c>
      <c r="B658" s="3" t="s">
        <v>1781</v>
      </c>
      <c r="C658" s="3" t="s">
        <v>2357</v>
      </c>
      <c r="D658" s="3" t="s">
        <v>2355</v>
      </c>
      <c r="E658" s="3" t="s">
        <v>2358</v>
      </c>
    </row>
    <row r="659" spans="1:5" x14ac:dyDescent="0.35">
      <c r="A659" s="3" t="s">
        <v>4224</v>
      </c>
      <c r="B659" s="3" t="s">
        <v>1785</v>
      </c>
      <c r="C659" s="3" t="s">
        <v>2357</v>
      </c>
      <c r="D659" s="3" t="s">
        <v>2355</v>
      </c>
      <c r="E659" s="3" t="s">
        <v>2362</v>
      </c>
    </row>
    <row r="660" spans="1:5" x14ac:dyDescent="0.35">
      <c r="A660" s="3" t="s">
        <v>4262</v>
      </c>
      <c r="B660" s="3" t="s">
        <v>1787</v>
      </c>
      <c r="C660" s="3" t="s">
        <v>2357</v>
      </c>
      <c r="D660" s="3" t="s">
        <v>2355</v>
      </c>
      <c r="E660" s="3" t="s">
        <v>2362</v>
      </c>
    </row>
    <row r="661" spans="1:5" x14ac:dyDescent="0.35">
      <c r="A661" s="3" t="s">
        <v>4264</v>
      </c>
      <c r="B661" s="3" t="s">
        <v>1789</v>
      </c>
      <c r="C661" s="3" t="s">
        <v>2357</v>
      </c>
      <c r="D661" s="3" t="s">
        <v>2355</v>
      </c>
      <c r="E661" s="3" t="s">
        <v>2369</v>
      </c>
    </row>
    <row r="662" spans="1:5" x14ac:dyDescent="0.35">
      <c r="A662" s="3" t="s">
        <v>4270</v>
      </c>
      <c r="B662" s="3" t="s">
        <v>1791</v>
      </c>
      <c r="C662" s="3" t="s">
        <v>2357</v>
      </c>
      <c r="D662" s="3" t="s">
        <v>2355</v>
      </c>
      <c r="E662" s="3" t="s">
        <v>2358</v>
      </c>
    </row>
    <row r="663" spans="1:5" x14ac:dyDescent="0.35">
      <c r="A663" s="3" t="s">
        <v>4830</v>
      </c>
      <c r="B663" s="3" t="s">
        <v>1795</v>
      </c>
      <c r="C663" s="3" t="s">
        <v>2357</v>
      </c>
      <c r="D663" s="3" t="s">
        <v>2355</v>
      </c>
      <c r="E663" s="3" t="s">
        <v>2362</v>
      </c>
    </row>
    <row r="664" spans="1:5" x14ac:dyDescent="0.35">
      <c r="A664" s="3" t="s">
        <v>4272</v>
      </c>
      <c r="B664" s="3" t="s">
        <v>1797</v>
      </c>
      <c r="C664" s="3" t="s">
        <v>2357</v>
      </c>
      <c r="D664" s="3" t="s">
        <v>2355</v>
      </c>
      <c r="E664" s="3" t="s">
        <v>2362</v>
      </c>
    </row>
    <row r="665" spans="1:5" x14ac:dyDescent="0.35">
      <c r="A665" s="3" t="s">
        <v>4831</v>
      </c>
      <c r="B665" s="3" t="s">
        <v>1801</v>
      </c>
      <c r="C665" s="3" t="s">
        <v>2357</v>
      </c>
      <c r="D665" s="3" t="s">
        <v>2355</v>
      </c>
      <c r="E665" s="3" t="s">
        <v>2362</v>
      </c>
    </row>
    <row r="666" spans="1:5" x14ac:dyDescent="0.35">
      <c r="A666" s="3" t="s">
        <v>4274</v>
      </c>
      <c r="B666" s="3" t="s">
        <v>1803</v>
      </c>
      <c r="C666" s="3" t="s">
        <v>2361</v>
      </c>
      <c r="D666" s="3" t="s">
        <v>2355</v>
      </c>
      <c r="E666" s="3" t="s">
        <v>2358</v>
      </c>
    </row>
    <row r="667" spans="1:5" x14ac:dyDescent="0.35">
      <c r="A667" s="3" t="s">
        <v>4832</v>
      </c>
      <c r="B667" s="3" t="s">
        <v>1805</v>
      </c>
      <c r="C667" s="3" t="s">
        <v>2357</v>
      </c>
      <c r="D667" s="3" t="s">
        <v>2355</v>
      </c>
      <c r="E667" s="3" t="s">
        <v>2369</v>
      </c>
    </row>
    <row r="668" spans="1:5" x14ac:dyDescent="0.35">
      <c r="A668" s="3" t="s">
        <v>4277</v>
      </c>
      <c r="B668" s="3" t="s">
        <v>1807</v>
      </c>
      <c r="C668" s="3" t="s">
        <v>2357</v>
      </c>
      <c r="D668" s="3" t="s">
        <v>2355</v>
      </c>
      <c r="E668" s="3" t="s">
        <v>2362</v>
      </c>
    </row>
    <row r="669" spans="1:5" x14ac:dyDescent="0.35">
      <c r="A669" s="3" t="s">
        <v>4833</v>
      </c>
      <c r="B669" s="3" t="s">
        <v>1809</v>
      </c>
      <c r="C669" s="3" t="s">
        <v>2357</v>
      </c>
      <c r="D669" s="3" t="s">
        <v>2355</v>
      </c>
      <c r="E669" s="3" t="s">
        <v>2362</v>
      </c>
    </row>
    <row r="670" spans="1:5" x14ac:dyDescent="0.35">
      <c r="A670" s="3" t="s">
        <v>4279</v>
      </c>
      <c r="B670" s="3" t="s">
        <v>1811</v>
      </c>
      <c r="C670" s="3" t="s">
        <v>2357</v>
      </c>
      <c r="D670" s="3" t="s">
        <v>2355</v>
      </c>
      <c r="E670" s="3" t="s">
        <v>2358</v>
      </c>
    </row>
    <row r="671" spans="1:5" x14ac:dyDescent="0.35">
      <c r="A671" s="3" t="s">
        <v>4281</v>
      </c>
      <c r="B671" s="3" t="s">
        <v>1813</v>
      </c>
      <c r="C671" s="3" t="s">
        <v>2363</v>
      </c>
      <c r="D671" s="3" t="s">
        <v>2355</v>
      </c>
      <c r="E671" s="3" t="s">
        <v>2362</v>
      </c>
    </row>
    <row r="672" spans="1:5" x14ac:dyDescent="0.35">
      <c r="A672" s="3" t="s">
        <v>4285</v>
      </c>
      <c r="B672" s="3" t="s">
        <v>1817</v>
      </c>
      <c r="C672" s="3" t="s">
        <v>2357</v>
      </c>
      <c r="D672" s="3" t="s">
        <v>2355</v>
      </c>
      <c r="E672" s="3" t="s">
        <v>2360</v>
      </c>
    </row>
    <row r="673" spans="1:5" x14ac:dyDescent="0.35">
      <c r="A673" s="3" t="s">
        <v>4287</v>
      </c>
      <c r="B673" s="3" t="s">
        <v>1819</v>
      </c>
      <c r="C673" s="3" t="s">
        <v>2363</v>
      </c>
      <c r="D673" s="3" t="s">
        <v>2355</v>
      </c>
      <c r="E673" s="3" t="s">
        <v>2358</v>
      </c>
    </row>
    <row r="674" spans="1:5" x14ac:dyDescent="0.35">
      <c r="A674" s="3" t="s">
        <v>4289</v>
      </c>
      <c r="B674" s="3" t="s">
        <v>1821</v>
      </c>
      <c r="C674" s="3" t="s">
        <v>2357</v>
      </c>
      <c r="D674" s="3" t="s">
        <v>2355</v>
      </c>
      <c r="E674" s="3" t="s">
        <v>2362</v>
      </c>
    </row>
    <row r="675" spans="1:5" x14ac:dyDescent="0.35">
      <c r="A675" s="3" t="s">
        <v>4291</v>
      </c>
      <c r="B675" s="3" t="s">
        <v>1823</v>
      </c>
      <c r="C675" s="3" t="s">
        <v>2357</v>
      </c>
      <c r="D675" s="3" t="s">
        <v>2355</v>
      </c>
      <c r="E675" s="3" t="s">
        <v>2360</v>
      </c>
    </row>
    <row r="676" spans="1:5" x14ac:dyDescent="0.35">
      <c r="A676" s="3" t="s">
        <v>4834</v>
      </c>
      <c r="B676" s="3" t="s">
        <v>1825</v>
      </c>
      <c r="C676" s="3" t="s">
        <v>2357</v>
      </c>
      <c r="D676" s="3" t="s">
        <v>2355</v>
      </c>
      <c r="E676" s="3" t="s">
        <v>2358</v>
      </c>
    </row>
    <row r="677" spans="1:5" x14ac:dyDescent="0.35">
      <c r="A677" s="3" t="s">
        <v>4835</v>
      </c>
      <c r="B677" s="3" t="s">
        <v>1827</v>
      </c>
      <c r="C677" s="3" t="s">
        <v>2357</v>
      </c>
      <c r="D677" s="3" t="s">
        <v>2355</v>
      </c>
      <c r="E677" s="3" t="s">
        <v>2358</v>
      </c>
    </row>
    <row r="678" spans="1:5" x14ac:dyDescent="0.35">
      <c r="A678" s="3" t="s">
        <v>4836</v>
      </c>
      <c r="B678" s="3" t="s">
        <v>1829</v>
      </c>
      <c r="C678" s="3" t="s">
        <v>2357</v>
      </c>
      <c r="D678" s="3" t="s">
        <v>2355</v>
      </c>
      <c r="E678" s="3" t="s">
        <v>2360</v>
      </c>
    </row>
    <row r="679" spans="1:5" x14ac:dyDescent="0.35">
      <c r="A679" s="3" t="s">
        <v>4837</v>
      </c>
      <c r="B679" s="3" t="s">
        <v>1831</v>
      </c>
      <c r="C679" s="3" t="s">
        <v>2357</v>
      </c>
      <c r="D679" s="3" t="s">
        <v>2355</v>
      </c>
      <c r="E679" s="3" t="s">
        <v>2358</v>
      </c>
    </row>
    <row r="680" spans="1:5" x14ac:dyDescent="0.35">
      <c r="A680" s="3" t="s">
        <v>4838</v>
      </c>
      <c r="B680" s="3" t="s">
        <v>1835</v>
      </c>
      <c r="C680" s="3" t="s">
        <v>2357</v>
      </c>
      <c r="D680" s="3" t="s">
        <v>2356</v>
      </c>
      <c r="E680" s="3" t="s">
        <v>2355</v>
      </c>
    </row>
    <row r="681" spans="1:5" x14ac:dyDescent="0.35">
      <c r="A681" s="3" t="s">
        <v>4293</v>
      </c>
      <c r="B681" s="3" t="s">
        <v>1839</v>
      </c>
      <c r="C681" s="3" t="s">
        <v>2357</v>
      </c>
      <c r="D681" s="3" t="s">
        <v>2355</v>
      </c>
      <c r="E681" s="3" t="s">
        <v>2358</v>
      </c>
    </row>
    <row r="682" spans="1:5" x14ac:dyDescent="0.35">
      <c r="A682" s="3" t="s">
        <v>4295</v>
      </c>
      <c r="B682" s="3" t="s">
        <v>1843</v>
      </c>
      <c r="C682" s="3" t="s">
        <v>2357</v>
      </c>
      <c r="D682" s="3" t="s">
        <v>2355</v>
      </c>
      <c r="E682" s="3" t="s">
        <v>2358</v>
      </c>
    </row>
    <row r="683" spans="1:5" x14ac:dyDescent="0.35">
      <c r="A683" s="3" t="s">
        <v>4296</v>
      </c>
      <c r="B683" s="3" t="s">
        <v>1845</v>
      </c>
      <c r="C683" s="3" t="s">
        <v>2357</v>
      </c>
      <c r="D683" s="3" t="s">
        <v>2355</v>
      </c>
      <c r="E683" s="3" t="s">
        <v>2358</v>
      </c>
    </row>
    <row r="684" spans="1:5" x14ac:dyDescent="0.35">
      <c r="A684" s="3" t="s">
        <v>4299</v>
      </c>
      <c r="B684" s="3" t="s">
        <v>1847</v>
      </c>
      <c r="C684" s="3" t="s">
        <v>2357</v>
      </c>
      <c r="D684" s="3" t="s">
        <v>2355</v>
      </c>
      <c r="E684" s="3" t="s">
        <v>2358</v>
      </c>
    </row>
    <row r="685" spans="1:5" x14ac:dyDescent="0.35">
      <c r="A685" s="3" t="s">
        <v>4302</v>
      </c>
      <c r="B685" s="3" t="s">
        <v>1849</v>
      </c>
      <c r="C685" s="3" t="s">
        <v>2357</v>
      </c>
      <c r="D685" s="3" t="s">
        <v>2355</v>
      </c>
      <c r="E685" s="3" t="s">
        <v>2358</v>
      </c>
    </row>
    <row r="686" spans="1:5" x14ac:dyDescent="0.35">
      <c r="A686" s="3" t="s">
        <v>4839</v>
      </c>
      <c r="B686" s="3" t="s">
        <v>1851</v>
      </c>
      <c r="C686" s="3" t="s">
        <v>2357</v>
      </c>
      <c r="D686" s="3" t="s">
        <v>2355</v>
      </c>
      <c r="E686" s="3" t="s">
        <v>2358</v>
      </c>
    </row>
    <row r="687" spans="1:5" x14ac:dyDescent="0.35">
      <c r="A687" s="3" t="s">
        <v>4303</v>
      </c>
      <c r="B687" s="3" t="s">
        <v>1853</v>
      </c>
      <c r="C687" s="3" t="s">
        <v>2357</v>
      </c>
      <c r="D687" s="3" t="s">
        <v>2355</v>
      </c>
      <c r="E687" s="3" t="s">
        <v>2358</v>
      </c>
    </row>
    <row r="688" spans="1:5" x14ac:dyDescent="0.35">
      <c r="A688" s="3" t="s">
        <v>4305</v>
      </c>
      <c r="B688" s="3" t="s">
        <v>1855</v>
      </c>
      <c r="C688" s="3" t="s">
        <v>2357</v>
      </c>
      <c r="D688" s="3" t="s">
        <v>2355</v>
      </c>
      <c r="E688" s="3" t="s">
        <v>2358</v>
      </c>
    </row>
    <row r="689" spans="1:5" x14ac:dyDescent="0.35">
      <c r="A689" s="3" t="s">
        <v>4307</v>
      </c>
      <c r="B689" s="3" t="s">
        <v>1859</v>
      </c>
      <c r="C689" s="3" t="s">
        <v>2364</v>
      </c>
      <c r="D689" s="3" t="s">
        <v>2355</v>
      </c>
      <c r="E689" s="3" t="s">
        <v>2358</v>
      </c>
    </row>
    <row r="690" spans="1:5" x14ac:dyDescent="0.35">
      <c r="A690" s="3" t="s">
        <v>4840</v>
      </c>
      <c r="B690" s="3" t="s">
        <v>1863</v>
      </c>
      <c r="C690" s="3" t="s">
        <v>2364</v>
      </c>
      <c r="D690" s="3" t="s">
        <v>2355</v>
      </c>
      <c r="E690" s="3" t="s">
        <v>2362</v>
      </c>
    </row>
    <row r="691" spans="1:5" x14ac:dyDescent="0.35">
      <c r="A691" s="3" t="s">
        <v>4841</v>
      </c>
      <c r="B691" s="3" t="s">
        <v>1865</v>
      </c>
      <c r="C691" s="3" t="s">
        <v>2364</v>
      </c>
      <c r="D691" s="3" t="s">
        <v>2355</v>
      </c>
      <c r="E691" s="3" t="s">
        <v>2360</v>
      </c>
    </row>
    <row r="692" spans="1:5" x14ac:dyDescent="0.35">
      <c r="A692" s="3" t="s">
        <v>4309</v>
      </c>
      <c r="B692" s="3" t="s">
        <v>1867</v>
      </c>
      <c r="C692" s="3" t="s">
        <v>2364</v>
      </c>
      <c r="D692" s="3" t="s">
        <v>2355</v>
      </c>
      <c r="E692" s="3" t="s">
        <v>2360</v>
      </c>
    </row>
    <row r="693" spans="1:5" x14ac:dyDescent="0.35">
      <c r="A693" s="3" t="s">
        <v>4842</v>
      </c>
      <c r="B693" s="3" t="s">
        <v>1871</v>
      </c>
      <c r="C693" s="3" t="s">
        <v>2364</v>
      </c>
      <c r="D693" s="3" t="s">
        <v>2355</v>
      </c>
      <c r="E693" s="3" t="s">
        <v>2358</v>
      </c>
    </row>
    <row r="694" spans="1:5" x14ac:dyDescent="0.35">
      <c r="A694" s="3" t="s">
        <v>4311</v>
      </c>
      <c r="B694" s="3" t="s">
        <v>1873</v>
      </c>
      <c r="C694" s="3" t="s">
        <v>2357</v>
      </c>
      <c r="D694" s="3" t="s">
        <v>2355</v>
      </c>
      <c r="E694" s="3" t="s">
        <v>2358</v>
      </c>
    </row>
    <row r="695" spans="1:5" x14ac:dyDescent="0.35">
      <c r="A695" s="3" t="s">
        <v>4313</v>
      </c>
      <c r="B695" s="3" t="s">
        <v>1875</v>
      </c>
      <c r="C695" s="3" t="s">
        <v>2357</v>
      </c>
      <c r="D695" s="3" t="s">
        <v>2355</v>
      </c>
      <c r="E695" s="3" t="s">
        <v>2358</v>
      </c>
    </row>
    <row r="696" spans="1:5" x14ac:dyDescent="0.35">
      <c r="A696" s="3" t="s">
        <v>4843</v>
      </c>
      <c r="B696" s="3" t="s">
        <v>1877</v>
      </c>
      <c r="C696" s="3" t="s">
        <v>2364</v>
      </c>
      <c r="D696" s="3" t="s">
        <v>2355</v>
      </c>
      <c r="E696" s="3" t="s">
        <v>2358</v>
      </c>
    </row>
    <row r="697" spans="1:5" x14ac:dyDescent="0.35">
      <c r="A697" s="3" t="s">
        <v>4315</v>
      </c>
      <c r="B697" s="3" t="s">
        <v>1883</v>
      </c>
      <c r="C697" s="3" t="s">
        <v>2357</v>
      </c>
      <c r="D697" s="3" t="s">
        <v>2355</v>
      </c>
      <c r="E697" s="3" t="s">
        <v>2358</v>
      </c>
    </row>
    <row r="698" spans="1:5" x14ac:dyDescent="0.35">
      <c r="A698" s="3" t="s">
        <v>4317</v>
      </c>
      <c r="B698" s="3" t="s">
        <v>1885</v>
      </c>
      <c r="C698" s="3" t="s">
        <v>2357</v>
      </c>
      <c r="D698" s="3" t="s">
        <v>2355</v>
      </c>
      <c r="E698" s="3" t="s">
        <v>2358</v>
      </c>
    </row>
    <row r="699" spans="1:5" x14ac:dyDescent="0.35">
      <c r="A699" s="3" t="s">
        <v>4319</v>
      </c>
      <c r="B699" s="3" t="s">
        <v>1887</v>
      </c>
      <c r="C699" s="3" t="s">
        <v>2357</v>
      </c>
      <c r="D699" s="3" t="s">
        <v>2355</v>
      </c>
      <c r="E699" s="3" t="s">
        <v>2358</v>
      </c>
    </row>
    <row r="700" spans="1:5" x14ac:dyDescent="0.35">
      <c r="A700" s="3" t="s">
        <v>4321</v>
      </c>
      <c r="B700" s="3" t="s">
        <v>1891</v>
      </c>
      <c r="C700" s="3" t="s">
        <v>2357</v>
      </c>
      <c r="D700" s="3" t="s">
        <v>2355</v>
      </c>
      <c r="E700" s="3" t="s">
        <v>2358</v>
      </c>
    </row>
    <row r="701" spans="1:5" x14ac:dyDescent="0.35">
      <c r="A701" s="3" t="s">
        <v>4322</v>
      </c>
      <c r="B701" s="3" t="s">
        <v>1893</v>
      </c>
      <c r="C701" s="3" t="s">
        <v>2357</v>
      </c>
      <c r="D701" s="3" t="s">
        <v>2355</v>
      </c>
      <c r="E701" s="3" t="s">
        <v>2358</v>
      </c>
    </row>
    <row r="702" spans="1:5" x14ac:dyDescent="0.35">
      <c r="A702" s="3" t="s">
        <v>4324</v>
      </c>
      <c r="B702" s="3" t="s">
        <v>1895</v>
      </c>
      <c r="C702" s="3" t="s">
        <v>2357</v>
      </c>
      <c r="D702" s="3" t="s">
        <v>2355</v>
      </c>
      <c r="E702" s="3" t="s">
        <v>2358</v>
      </c>
    </row>
    <row r="703" spans="1:5" x14ac:dyDescent="0.35">
      <c r="A703" s="3" t="s">
        <v>4325</v>
      </c>
      <c r="B703" s="3" t="s">
        <v>1897</v>
      </c>
      <c r="C703" s="3" t="s">
        <v>2357</v>
      </c>
      <c r="D703" s="3" t="s">
        <v>2355</v>
      </c>
      <c r="E703" s="3" t="s">
        <v>2358</v>
      </c>
    </row>
    <row r="704" spans="1:5" x14ac:dyDescent="0.35">
      <c r="A704" s="3" t="s">
        <v>4326</v>
      </c>
      <c r="B704" s="3" t="s">
        <v>1899</v>
      </c>
      <c r="C704" s="3" t="s">
        <v>2357</v>
      </c>
      <c r="D704" s="3" t="s">
        <v>2355</v>
      </c>
      <c r="E704" s="3" t="s">
        <v>2358</v>
      </c>
    </row>
    <row r="705" spans="1:5" x14ac:dyDescent="0.35">
      <c r="A705" s="3" t="s">
        <v>4844</v>
      </c>
      <c r="B705" s="3" t="s">
        <v>1901</v>
      </c>
      <c r="C705" s="3" t="s">
        <v>2357</v>
      </c>
      <c r="D705" s="3" t="s">
        <v>2355</v>
      </c>
      <c r="E705" s="3" t="s">
        <v>2362</v>
      </c>
    </row>
    <row r="706" spans="1:5" x14ac:dyDescent="0.35">
      <c r="A706" s="3" t="s">
        <v>4328</v>
      </c>
      <c r="B706" s="3" t="s">
        <v>1905</v>
      </c>
      <c r="C706" s="3" t="s">
        <v>2357</v>
      </c>
      <c r="D706" s="3" t="s">
        <v>2355</v>
      </c>
      <c r="E706" s="3" t="s">
        <v>2358</v>
      </c>
    </row>
    <row r="707" spans="1:5" x14ac:dyDescent="0.35">
      <c r="A707" s="3" t="s">
        <v>4330</v>
      </c>
      <c r="B707" s="3" t="s">
        <v>1907</v>
      </c>
      <c r="C707" s="3" t="s">
        <v>2357</v>
      </c>
      <c r="D707" s="3" t="s">
        <v>2355</v>
      </c>
      <c r="E707" s="3" t="s">
        <v>2358</v>
      </c>
    </row>
    <row r="708" spans="1:5" x14ac:dyDescent="0.35">
      <c r="A708" s="3" t="s">
        <v>4332</v>
      </c>
      <c r="B708" s="3" t="s">
        <v>1911</v>
      </c>
      <c r="C708" s="3" t="s">
        <v>2357</v>
      </c>
      <c r="D708" s="3" t="s">
        <v>2355</v>
      </c>
      <c r="E708" s="3" t="s">
        <v>2358</v>
      </c>
    </row>
    <row r="709" spans="1:5" x14ac:dyDescent="0.35">
      <c r="A709" s="3" t="s">
        <v>4334</v>
      </c>
      <c r="B709" s="3" t="s">
        <v>1913</v>
      </c>
      <c r="C709" s="3" t="s">
        <v>2357</v>
      </c>
      <c r="D709" s="3" t="s">
        <v>2355</v>
      </c>
      <c r="E709" s="3" t="s">
        <v>2358</v>
      </c>
    </row>
    <row r="710" spans="1:5" x14ac:dyDescent="0.35">
      <c r="A710" s="3" t="s">
        <v>4336</v>
      </c>
      <c r="B710" s="3" t="s">
        <v>1917</v>
      </c>
      <c r="C710" s="3" t="s">
        <v>2357</v>
      </c>
      <c r="D710" s="3" t="s">
        <v>2355</v>
      </c>
      <c r="E710" s="3" t="s">
        <v>2358</v>
      </c>
    </row>
    <row r="711" spans="1:5" x14ac:dyDescent="0.35">
      <c r="A711" s="3" t="s">
        <v>4338</v>
      </c>
      <c r="B711" s="3" t="s">
        <v>1919</v>
      </c>
      <c r="C711" s="3" t="s">
        <v>2357</v>
      </c>
      <c r="D711" s="3" t="s">
        <v>2355</v>
      </c>
      <c r="E711" s="3" t="s">
        <v>2358</v>
      </c>
    </row>
    <row r="712" spans="1:5" x14ac:dyDescent="0.35">
      <c r="A712" s="3" t="s">
        <v>4845</v>
      </c>
      <c r="B712" s="3" t="s">
        <v>1921</v>
      </c>
      <c r="C712" s="3" t="s">
        <v>2357</v>
      </c>
      <c r="D712" s="3" t="s">
        <v>2355</v>
      </c>
      <c r="E712" s="3" t="s">
        <v>2358</v>
      </c>
    </row>
    <row r="713" spans="1:5" x14ac:dyDescent="0.35">
      <c r="A713" s="3" t="s">
        <v>4339</v>
      </c>
      <c r="B713" s="3" t="s">
        <v>1923</v>
      </c>
      <c r="C713" s="3" t="s">
        <v>2363</v>
      </c>
      <c r="D713" s="3" t="s">
        <v>2355</v>
      </c>
      <c r="E713" s="3" t="s">
        <v>2362</v>
      </c>
    </row>
    <row r="714" spans="1:5" x14ac:dyDescent="0.35">
      <c r="A714" s="3" t="s">
        <v>4343</v>
      </c>
      <c r="B714" s="3" t="s">
        <v>1927</v>
      </c>
      <c r="C714" s="3" t="s">
        <v>2357</v>
      </c>
      <c r="D714" s="3" t="s">
        <v>2355</v>
      </c>
      <c r="E714" s="3" t="s">
        <v>2358</v>
      </c>
    </row>
    <row r="715" spans="1:5" x14ac:dyDescent="0.35">
      <c r="A715" s="3" t="s">
        <v>4345</v>
      </c>
      <c r="B715" s="3" t="s">
        <v>1929</v>
      </c>
      <c r="C715" s="3" t="s">
        <v>2357</v>
      </c>
      <c r="D715" s="3" t="s">
        <v>2355</v>
      </c>
      <c r="E715" s="3" t="s">
        <v>2358</v>
      </c>
    </row>
    <row r="716" spans="1:5" x14ac:dyDescent="0.35">
      <c r="A716" s="3" t="s">
        <v>4346</v>
      </c>
      <c r="B716" s="3" t="s">
        <v>1933</v>
      </c>
      <c r="C716" s="3" t="s">
        <v>2357</v>
      </c>
      <c r="D716" s="3" t="s">
        <v>2355</v>
      </c>
      <c r="E716" s="3" t="s">
        <v>2358</v>
      </c>
    </row>
    <row r="717" spans="1:5" x14ac:dyDescent="0.35">
      <c r="A717" s="3" t="s">
        <v>4348</v>
      </c>
      <c r="B717" s="3" t="s">
        <v>1935</v>
      </c>
      <c r="C717" s="3" t="s">
        <v>2357</v>
      </c>
      <c r="D717" s="3" t="s">
        <v>2355</v>
      </c>
      <c r="E717" s="3" t="s">
        <v>2358</v>
      </c>
    </row>
    <row r="718" spans="1:5" x14ac:dyDescent="0.35">
      <c r="A718" s="3" t="s">
        <v>4350</v>
      </c>
      <c r="B718" s="3" t="s">
        <v>1937</v>
      </c>
      <c r="C718" s="3" t="s">
        <v>2357</v>
      </c>
      <c r="D718" s="3" t="s">
        <v>2355</v>
      </c>
      <c r="E718" s="3" t="s">
        <v>2358</v>
      </c>
    </row>
    <row r="719" spans="1:5" x14ac:dyDescent="0.35">
      <c r="A719" s="3" t="s">
        <v>4351</v>
      </c>
      <c r="B719" s="3" t="s">
        <v>1939</v>
      </c>
      <c r="C719" s="3" t="s">
        <v>2357</v>
      </c>
      <c r="D719" s="3" t="s">
        <v>2355</v>
      </c>
      <c r="E719" s="3" t="s">
        <v>2358</v>
      </c>
    </row>
    <row r="720" spans="1:5" x14ac:dyDescent="0.35">
      <c r="A720" s="3" t="s">
        <v>4354</v>
      </c>
      <c r="B720" s="3" t="s">
        <v>1941</v>
      </c>
      <c r="C720" s="3" t="s">
        <v>2357</v>
      </c>
      <c r="D720" s="3" t="s">
        <v>2355</v>
      </c>
      <c r="E720" s="3" t="s">
        <v>2358</v>
      </c>
    </row>
    <row r="721" spans="1:5" x14ac:dyDescent="0.35">
      <c r="A721" s="3" t="s">
        <v>4356</v>
      </c>
      <c r="B721" s="3" t="s">
        <v>1945</v>
      </c>
      <c r="C721" s="3" t="s">
        <v>2363</v>
      </c>
      <c r="D721" s="3" t="s">
        <v>2355</v>
      </c>
      <c r="E721" s="3" t="s">
        <v>2355</v>
      </c>
    </row>
    <row r="722" spans="1:5" x14ac:dyDescent="0.35">
      <c r="A722" s="3" t="s">
        <v>4846</v>
      </c>
      <c r="B722" s="3" t="s">
        <v>1947</v>
      </c>
      <c r="C722" s="3" t="s">
        <v>2357</v>
      </c>
      <c r="D722" s="3" t="s">
        <v>2355</v>
      </c>
      <c r="E722" s="3" t="s">
        <v>2358</v>
      </c>
    </row>
    <row r="723" spans="1:5" x14ac:dyDescent="0.35">
      <c r="A723" s="3" t="s">
        <v>4360</v>
      </c>
      <c r="B723" s="3" t="s">
        <v>1949</v>
      </c>
      <c r="C723" s="3" t="s">
        <v>2357</v>
      </c>
      <c r="D723" s="3" t="s">
        <v>2355</v>
      </c>
      <c r="E723" s="3" t="s">
        <v>2358</v>
      </c>
    </row>
    <row r="724" spans="1:5" x14ac:dyDescent="0.35">
      <c r="A724" s="3" t="s">
        <v>4847</v>
      </c>
      <c r="B724" s="3" t="s">
        <v>1953</v>
      </c>
      <c r="C724" s="3" t="s">
        <v>2364</v>
      </c>
      <c r="D724" s="3" t="s">
        <v>2355</v>
      </c>
      <c r="E724" s="3" t="s">
        <v>2360</v>
      </c>
    </row>
    <row r="725" spans="1:5" x14ac:dyDescent="0.35">
      <c r="A725" s="3" t="s">
        <v>4362</v>
      </c>
      <c r="B725" s="3" t="s">
        <v>1955</v>
      </c>
      <c r="C725" s="3" t="s">
        <v>2364</v>
      </c>
      <c r="D725" s="3" t="s">
        <v>2355</v>
      </c>
      <c r="E725" s="3" t="s">
        <v>2360</v>
      </c>
    </row>
    <row r="726" spans="1:5" x14ac:dyDescent="0.35">
      <c r="A726" s="3" t="s">
        <v>4364</v>
      </c>
      <c r="B726" s="3" t="s">
        <v>1957</v>
      </c>
      <c r="C726" s="3" t="s">
        <v>2364</v>
      </c>
      <c r="D726" s="3" t="s">
        <v>2355</v>
      </c>
      <c r="E726" s="3" t="s">
        <v>2360</v>
      </c>
    </row>
    <row r="727" spans="1:5" x14ac:dyDescent="0.35">
      <c r="A727" s="3" t="s">
        <v>4848</v>
      </c>
      <c r="B727" s="3" t="s">
        <v>1961</v>
      </c>
      <c r="C727" s="3" t="s">
        <v>2357</v>
      </c>
      <c r="D727" s="3" t="s">
        <v>2355</v>
      </c>
      <c r="E727" s="3" t="s">
        <v>2358</v>
      </c>
    </row>
    <row r="728" spans="1:5" x14ac:dyDescent="0.35">
      <c r="A728" s="3" t="s">
        <v>4849</v>
      </c>
      <c r="B728" s="3" t="s">
        <v>1963</v>
      </c>
      <c r="C728" s="3" t="s">
        <v>2357</v>
      </c>
      <c r="D728" s="3" t="s">
        <v>2355</v>
      </c>
      <c r="E728" s="3" t="s">
        <v>2360</v>
      </c>
    </row>
    <row r="729" spans="1:5" x14ac:dyDescent="0.35">
      <c r="A729" s="3" t="s">
        <v>4366</v>
      </c>
      <c r="B729" s="3" t="s">
        <v>1967</v>
      </c>
      <c r="C729" s="3" t="s">
        <v>2364</v>
      </c>
      <c r="D729" s="3" t="s">
        <v>2355</v>
      </c>
      <c r="E729" s="3" t="s">
        <v>2358</v>
      </c>
    </row>
    <row r="730" spans="1:5" x14ac:dyDescent="0.35">
      <c r="A730" s="3" t="s">
        <v>4850</v>
      </c>
      <c r="B730" s="3" t="s">
        <v>1969</v>
      </c>
      <c r="C730" s="3" t="s">
        <v>2364</v>
      </c>
      <c r="D730" s="3" t="s">
        <v>2355</v>
      </c>
      <c r="E730" s="3" t="s">
        <v>2358</v>
      </c>
    </row>
    <row r="731" spans="1:5" x14ac:dyDescent="0.35">
      <c r="A731" s="3" t="s">
        <v>4851</v>
      </c>
      <c r="B731" s="3" t="s">
        <v>1973</v>
      </c>
      <c r="C731" s="3" t="s">
        <v>2357</v>
      </c>
      <c r="D731" s="3" t="s">
        <v>2355</v>
      </c>
      <c r="E731" s="3" t="s">
        <v>2360</v>
      </c>
    </row>
    <row r="732" spans="1:5" x14ac:dyDescent="0.35">
      <c r="A732" s="3" t="s">
        <v>4369</v>
      </c>
      <c r="B732" s="3" t="s">
        <v>1975</v>
      </c>
      <c r="C732" s="3" t="s">
        <v>2357</v>
      </c>
      <c r="D732" s="3" t="s">
        <v>2355</v>
      </c>
      <c r="E732" s="3" t="s">
        <v>2358</v>
      </c>
    </row>
    <row r="733" spans="1:5" x14ac:dyDescent="0.35">
      <c r="A733" s="3" t="s">
        <v>4372</v>
      </c>
      <c r="B733" s="3" t="s">
        <v>1977</v>
      </c>
      <c r="C733" s="3" t="s">
        <v>2357</v>
      </c>
      <c r="D733" s="3" t="s">
        <v>2355</v>
      </c>
      <c r="E733" s="3" t="s">
        <v>2360</v>
      </c>
    </row>
    <row r="734" spans="1:5" x14ac:dyDescent="0.35">
      <c r="A734" s="3" t="s">
        <v>4852</v>
      </c>
      <c r="B734" s="3" t="s">
        <v>1979</v>
      </c>
      <c r="C734" s="3" t="s">
        <v>2357</v>
      </c>
      <c r="D734" s="3" t="s">
        <v>2355</v>
      </c>
      <c r="E734" s="3" t="s">
        <v>2358</v>
      </c>
    </row>
    <row r="735" spans="1:5" x14ac:dyDescent="0.35">
      <c r="A735" s="3" t="s">
        <v>4853</v>
      </c>
      <c r="B735" s="3" t="s">
        <v>1983</v>
      </c>
      <c r="C735" s="3" t="s">
        <v>2357</v>
      </c>
      <c r="D735" s="3" t="s">
        <v>2355</v>
      </c>
      <c r="E735" s="3" t="s">
        <v>2358</v>
      </c>
    </row>
    <row r="736" spans="1:5" x14ac:dyDescent="0.35">
      <c r="A736" s="3" t="s">
        <v>4854</v>
      </c>
      <c r="B736" s="3" t="s">
        <v>1985</v>
      </c>
      <c r="C736" s="3" t="s">
        <v>2357</v>
      </c>
      <c r="D736" s="3" t="s">
        <v>2355</v>
      </c>
      <c r="E736" s="3" t="s">
        <v>2358</v>
      </c>
    </row>
    <row r="737" spans="1:5" x14ac:dyDescent="0.35">
      <c r="A737" s="3" t="s">
        <v>4855</v>
      </c>
      <c r="B737" s="3" t="s">
        <v>1987</v>
      </c>
      <c r="C737" s="3" t="s">
        <v>2357</v>
      </c>
      <c r="D737" s="3" t="s">
        <v>2355</v>
      </c>
      <c r="E737" s="3" t="s">
        <v>2358</v>
      </c>
    </row>
    <row r="738" spans="1:5" x14ac:dyDescent="0.35">
      <c r="A738" s="3" t="s">
        <v>4856</v>
      </c>
      <c r="B738" s="3" t="s">
        <v>1989</v>
      </c>
      <c r="C738" s="3" t="s">
        <v>2357</v>
      </c>
      <c r="D738" s="3" t="s">
        <v>2355</v>
      </c>
      <c r="E738" s="3" t="s">
        <v>2360</v>
      </c>
    </row>
    <row r="739" spans="1:5" x14ac:dyDescent="0.35">
      <c r="A739" s="3" t="s">
        <v>4857</v>
      </c>
      <c r="B739" s="3" t="s">
        <v>1993</v>
      </c>
      <c r="C739" s="3" t="s">
        <v>2357</v>
      </c>
      <c r="D739" s="3" t="s">
        <v>2355</v>
      </c>
      <c r="E739" s="3" t="s">
        <v>2358</v>
      </c>
    </row>
    <row r="740" spans="1:5" x14ac:dyDescent="0.35">
      <c r="A740" s="3" t="s">
        <v>4858</v>
      </c>
      <c r="B740" s="3" t="s">
        <v>1995</v>
      </c>
      <c r="C740" s="3" t="s">
        <v>2357</v>
      </c>
      <c r="D740" s="3" t="s">
        <v>2355</v>
      </c>
      <c r="E740" s="3" t="s">
        <v>2360</v>
      </c>
    </row>
    <row r="741" spans="1:5" x14ac:dyDescent="0.35">
      <c r="A741" s="3" t="s">
        <v>4859</v>
      </c>
      <c r="B741" s="3" t="s">
        <v>1999</v>
      </c>
      <c r="C741" s="3" t="s">
        <v>2357</v>
      </c>
      <c r="D741" s="3" t="s">
        <v>2355</v>
      </c>
      <c r="E741" s="3" t="s">
        <v>2358</v>
      </c>
    </row>
    <row r="742" spans="1:5" x14ac:dyDescent="0.35">
      <c r="A742" s="3" t="s">
        <v>4860</v>
      </c>
      <c r="B742" s="3" t="s">
        <v>2001</v>
      </c>
      <c r="C742" s="3" t="s">
        <v>2357</v>
      </c>
      <c r="D742" s="3" t="s">
        <v>2355</v>
      </c>
      <c r="E742" s="3" t="s">
        <v>2358</v>
      </c>
    </row>
    <row r="743" spans="1:5" x14ac:dyDescent="0.35">
      <c r="A743" s="3" t="s">
        <v>4374</v>
      </c>
      <c r="B743" s="3" t="s">
        <v>2005</v>
      </c>
      <c r="C743" s="3" t="s">
        <v>2357</v>
      </c>
      <c r="D743" s="3" t="s">
        <v>2355</v>
      </c>
      <c r="E743" s="3" t="s">
        <v>2358</v>
      </c>
    </row>
    <row r="744" spans="1:5" x14ac:dyDescent="0.35">
      <c r="A744" s="3" t="s">
        <v>4376</v>
      </c>
      <c r="B744" s="3" t="s">
        <v>2007</v>
      </c>
      <c r="C744" s="3" t="s">
        <v>2357</v>
      </c>
      <c r="D744" s="3" t="s">
        <v>2355</v>
      </c>
      <c r="E744" s="3" t="s">
        <v>2358</v>
      </c>
    </row>
    <row r="745" spans="1:5" x14ac:dyDescent="0.35">
      <c r="A745" s="3" t="s">
        <v>4861</v>
      </c>
      <c r="B745" s="3" t="s">
        <v>2009</v>
      </c>
      <c r="C745" s="3" t="s">
        <v>2357</v>
      </c>
      <c r="D745" s="3" t="s">
        <v>2355</v>
      </c>
      <c r="E745" s="3" t="s">
        <v>2358</v>
      </c>
    </row>
    <row r="746" spans="1:5" x14ac:dyDescent="0.35">
      <c r="A746" s="3" t="s">
        <v>4862</v>
      </c>
      <c r="B746" s="3" t="s">
        <v>2015</v>
      </c>
      <c r="C746" s="3" t="s">
        <v>2357</v>
      </c>
      <c r="D746" s="3" t="s">
        <v>2355</v>
      </c>
      <c r="E746" s="3" t="s">
        <v>2362</v>
      </c>
    </row>
    <row r="747" spans="1:5" x14ac:dyDescent="0.35">
      <c r="A747" s="3" t="s">
        <v>4377</v>
      </c>
      <c r="B747" s="3" t="s">
        <v>2017</v>
      </c>
      <c r="C747" s="3" t="s">
        <v>2357</v>
      </c>
      <c r="D747" s="3" t="s">
        <v>2355</v>
      </c>
      <c r="E747" s="3" t="s">
        <v>2362</v>
      </c>
    </row>
    <row r="748" spans="1:5" x14ac:dyDescent="0.35">
      <c r="A748" s="3" t="s">
        <v>4379</v>
      </c>
      <c r="B748" s="3" t="s">
        <v>2019</v>
      </c>
      <c r="C748" s="3" t="s">
        <v>2357</v>
      </c>
      <c r="D748" s="3" t="s">
        <v>2355</v>
      </c>
      <c r="E748" s="3" t="s">
        <v>2362</v>
      </c>
    </row>
    <row r="749" spans="1:5" x14ac:dyDescent="0.35">
      <c r="A749" s="3" t="s">
        <v>4863</v>
      </c>
      <c r="B749" s="3" t="s">
        <v>2021</v>
      </c>
      <c r="C749" s="3" t="s">
        <v>2357</v>
      </c>
      <c r="D749" s="3" t="s">
        <v>2355</v>
      </c>
      <c r="E749" s="3" t="s">
        <v>2362</v>
      </c>
    </row>
    <row r="750" spans="1:5" x14ac:dyDescent="0.35">
      <c r="A750" s="3" t="s">
        <v>4382</v>
      </c>
      <c r="B750" s="3" t="s">
        <v>2023</v>
      </c>
      <c r="C750" s="3" t="s">
        <v>2357</v>
      </c>
      <c r="D750" s="3" t="s">
        <v>2355</v>
      </c>
      <c r="E750" s="3" t="s">
        <v>2362</v>
      </c>
    </row>
    <row r="751" spans="1:5" x14ac:dyDescent="0.35">
      <c r="A751" s="3" t="s">
        <v>4383</v>
      </c>
      <c r="B751" s="3" t="s">
        <v>2027</v>
      </c>
      <c r="C751" s="3" t="s">
        <v>2357</v>
      </c>
      <c r="D751" s="3" t="s">
        <v>2355</v>
      </c>
      <c r="E751" s="3" t="s">
        <v>2358</v>
      </c>
    </row>
    <row r="752" spans="1:5" x14ac:dyDescent="0.35">
      <c r="A752" s="3" t="s">
        <v>4385</v>
      </c>
      <c r="B752" s="3" t="s">
        <v>2029</v>
      </c>
      <c r="C752" s="3" t="s">
        <v>2357</v>
      </c>
      <c r="D752" s="3" t="s">
        <v>2355</v>
      </c>
      <c r="E752" s="3" t="s">
        <v>2362</v>
      </c>
    </row>
    <row r="753" spans="1:5" x14ac:dyDescent="0.35">
      <c r="A753" s="3" t="s">
        <v>4387</v>
      </c>
      <c r="B753" s="3" t="s">
        <v>2031</v>
      </c>
      <c r="C753" s="3" t="s">
        <v>2357</v>
      </c>
      <c r="D753" s="3" t="s">
        <v>2355</v>
      </c>
      <c r="E753" s="3" t="s">
        <v>2358</v>
      </c>
    </row>
    <row r="754" spans="1:5" x14ac:dyDescent="0.35">
      <c r="A754" s="3" t="s">
        <v>4864</v>
      </c>
      <c r="B754" s="3" t="s">
        <v>2033</v>
      </c>
      <c r="C754" s="3" t="s">
        <v>2357</v>
      </c>
      <c r="D754" s="3" t="s">
        <v>2355</v>
      </c>
      <c r="E754" s="3" t="s">
        <v>2358</v>
      </c>
    </row>
    <row r="755" spans="1:5" x14ac:dyDescent="0.35">
      <c r="A755" s="3" t="s">
        <v>4390</v>
      </c>
      <c r="B755" s="3" t="s">
        <v>2039</v>
      </c>
      <c r="C755" s="3" t="s">
        <v>2357</v>
      </c>
      <c r="D755" s="3" t="s">
        <v>2355</v>
      </c>
      <c r="E755" s="3" t="s">
        <v>2358</v>
      </c>
    </row>
    <row r="756" spans="1:5" x14ac:dyDescent="0.35">
      <c r="A756" s="3" t="s">
        <v>4394</v>
      </c>
      <c r="B756" s="3" t="s">
        <v>2041</v>
      </c>
      <c r="C756" s="3" t="s">
        <v>2357</v>
      </c>
      <c r="D756" s="3" t="s">
        <v>2355</v>
      </c>
      <c r="E756" s="3" t="s">
        <v>2358</v>
      </c>
    </row>
    <row r="757" spans="1:5" x14ac:dyDescent="0.35">
      <c r="A757" s="3" t="s">
        <v>4397</v>
      </c>
      <c r="B757" s="3" t="s">
        <v>2045</v>
      </c>
      <c r="C757" s="3" t="s">
        <v>2357</v>
      </c>
      <c r="D757" s="3" t="s">
        <v>2355</v>
      </c>
      <c r="E757" s="3" t="s">
        <v>2358</v>
      </c>
    </row>
    <row r="758" spans="1:5" x14ac:dyDescent="0.35">
      <c r="A758" s="3" t="s">
        <v>4399</v>
      </c>
      <c r="B758" s="3" t="s">
        <v>2047</v>
      </c>
      <c r="C758" s="3" t="s">
        <v>2364</v>
      </c>
      <c r="D758" s="3" t="s">
        <v>2355</v>
      </c>
      <c r="E758" s="3" t="s">
        <v>2358</v>
      </c>
    </row>
    <row r="759" spans="1:5" x14ac:dyDescent="0.35">
      <c r="A759" s="3" t="s">
        <v>4401</v>
      </c>
      <c r="B759" s="3" t="s">
        <v>2049</v>
      </c>
      <c r="C759" s="3" t="s">
        <v>2357</v>
      </c>
      <c r="D759" s="3" t="s">
        <v>2355</v>
      </c>
      <c r="E759" s="3" t="s">
        <v>2358</v>
      </c>
    </row>
    <row r="760" spans="1:5" x14ac:dyDescent="0.35">
      <c r="A760" s="3" t="s">
        <v>4404</v>
      </c>
      <c r="B760" s="3" t="s">
        <v>2053</v>
      </c>
      <c r="C760" s="3" t="s">
        <v>2364</v>
      </c>
      <c r="D760" s="3" t="s">
        <v>2355</v>
      </c>
      <c r="E760" s="3" t="s">
        <v>2360</v>
      </c>
    </row>
    <row r="761" spans="1:5" x14ac:dyDescent="0.35">
      <c r="A761" s="3" t="s">
        <v>4406</v>
      </c>
      <c r="B761" s="3" t="s">
        <v>2055</v>
      </c>
      <c r="C761" s="3" t="s">
        <v>2357</v>
      </c>
      <c r="D761" s="3" t="s">
        <v>2355</v>
      </c>
      <c r="E761" s="3" t="s">
        <v>2358</v>
      </c>
    </row>
    <row r="762" spans="1:5" x14ac:dyDescent="0.35">
      <c r="A762" s="3" t="s">
        <v>4415</v>
      </c>
      <c r="B762" s="3" t="s">
        <v>2057</v>
      </c>
      <c r="C762" s="3" t="s">
        <v>2357</v>
      </c>
      <c r="D762" s="3" t="s">
        <v>2355</v>
      </c>
      <c r="E762" s="3" t="s">
        <v>2358</v>
      </c>
    </row>
    <row r="763" spans="1:5" x14ac:dyDescent="0.35">
      <c r="A763" s="3" t="s">
        <v>4865</v>
      </c>
      <c r="B763" s="3" t="s">
        <v>2059</v>
      </c>
      <c r="C763" s="3" t="s">
        <v>2357</v>
      </c>
      <c r="D763" s="3" t="s">
        <v>2355</v>
      </c>
      <c r="E763" s="3" t="s">
        <v>2358</v>
      </c>
    </row>
    <row r="764" spans="1:5" x14ac:dyDescent="0.35">
      <c r="A764" s="3" t="s">
        <v>4417</v>
      </c>
      <c r="B764" s="3" t="s">
        <v>2061</v>
      </c>
      <c r="C764" s="3" t="s">
        <v>2357</v>
      </c>
      <c r="D764" s="3" t="s">
        <v>2355</v>
      </c>
      <c r="E764" s="3" t="s">
        <v>2358</v>
      </c>
    </row>
    <row r="765" spans="1:5" x14ac:dyDescent="0.35">
      <c r="A765" s="3" t="s">
        <v>4866</v>
      </c>
      <c r="B765" s="3" t="s">
        <v>2063</v>
      </c>
      <c r="C765" s="3" t="s">
        <v>2357</v>
      </c>
      <c r="D765" s="3" t="s">
        <v>2355</v>
      </c>
      <c r="E765" s="3" t="s">
        <v>2362</v>
      </c>
    </row>
    <row r="766" spans="1:5" x14ac:dyDescent="0.35">
      <c r="A766" s="3" t="s">
        <v>4419</v>
      </c>
      <c r="B766" s="3" t="s">
        <v>2067</v>
      </c>
      <c r="C766" s="3" t="s">
        <v>2357</v>
      </c>
      <c r="D766" s="3" t="s">
        <v>2355</v>
      </c>
      <c r="E766" s="3" t="s">
        <v>2358</v>
      </c>
    </row>
    <row r="767" spans="1:5" x14ac:dyDescent="0.35">
      <c r="A767" s="3" t="s">
        <v>4421</v>
      </c>
      <c r="B767" s="3" t="s">
        <v>2069</v>
      </c>
      <c r="C767" s="3" t="s">
        <v>2357</v>
      </c>
      <c r="D767" s="3" t="s">
        <v>2355</v>
      </c>
      <c r="E767" s="3" t="s">
        <v>2358</v>
      </c>
    </row>
    <row r="768" spans="1:5" x14ac:dyDescent="0.35">
      <c r="A768" s="3" t="s">
        <v>4423</v>
      </c>
      <c r="B768" s="3" t="s">
        <v>2071</v>
      </c>
      <c r="C768" s="3" t="s">
        <v>2357</v>
      </c>
      <c r="D768" s="3" t="s">
        <v>2355</v>
      </c>
      <c r="E768" s="3" t="s">
        <v>2358</v>
      </c>
    </row>
    <row r="769" spans="1:5" x14ac:dyDescent="0.35">
      <c r="A769" s="3" t="s">
        <v>4426</v>
      </c>
      <c r="B769" s="3" t="s">
        <v>2073</v>
      </c>
      <c r="C769" s="3" t="s">
        <v>2357</v>
      </c>
      <c r="D769" s="3" t="s">
        <v>2355</v>
      </c>
      <c r="E769" s="3" t="s">
        <v>2358</v>
      </c>
    </row>
    <row r="770" spans="1:5" x14ac:dyDescent="0.35">
      <c r="A770" s="3" t="s">
        <v>4867</v>
      </c>
      <c r="B770" s="3" t="s">
        <v>2077</v>
      </c>
      <c r="C770" s="3" t="s">
        <v>2364</v>
      </c>
      <c r="D770" s="3" t="s">
        <v>2355</v>
      </c>
      <c r="E770" s="3" t="s">
        <v>2358</v>
      </c>
    </row>
    <row r="771" spans="1:5" x14ac:dyDescent="0.35">
      <c r="A771" s="3" t="s">
        <v>4868</v>
      </c>
      <c r="B771" s="3" t="s">
        <v>2079</v>
      </c>
      <c r="C771" s="3" t="s">
        <v>2357</v>
      </c>
      <c r="D771" s="3" t="s">
        <v>2355</v>
      </c>
      <c r="E771" s="3" t="s">
        <v>2358</v>
      </c>
    </row>
    <row r="772" spans="1:5" x14ac:dyDescent="0.35">
      <c r="A772" s="3" t="s">
        <v>4869</v>
      </c>
      <c r="B772" s="3" t="s">
        <v>2081</v>
      </c>
      <c r="C772" s="3" t="s">
        <v>2357</v>
      </c>
      <c r="D772" s="3" t="s">
        <v>2355</v>
      </c>
      <c r="E772" s="3" t="s">
        <v>2358</v>
      </c>
    </row>
    <row r="773" spans="1:5" x14ac:dyDescent="0.35">
      <c r="A773" s="3" t="s">
        <v>4429</v>
      </c>
      <c r="B773" s="3" t="s">
        <v>2083</v>
      </c>
      <c r="C773" s="3" t="s">
        <v>2357</v>
      </c>
      <c r="D773" s="3" t="s">
        <v>2355</v>
      </c>
      <c r="E773" s="3" t="s">
        <v>2360</v>
      </c>
    </row>
    <row r="774" spans="1:5" x14ac:dyDescent="0.35">
      <c r="A774" s="3" t="s">
        <v>4432</v>
      </c>
      <c r="B774" s="3" t="s">
        <v>2087</v>
      </c>
      <c r="C774" s="3" t="s">
        <v>2357</v>
      </c>
      <c r="D774" s="3" t="s">
        <v>2355</v>
      </c>
      <c r="E774" s="3" t="s">
        <v>2358</v>
      </c>
    </row>
    <row r="775" spans="1:5" x14ac:dyDescent="0.35">
      <c r="A775" s="3" t="s">
        <v>4434</v>
      </c>
      <c r="B775" s="3" t="s">
        <v>2089</v>
      </c>
      <c r="C775" s="3" t="s">
        <v>2363</v>
      </c>
      <c r="D775" s="3" t="s">
        <v>2355</v>
      </c>
      <c r="E775" s="3" t="s">
        <v>2358</v>
      </c>
    </row>
    <row r="776" spans="1:5" x14ac:dyDescent="0.35">
      <c r="A776" s="3" t="s">
        <v>4870</v>
      </c>
      <c r="B776" s="3" t="s">
        <v>2093</v>
      </c>
      <c r="C776" s="3" t="s">
        <v>2357</v>
      </c>
      <c r="D776" s="3" t="s">
        <v>2355</v>
      </c>
      <c r="E776" s="3" t="s">
        <v>2358</v>
      </c>
    </row>
    <row r="777" spans="1:5" x14ac:dyDescent="0.35">
      <c r="A777" s="3" t="s">
        <v>4871</v>
      </c>
      <c r="B777" s="3" t="s">
        <v>2095</v>
      </c>
      <c r="C777" s="3" t="s">
        <v>2357</v>
      </c>
      <c r="D777" s="3" t="s">
        <v>2355</v>
      </c>
      <c r="E777" s="3" t="s">
        <v>2358</v>
      </c>
    </row>
    <row r="778" spans="1:5" x14ac:dyDescent="0.35">
      <c r="A778" s="3" t="s">
        <v>4872</v>
      </c>
      <c r="B778" s="3" t="s">
        <v>2097</v>
      </c>
      <c r="C778" s="3" t="s">
        <v>2357</v>
      </c>
      <c r="D778" s="3" t="s">
        <v>2355</v>
      </c>
      <c r="E778" s="3" t="s">
        <v>2358</v>
      </c>
    </row>
    <row r="779" spans="1:5" x14ac:dyDescent="0.35">
      <c r="A779" s="3" t="s">
        <v>4873</v>
      </c>
      <c r="B779" s="3" t="s">
        <v>2099</v>
      </c>
      <c r="C779" s="3" t="s">
        <v>2357</v>
      </c>
      <c r="D779" s="3" t="s">
        <v>2355</v>
      </c>
      <c r="E779" s="3" t="s">
        <v>2358</v>
      </c>
    </row>
    <row r="780" spans="1:5" x14ac:dyDescent="0.35">
      <c r="A780" s="3" t="s">
        <v>4436</v>
      </c>
      <c r="B780" s="3" t="s">
        <v>2101</v>
      </c>
      <c r="C780" s="3" t="s">
        <v>2357</v>
      </c>
      <c r="D780" s="3" t="s">
        <v>2355</v>
      </c>
      <c r="E780" s="3" t="s">
        <v>2362</v>
      </c>
    </row>
    <row r="781" spans="1:5" x14ac:dyDescent="0.35">
      <c r="A781" s="3" t="s">
        <v>4874</v>
      </c>
      <c r="B781" s="3" t="s">
        <v>2103</v>
      </c>
      <c r="C781" s="3" t="s">
        <v>2357</v>
      </c>
      <c r="D781" s="3" t="s">
        <v>2355</v>
      </c>
      <c r="E781" s="3" t="s">
        <v>2358</v>
      </c>
    </row>
    <row r="782" spans="1:5" x14ac:dyDescent="0.35">
      <c r="A782" s="3" t="s">
        <v>4875</v>
      </c>
      <c r="B782" s="3" t="s">
        <v>2105</v>
      </c>
      <c r="C782" s="3" t="s">
        <v>2357</v>
      </c>
      <c r="D782" s="3" t="s">
        <v>2355</v>
      </c>
      <c r="E782" s="3" t="s">
        <v>2358</v>
      </c>
    </row>
    <row r="783" spans="1:5" x14ac:dyDescent="0.35">
      <c r="A783" s="3" t="s">
        <v>4438</v>
      </c>
      <c r="B783" s="3" t="s">
        <v>2107</v>
      </c>
      <c r="C783" s="3" t="s">
        <v>2357</v>
      </c>
      <c r="D783" s="3" t="s">
        <v>2355</v>
      </c>
      <c r="E783" s="3" t="s">
        <v>2360</v>
      </c>
    </row>
    <row r="784" spans="1:5" x14ac:dyDescent="0.35">
      <c r="A784" s="3" t="s">
        <v>4876</v>
      </c>
      <c r="B784" s="3" t="s">
        <v>2109</v>
      </c>
      <c r="C784" s="3" t="s">
        <v>2357</v>
      </c>
      <c r="D784" s="3" t="s">
        <v>2355</v>
      </c>
      <c r="E784" s="3" t="s">
        <v>2358</v>
      </c>
    </row>
    <row r="785" spans="1:5" x14ac:dyDescent="0.35">
      <c r="A785" s="3" t="s">
        <v>4877</v>
      </c>
      <c r="B785" s="3" t="s">
        <v>2113</v>
      </c>
      <c r="C785" s="3" t="s">
        <v>2357</v>
      </c>
      <c r="D785" s="3" t="s">
        <v>2356</v>
      </c>
      <c r="E785" s="3" t="s">
        <v>2355</v>
      </c>
    </row>
    <row r="786" spans="1:5" x14ac:dyDescent="0.35">
      <c r="A786" s="3" t="s">
        <v>4441</v>
      </c>
      <c r="B786" s="3" t="s">
        <v>2115</v>
      </c>
      <c r="C786" s="3" t="s">
        <v>2357</v>
      </c>
      <c r="D786" s="3" t="s">
        <v>2356</v>
      </c>
      <c r="E786" s="3" t="s">
        <v>2355</v>
      </c>
    </row>
    <row r="787" spans="1:5" x14ac:dyDescent="0.35">
      <c r="A787" s="3" t="s">
        <v>4878</v>
      </c>
      <c r="B787" s="3" t="s">
        <v>2121</v>
      </c>
      <c r="C787" s="3" t="s">
        <v>2353</v>
      </c>
      <c r="D787" s="3" t="s">
        <v>2356</v>
      </c>
      <c r="E787" s="3" t="s">
        <v>2358</v>
      </c>
    </row>
    <row r="788" spans="1:5" x14ac:dyDescent="0.35">
      <c r="A788" s="3" t="s">
        <v>4879</v>
      </c>
      <c r="B788" s="3" t="s">
        <v>2123</v>
      </c>
      <c r="C788" s="3" t="s">
        <v>2363</v>
      </c>
      <c r="D788" s="3" t="s">
        <v>2355</v>
      </c>
      <c r="E788" s="3" t="s">
        <v>2358</v>
      </c>
    </row>
    <row r="789" spans="1:5" x14ac:dyDescent="0.35">
      <c r="A789" s="3" t="s">
        <v>4443</v>
      </c>
      <c r="B789" s="3" t="s">
        <v>2127</v>
      </c>
      <c r="C789" s="3" t="s">
        <v>2361</v>
      </c>
      <c r="D789" s="3" t="s">
        <v>2355</v>
      </c>
      <c r="E789" s="3" t="s">
        <v>2362</v>
      </c>
    </row>
    <row r="790" spans="1:5" x14ac:dyDescent="0.35">
      <c r="A790" s="3" t="s">
        <v>4880</v>
      </c>
      <c r="B790" s="3" t="s">
        <v>2129</v>
      </c>
      <c r="C790" s="3" t="s">
        <v>2357</v>
      </c>
      <c r="D790" s="3" t="s">
        <v>2355</v>
      </c>
      <c r="E790" s="3" t="s">
        <v>2362</v>
      </c>
    </row>
    <row r="791" spans="1:5" x14ac:dyDescent="0.35">
      <c r="A791" s="3" t="s">
        <v>4445</v>
      </c>
      <c r="B791" s="3" t="s">
        <v>2131</v>
      </c>
      <c r="C791" s="3" t="s">
        <v>2357</v>
      </c>
      <c r="D791" s="3" t="s">
        <v>2356</v>
      </c>
      <c r="E791" s="3" t="s">
        <v>2358</v>
      </c>
    </row>
    <row r="792" spans="1:5" x14ac:dyDescent="0.35">
      <c r="A792" s="3" t="s">
        <v>4447</v>
      </c>
      <c r="B792" s="3" t="s">
        <v>2135</v>
      </c>
      <c r="C792" s="3" t="s">
        <v>2357</v>
      </c>
      <c r="D792" s="3" t="s">
        <v>2355</v>
      </c>
      <c r="E792" s="3" t="s">
        <v>2358</v>
      </c>
    </row>
    <row r="793" spans="1:5" x14ac:dyDescent="0.35">
      <c r="A793" s="3" t="s">
        <v>4449</v>
      </c>
      <c r="B793" s="3" t="s">
        <v>2139</v>
      </c>
      <c r="C793" s="3" t="s">
        <v>2357</v>
      </c>
      <c r="D793" s="3" t="s">
        <v>2355</v>
      </c>
      <c r="E793" s="3" t="s">
        <v>2360</v>
      </c>
    </row>
    <row r="794" spans="1:5" x14ac:dyDescent="0.35">
      <c r="A794" s="3" t="s">
        <v>4453</v>
      </c>
      <c r="B794" s="3" t="s">
        <v>2141</v>
      </c>
      <c r="C794" s="3" t="s">
        <v>2363</v>
      </c>
      <c r="D794" s="3" t="s">
        <v>2355</v>
      </c>
      <c r="E794" s="3" t="s">
        <v>2360</v>
      </c>
    </row>
    <row r="795" spans="1:5" x14ac:dyDescent="0.35">
      <c r="A795" s="3" t="s">
        <v>4456</v>
      </c>
      <c r="B795" s="3" t="s">
        <v>2143</v>
      </c>
      <c r="C795" s="3" t="s">
        <v>2357</v>
      </c>
      <c r="D795" s="3" t="s">
        <v>2355</v>
      </c>
      <c r="E795" s="3" t="s">
        <v>2360</v>
      </c>
    </row>
    <row r="796" spans="1:5" x14ac:dyDescent="0.35">
      <c r="A796" s="3" t="s">
        <v>4881</v>
      </c>
      <c r="B796" s="3" t="s">
        <v>2147</v>
      </c>
      <c r="C796" s="3" t="s">
        <v>2357</v>
      </c>
      <c r="D796" s="3" t="s">
        <v>2355</v>
      </c>
      <c r="E796" s="3" t="s">
        <v>2360</v>
      </c>
    </row>
    <row r="797" spans="1:5" x14ac:dyDescent="0.35">
      <c r="A797" s="3" t="s">
        <v>4882</v>
      </c>
      <c r="B797" s="3" t="s">
        <v>2149</v>
      </c>
      <c r="C797" s="3" t="s">
        <v>2357</v>
      </c>
      <c r="D797" s="3" t="s">
        <v>2355</v>
      </c>
      <c r="E797" s="3" t="s">
        <v>2358</v>
      </c>
    </row>
    <row r="798" spans="1:5" x14ac:dyDescent="0.35">
      <c r="A798" s="3" t="s">
        <v>4883</v>
      </c>
      <c r="B798" s="3" t="s">
        <v>2151</v>
      </c>
      <c r="C798" s="3" t="s">
        <v>2364</v>
      </c>
      <c r="D798" s="3" t="s">
        <v>2355</v>
      </c>
      <c r="E798" s="3" t="s">
        <v>2360</v>
      </c>
    </row>
    <row r="799" spans="1:5" x14ac:dyDescent="0.35">
      <c r="A799" s="3" t="s">
        <v>4884</v>
      </c>
      <c r="B799" s="3" t="s">
        <v>2153</v>
      </c>
      <c r="C799" s="3" t="s">
        <v>2364</v>
      </c>
      <c r="D799" s="3" t="s">
        <v>2355</v>
      </c>
      <c r="E799" s="3" t="s">
        <v>2360</v>
      </c>
    </row>
    <row r="800" spans="1:5" x14ac:dyDescent="0.35">
      <c r="A800" s="3" t="s">
        <v>4885</v>
      </c>
      <c r="B800" s="3" t="s">
        <v>2155</v>
      </c>
      <c r="C800" s="3" t="s">
        <v>2364</v>
      </c>
      <c r="D800" s="3" t="s">
        <v>2355</v>
      </c>
      <c r="E800" s="3" t="s">
        <v>2360</v>
      </c>
    </row>
    <row r="801" spans="1:5" x14ac:dyDescent="0.35">
      <c r="A801" s="3" t="s">
        <v>4886</v>
      </c>
      <c r="B801" s="3" t="s">
        <v>2161</v>
      </c>
      <c r="C801" s="3" t="s">
        <v>2357</v>
      </c>
      <c r="D801" s="3" t="s">
        <v>2356</v>
      </c>
      <c r="E801" s="3" t="s">
        <v>2358</v>
      </c>
    </row>
    <row r="802" spans="1:5" x14ac:dyDescent="0.35">
      <c r="A802" s="3" t="s">
        <v>4887</v>
      </c>
      <c r="B802" s="3" t="s">
        <v>2163</v>
      </c>
      <c r="C802" s="3" t="s">
        <v>2357</v>
      </c>
      <c r="D802" s="3" t="s">
        <v>2355</v>
      </c>
      <c r="E802" s="3" t="s">
        <v>2358</v>
      </c>
    </row>
    <row r="803" spans="1:5" x14ac:dyDescent="0.35">
      <c r="A803" s="3" t="s">
        <v>4888</v>
      </c>
      <c r="B803" s="3" t="s">
        <v>2165</v>
      </c>
      <c r="C803" s="3" t="s">
        <v>2357</v>
      </c>
      <c r="D803" s="3" t="s">
        <v>2355</v>
      </c>
      <c r="E803" s="3" t="s">
        <v>2358</v>
      </c>
    </row>
    <row r="804" spans="1:5" x14ac:dyDescent="0.35">
      <c r="A804" s="3" t="s">
        <v>4889</v>
      </c>
      <c r="B804" s="3" t="s">
        <v>2167</v>
      </c>
      <c r="C804" s="3" t="s">
        <v>2357</v>
      </c>
      <c r="D804" s="3" t="s">
        <v>2355</v>
      </c>
      <c r="E804" s="3" t="s">
        <v>2358</v>
      </c>
    </row>
    <row r="805" spans="1:5" x14ac:dyDescent="0.35">
      <c r="A805" s="3" t="s">
        <v>4890</v>
      </c>
      <c r="B805" s="3" t="s">
        <v>2169</v>
      </c>
      <c r="C805" s="3" t="s">
        <v>2357</v>
      </c>
      <c r="D805" s="3" t="s">
        <v>2355</v>
      </c>
      <c r="E805" s="3" t="s">
        <v>2358</v>
      </c>
    </row>
    <row r="806" spans="1:5" x14ac:dyDescent="0.35">
      <c r="A806" s="3" t="s">
        <v>4891</v>
      </c>
      <c r="B806" s="3" t="s">
        <v>2171</v>
      </c>
      <c r="C806" s="3" t="s">
        <v>2357</v>
      </c>
      <c r="D806" s="3" t="s">
        <v>2355</v>
      </c>
      <c r="E806" s="3" t="s">
        <v>2358</v>
      </c>
    </row>
    <row r="807" spans="1:5" x14ac:dyDescent="0.35">
      <c r="A807" s="3" t="s">
        <v>4892</v>
      </c>
      <c r="B807" s="3" t="s">
        <v>2175</v>
      </c>
      <c r="C807" s="3" t="s">
        <v>2364</v>
      </c>
      <c r="D807" s="3" t="s">
        <v>2355</v>
      </c>
      <c r="E807" s="3" t="s">
        <v>2358</v>
      </c>
    </row>
    <row r="808" spans="1:5" x14ac:dyDescent="0.35">
      <c r="A808" s="3" t="s">
        <v>4893</v>
      </c>
      <c r="B808" s="3" t="s">
        <v>2179</v>
      </c>
      <c r="C808" s="3" t="s">
        <v>2363</v>
      </c>
      <c r="D808" s="3" t="s">
        <v>2356</v>
      </c>
      <c r="E808" s="3" t="s">
        <v>2355</v>
      </c>
    </row>
    <row r="809" spans="1:5" x14ac:dyDescent="0.35">
      <c r="A809" s="3" t="s">
        <v>4894</v>
      </c>
      <c r="B809" s="3" t="s">
        <v>2181</v>
      </c>
      <c r="C809" s="3" t="s">
        <v>2363</v>
      </c>
      <c r="D809" s="3" t="s">
        <v>2356</v>
      </c>
      <c r="E809" s="3" t="s">
        <v>2355</v>
      </c>
    </row>
    <row r="810" spans="1:5" x14ac:dyDescent="0.35">
      <c r="A810" s="3" t="s">
        <v>4895</v>
      </c>
      <c r="B810" s="3" t="s">
        <v>2183</v>
      </c>
      <c r="C810" s="3" t="s">
        <v>2363</v>
      </c>
      <c r="D810" s="3" t="s">
        <v>2356</v>
      </c>
      <c r="E810" s="3" t="s">
        <v>2355</v>
      </c>
    </row>
    <row r="811" spans="1:5" x14ac:dyDescent="0.35">
      <c r="A811" s="3" t="s">
        <v>4458</v>
      </c>
      <c r="B811" s="3" t="s">
        <v>2187</v>
      </c>
      <c r="C811" s="3" t="s">
        <v>2357</v>
      </c>
      <c r="D811" s="3" t="s">
        <v>2355</v>
      </c>
      <c r="E811" s="3" t="s">
        <v>2360</v>
      </c>
    </row>
    <row r="812" spans="1:5" x14ac:dyDescent="0.35">
      <c r="A812" s="3" t="s">
        <v>4460</v>
      </c>
      <c r="B812" s="3" t="s">
        <v>2189</v>
      </c>
      <c r="C812" s="3" t="s">
        <v>2364</v>
      </c>
      <c r="D812" s="3" t="s">
        <v>2355</v>
      </c>
      <c r="E812" s="3" t="s">
        <v>2360</v>
      </c>
    </row>
    <row r="813" spans="1:5" x14ac:dyDescent="0.35">
      <c r="A813" s="3" t="s">
        <v>4462</v>
      </c>
      <c r="B813" s="3" t="s">
        <v>2193</v>
      </c>
      <c r="C813" s="3" t="s">
        <v>2364</v>
      </c>
      <c r="D813" s="3" t="s">
        <v>2355</v>
      </c>
      <c r="E813" s="3" t="s">
        <v>2360</v>
      </c>
    </row>
    <row r="814" spans="1:5" x14ac:dyDescent="0.35">
      <c r="A814" s="3" t="s">
        <v>4896</v>
      </c>
      <c r="B814" s="3" t="s">
        <v>2195</v>
      </c>
      <c r="C814" s="3" t="s">
        <v>2357</v>
      </c>
      <c r="D814" s="3" t="s">
        <v>2355</v>
      </c>
      <c r="E814" s="3" t="s">
        <v>2360</v>
      </c>
    </row>
    <row r="815" spans="1:5" x14ac:dyDescent="0.35">
      <c r="A815" s="3" t="s">
        <v>4897</v>
      </c>
      <c r="B815" s="3" t="s">
        <v>2197</v>
      </c>
      <c r="C815" s="3" t="s">
        <v>2357</v>
      </c>
      <c r="D815" s="3" t="s">
        <v>2355</v>
      </c>
      <c r="E815" s="3" t="s">
        <v>2358</v>
      </c>
    </row>
    <row r="816" spans="1:5" x14ac:dyDescent="0.35">
      <c r="A816" s="3" t="s">
        <v>4898</v>
      </c>
      <c r="B816" s="3" t="s">
        <v>2199</v>
      </c>
      <c r="C816" s="3" t="s">
        <v>2357</v>
      </c>
      <c r="D816" s="3" t="s">
        <v>2355</v>
      </c>
      <c r="E816" s="3" t="s">
        <v>2358</v>
      </c>
    </row>
    <row r="817" spans="1:5" x14ac:dyDescent="0.35">
      <c r="A817" s="3" t="s">
        <v>4899</v>
      </c>
      <c r="B817" s="3" t="s">
        <v>2201</v>
      </c>
      <c r="C817" s="3" t="s">
        <v>2357</v>
      </c>
      <c r="D817" s="3" t="s">
        <v>2355</v>
      </c>
      <c r="E817" s="3" t="s">
        <v>2360</v>
      </c>
    </row>
    <row r="818" spans="1:5" x14ac:dyDescent="0.35">
      <c r="A818" s="3" t="s">
        <v>4900</v>
      </c>
      <c r="B818" s="3" t="s">
        <v>2203</v>
      </c>
      <c r="C818" s="3" t="s">
        <v>2357</v>
      </c>
      <c r="D818" s="3" t="s">
        <v>2355</v>
      </c>
      <c r="E818" s="3" t="s">
        <v>2360</v>
      </c>
    </row>
    <row r="819" spans="1:5" x14ac:dyDescent="0.35">
      <c r="A819" s="3" t="s">
        <v>4463</v>
      </c>
      <c r="B819" s="3" t="s">
        <v>2207</v>
      </c>
      <c r="C819" s="3" t="s">
        <v>2364</v>
      </c>
      <c r="D819" s="3" t="s">
        <v>2355</v>
      </c>
      <c r="E819" s="3" t="s">
        <v>2360</v>
      </c>
    </row>
    <row r="820" spans="1:5" x14ac:dyDescent="0.35">
      <c r="A820" s="3" t="s">
        <v>4465</v>
      </c>
      <c r="B820" s="3" t="s">
        <v>2209</v>
      </c>
      <c r="C820" s="3" t="s">
        <v>2357</v>
      </c>
      <c r="D820" s="3" t="s">
        <v>2356</v>
      </c>
      <c r="E820" s="3" t="s">
        <v>2358</v>
      </c>
    </row>
    <row r="821" spans="1:5" x14ac:dyDescent="0.35">
      <c r="A821" s="3" t="s">
        <v>4467</v>
      </c>
      <c r="B821" s="3" t="s">
        <v>2211</v>
      </c>
      <c r="C821" s="3" t="s">
        <v>2357</v>
      </c>
      <c r="D821" s="3" t="s">
        <v>2355</v>
      </c>
      <c r="E821" s="3" t="s">
        <v>2358</v>
      </c>
    </row>
    <row r="822" spans="1:5" x14ac:dyDescent="0.35">
      <c r="A822" s="3" t="s">
        <v>4469</v>
      </c>
      <c r="B822" s="3" t="s">
        <v>2213</v>
      </c>
      <c r="C822" s="3" t="s">
        <v>2364</v>
      </c>
      <c r="D822" s="3" t="s">
        <v>2355</v>
      </c>
      <c r="E822" s="3" t="s">
        <v>2360</v>
      </c>
    </row>
    <row r="823" spans="1:5" x14ac:dyDescent="0.35">
      <c r="A823" s="3" t="s">
        <v>4471</v>
      </c>
      <c r="B823" s="3" t="s">
        <v>2215</v>
      </c>
      <c r="C823" s="3" t="s">
        <v>2364</v>
      </c>
      <c r="D823" s="3" t="s">
        <v>2355</v>
      </c>
      <c r="E823" s="3" t="s">
        <v>2360</v>
      </c>
    </row>
    <row r="824" spans="1:5" x14ac:dyDescent="0.35">
      <c r="A824" s="3" t="s">
        <v>4473</v>
      </c>
      <c r="B824" s="3" t="s">
        <v>2219</v>
      </c>
      <c r="C824" s="3" t="s">
        <v>2364</v>
      </c>
      <c r="D824" s="3" t="s">
        <v>2355</v>
      </c>
      <c r="E824" s="3" t="s">
        <v>2360</v>
      </c>
    </row>
    <row r="825" spans="1:5" x14ac:dyDescent="0.35">
      <c r="A825" s="3" t="s">
        <v>4474</v>
      </c>
      <c r="B825" s="3" t="s">
        <v>2221</v>
      </c>
      <c r="C825" s="3" t="s">
        <v>2364</v>
      </c>
      <c r="D825" s="3" t="s">
        <v>2355</v>
      </c>
      <c r="E825" s="3" t="s">
        <v>2360</v>
      </c>
    </row>
    <row r="826" spans="1:5" x14ac:dyDescent="0.35">
      <c r="A826" s="3" t="s">
        <v>4901</v>
      </c>
      <c r="B826" s="3" t="s">
        <v>2223</v>
      </c>
      <c r="C826" s="3" t="s">
        <v>2364</v>
      </c>
      <c r="D826" s="3" t="s">
        <v>2355</v>
      </c>
      <c r="E826" s="3" t="s">
        <v>2360</v>
      </c>
    </row>
    <row r="827" spans="1:5" x14ac:dyDescent="0.35">
      <c r="A827" s="3" t="s">
        <v>4477</v>
      </c>
      <c r="B827" s="3" t="s">
        <v>2225</v>
      </c>
      <c r="C827" s="3" t="s">
        <v>2364</v>
      </c>
      <c r="D827" s="3" t="s">
        <v>2355</v>
      </c>
      <c r="E827" s="3" t="s">
        <v>2360</v>
      </c>
    </row>
    <row r="828" spans="1:5" x14ac:dyDescent="0.35">
      <c r="A828" s="3" t="s">
        <v>4481</v>
      </c>
      <c r="B828" s="3" t="s">
        <v>2227</v>
      </c>
      <c r="C828" s="3" t="s">
        <v>2357</v>
      </c>
      <c r="D828" s="3" t="s">
        <v>2355</v>
      </c>
      <c r="E828" s="3" t="s">
        <v>2360</v>
      </c>
    </row>
    <row r="829" spans="1:5" x14ac:dyDescent="0.35">
      <c r="A829" s="3" t="s">
        <v>4489</v>
      </c>
      <c r="B829" s="3" t="s">
        <v>2231</v>
      </c>
      <c r="C829" s="3" t="s">
        <v>2357</v>
      </c>
      <c r="D829" s="3" t="s">
        <v>2355</v>
      </c>
      <c r="E829" s="3" t="s">
        <v>2358</v>
      </c>
    </row>
    <row r="830" spans="1:5" x14ac:dyDescent="0.35">
      <c r="A830" s="3" t="s">
        <v>4902</v>
      </c>
      <c r="B830" s="3" t="s">
        <v>2233</v>
      </c>
      <c r="C830" s="3" t="s">
        <v>2357</v>
      </c>
      <c r="D830" s="3" t="s">
        <v>2355</v>
      </c>
      <c r="E830" s="3" t="s">
        <v>2358</v>
      </c>
    </row>
    <row r="831" spans="1:5" x14ac:dyDescent="0.35">
      <c r="A831" s="3" t="s">
        <v>4492</v>
      </c>
      <c r="B831" s="3" t="s">
        <v>2235</v>
      </c>
      <c r="C831" s="3" t="s">
        <v>2357</v>
      </c>
      <c r="D831" s="3" t="s">
        <v>2356</v>
      </c>
      <c r="E831" s="3" t="s">
        <v>2358</v>
      </c>
    </row>
    <row r="832" spans="1:5" x14ac:dyDescent="0.35">
      <c r="A832" s="3" t="s">
        <v>4494</v>
      </c>
      <c r="B832" s="3" t="s">
        <v>2237</v>
      </c>
      <c r="C832" s="3" t="s">
        <v>2364</v>
      </c>
      <c r="D832" s="3" t="s">
        <v>2355</v>
      </c>
      <c r="E832" s="3" t="s">
        <v>2360</v>
      </c>
    </row>
    <row r="833" spans="1:5" x14ac:dyDescent="0.35">
      <c r="A833" s="3" t="s">
        <v>4903</v>
      </c>
      <c r="B833" s="3" t="s">
        <v>2239</v>
      </c>
      <c r="C833" s="3" t="s">
        <v>2364</v>
      </c>
      <c r="D833" s="3" t="s">
        <v>2355</v>
      </c>
      <c r="E833" s="3" t="s">
        <v>2360</v>
      </c>
    </row>
    <row r="834" spans="1:5" x14ac:dyDescent="0.35">
      <c r="A834" s="3" t="s">
        <v>4497</v>
      </c>
      <c r="B834" s="3" t="s">
        <v>2241</v>
      </c>
      <c r="C834" s="3" t="s">
        <v>2364</v>
      </c>
      <c r="D834" s="3" t="s">
        <v>2355</v>
      </c>
      <c r="E834" s="3" t="s">
        <v>2360</v>
      </c>
    </row>
    <row r="835" spans="1:5" x14ac:dyDescent="0.35">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4918</v>
      </c>
    </row>
    <row r="2" spans="1:7" ht="52.5" x14ac:dyDescent="0.35">
      <c r="A2" s="2" t="s">
        <v>0</v>
      </c>
      <c r="B2" s="2" t="s">
        <v>1</v>
      </c>
      <c r="C2" s="2" t="s">
        <v>2</v>
      </c>
      <c r="D2" s="2" t="s">
        <v>3</v>
      </c>
      <c r="E2" s="2" t="s">
        <v>4</v>
      </c>
      <c r="F2" s="2" t="s">
        <v>5</v>
      </c>
      <c r="G2" s="2" t="s">
        <v>4925</v>
      </c>
    </row>
    <row r="3" spans="1:7" x14ac:dyDescent="0.35">
      <c r="A3" s="3" t="s">
        <v>6</v>
      </c>
      <c r="B3" s="3" t="s">
        <v>7</v>
      </c>
      <c r="C3" s="4">
        <v>164482.6</v>
      </c>
      <c r="D3" s="4">
        <v>169148.1</v>
      </c>
      <c r="E3" s="4">
        <v>4665.5</v>
      </c>
      <c r="F3" s="4">
        <v>2.8</v>
      </c>
      <c r="G3" s="5">
        <v>46310</v>
      </c>
    </row>
    <row r="4" spans="1:7" x14ac:dyDescent="0.35">
      <c r="A4" s="3" t="s">
        <v>8</v>
      </c>
      <c r="B4" s="3" t="s">
        <v>9</v>
      </c>
      <c r="C4" s="4">
        <v>12574.7</v>
      </c>
      <c r="D4" s="4">
        <v>13257.7</v>
      </c>
      <c r="E4" s="4">
        <v>683</v>
      </c>
      <c r="F4" s="4">
        <v>5.4</v>
      </c>
      <c r="G4" s="5">
        <v>107360</v>
      </c>
    </row>
    <row r="5" spans="1:7" x14ac:dyDescent="0.35">
      <c r="A5" s="3" t="s">
        <v>10</v>
      </c>
      <c r="B5" s="3" t="s">
        <v>11</v>
      </c>
      <c r="C5" s="4">
        <v>10591.1</v>
      </c>
      <c r="D5" s="4">
        <v>11179.7</v>
      </c>
      <c r="E5" s="4">
        <v>588.6</v>
      </c>
      <c r="F5" s="4">
        <v>5.6</v>
      </c>
      <c r="G5" s="5">
        <v>76850</v>
      </c>
    </row>
    <row r="6" spans="1:7" x14ac:dyDescent="0.35">
      <c r="A6" s="3" t="s">
        <v>12</v>
      </c>
      <c r="B6" s="3" t="s">
        <v>13</v>
      </c>
      <c r="C6" s="4">
        <v>5277.6</v>
      </c>
      <c r="D6" s="4">
        <v>6081.4</v>
      </c>
      <c r="E6" s="4">
        <v>803.8</v>
      </c>
      <c r="F6" s="4">
        <v>15.2</v>
      </c>
      <c r="G6" s="5">
        <v>100440</v>
      </c>
    </row>
    <row r="7" spans="1:7" x14ac:dyDescent="0.35">
      <c r="A7" s="3" t="s">
        <v>14</v>
      </c>
      <c r="B7" s="3" t="s">
        <v>15</v>
      </c>
      <c r="C7" s="4">
        <v>2611.8000000000002</v>
      </c>
      <c r="D7" s="4">
        <v>2746.8</v>
      </c>
      <c r="E7" s="4">
        <v>134.9</v>
      </c>
      <c r="F7" s="4">
        <v>5.2</v>
      </c>
      <c r="G7" s="5">
        <v>83700</v>
      </c>
    </row>
    <row r="8" spans="1:7" x14ac:dyDescent="0.35">
      <c r="A8" s="3" t="s">
        <v>16</v>
      </c>
      <c r="B8" s="3" t="s">
        <v>17</v>
      </c>
      <c r="C8" s="4">
        <v>1473.7</v>
      </c>
      <c r="D8" s="4">
        <v>1563.2</v>
      </c>
      <c r="E8" s="4">
        <v>89.5</v>
      </c>
      <c r="F8" s="4">
        <v>6.1</v>
      </c>
      <c r="G8" s="5">
        <v>74330</v>
      </c>
    </row>
    <row r="9" spans="1:7" x14ac:dyDescent="0.35">
      <c r="A9" s="3" t="s">
        <v>18</v>
      </c>
      <c r="B9" s="3" t="s">
        <v>19</v>
      </c>
      <c r="C9" s="4">
        <v>2936.5</v>
      </c>
      <c r="D9" s="4">
        <v>3164.2</v>
      </c>
      <c r="E9" s="4">
        <v>227.7</v>
      </c>
      <c r="F9" s="4">
        <v>7.8</v>
      </c>
      <c r="G9" s="5">
        <v>49380</v>
      </c>
    </row>
    <row r="10" spans="1:7" x14ac:dyDescent="0.35">
      <c r="A10" s="3" t="s">
        <v>20</v>
      </c>
      <c r="B10" s="3" t="s">
        <v>21</v>
      </c>
      <c r="C10" s="4">
        <v>1362.4</v>
      </c>
      <c r="D10" s="4">
        <v>1442.3</v>
      </c>
      <c r="E10" s="4">
        <v>80</v>
      </c>
      <c r="F10" s="4">
        <v>5.9</v>
      </c>
      <c r="G10" s="5">
        <v>95170</v>
      </c>
    </row>
    <row r="11" spans="1:7" x14ac:dyDescent="0.35">
      <c r="A11" s="3" t="s">
        <v>22</v>
      </c>
      <c r="B11" s="3" t="s">
        <v>23</v>
      </c>
      <c r="C11" s="4">
        <v>9354.1</v>
      </c>
      <c r="D11" s="4">
        <v>9570.6</v>
      </c>
      <c r="E11" s="4">
        <v>216.5</v>
      </c>
      <c r="F11" s="4">
        <v>2.2999999999999998</v>
      </c>
      <c r="G11" s="5">
        <v>57490</v>
      </c>
    </row>
    <row r="12" spans="1:7" x14ac:dyDescent="0.35">
      <c r="A12" s="3" t="s">
        <v>24</v>
      </c>
      <c r="B12" s="3" t="s">
        <v>25</v>
      </c>
      <c r="C12" s="4">
        <v>3071.1</v>
      </c>
      <c r="D12" s="4">
        <v>3187</v>
      </c>
      <c r="E12" s="4">
        <v>115.9</v>
      </c>
      <c r="F12" s="4">
        <v>3.8</v>
      </c>
      <c r="G12" s="5">
        <v>58030</v>
      </c>
    </row>
    <row r="13" spans="1:7" x14ac:dyDescent="0.35">
      <c r="A13" s="3" t="s">
        <v>26</v>
      </c>
      <c r="B13" s="3" t="s">
        <v>27</v>
      </c>
      <c r="C13" s="4">
        <v>9481</v>
      </c>
      <c r="D13" s="4">
        <v>10243.700000000001</v>
      </c>
      <c r="E13" s="4">
        <v>762.7</v>
      </c>
      <c r="F13" s="4">
        <v>8</v>
      </c>
      <c r="G13" s="5">
        <v>77760</v>
      </c>
    </row>
    <row r="14" spans="1:7" x14ac:dyDescent="0.35">
      <c r="A14" s="3" t="s">
        <v>28</v>
      </c>
      <c r="B14" s="3" t="s">
        <v>29</v>
      </c>
      <c r="C14" s="4">
        <v>7144.9</v>
      </c>
      <c r="D14" s="4">
        <v>8245.5</v>
      </c>
      <c r="E14" s="4">
        <v>1100.5999999999999</v>
      </c>
      <c r="F14" s="4">
        <v>15.4</v>
      </c>
      <c r="G14" s="5">
        <v>33600</v>
      </c>
    </row>
    <row r="15" spans="1:7" x14ac:dyDescent="0.35">
      <c r="A15" s="3" t="s">
        <v>30</v>
      </c>
      <c r="B15" s="3" t="s">
        <v>31</v>
      </c>
      <c r="C15" s="4">
        <v>3568.4</v>
      </c>
      <c r="D15" s="4">
        <v>3579.8</v>
      </c>
      <c r="E15" s="4">
        <v>11.4</v>
      </c>
      <c r="F15" s="4">
        <v>0.3</v>
      </c>
      <c r="G15" s="5">
        <v>45450</v>
      </c>
    </row>
    <row r="16" spans="1:7" x14ac:dyDescent="0.35">
      <c r="A16" s="3" t="s">
        <v>32</v>
      </c>
      <c r="B16" s="3" t="s">
        <v>33</v>
      </c>
      <c r="C16" s="4">
        <v>12965.9</v>
      </c>
      <c r="D16" s="4">
        <v>13191.5</v>
      </c>
      <c r="E16" s="4">
        <v>225.6</v>
      </c>
      <c r="F16" s="4">
        <v>1.7</v>
      </c>
      <c r="G16" s="5">
        <v>29640</v>
      </c>
    </row>
    <row r="17" spans="1:7" x14ac:dyDescent="0.35">
      <c r="A17" s="3" t="s">
        <v>34</v>
      </c>
      <c r="B17" s="3" t="s">
        <v>35</v>
      </c>
      <c r="C17" s="4">
        <v>5501.2</v>
      </c>
      <c r="D17" s="4">
        <v>5594.1</v>
      </c>
      <c r="E17" s="4">
        <v>92.9</v>
      </c>
      <c r="F17" s="4">
        <v>1.7</v>
      </c>
      <c r="G17" s="5">
        <v>33870</v>
      </c>
    </row>
    <row r="18" spans="1:7" x14ac:dyDescent="0.35">
      <c r="A18" s="3" t="s">
        <v>36</v>
      </c>
      <c r="B18" s="3" t="s">
        <v>37</v>
      </c>
      <c r="C18" s="4">
        <v>4115.8999999999996</v>
      </c>
      <c r="D18" s="4">
        <v>4365.2</v>
      </c>
      <c r="E18" s="4">
        <v>249.3</v>
      </c>
      <c r="F18" s="4">
        <v>6.1</v>
      </c>
      <c r="G18" s="5">
        <v>31340</v>
      </c>
    </row>
    <row r="19" spans="1:7" x14ac:dyDescent="0.35">
      <c r="A19" s="3" t="s">
        <v>38</v>
      </c>
      <c r="B19" s="3" t="s">
        <v>39</v>
      </c>
      <c r="C19" s="4">
        <v>14476.4</v>
      </c>
      <c r="D19" s="4">
        <v>14102</v>
      </c>
      <c r="E19" s="4">
        <v>-374.5</v>
      </c>
      <c r="F19" s="4">
        <v>-2.6</v>
      </c>
      <c r="G19" s="5">
        <v>35290</v>
      </c>
    </row>
    <row r="20" spans="1:7" x14ac:dyDescent="0.35">
      <c r="A20" s="3" t="s">
        <v>40</v>
      </c>
      <c r="B20" s="3" t="s">
        <v>41</v>
      </c>
      <c r="C20" s="4">
        <v>19891.400000000001</v>
      </c>
      <c r="D20" s="4">
        <v>18663.8</v>
      </c>
      <c r="E20" s="4">
        <v>-1227.5999999999999</v>
      </c>
      <c r="F20" s="4">
        <v>-6.2</v>
      </c>
      <c r="G20" s="5">
        <v>40910</v>
      </c>
    </row>
    <row r="21" spans="1:7" x14ac:dyDescent="0.35">
      <c r="A21" s="3" t="s">
        <v>42</v>
      </c>
      <c r="B21" s="3" t="s">
        <v>43</v>
      </c>
      <c r="C21" s="4">
        <v>996.4</v>
      </c>
      <c r="D21" s="4">
        <v>977.2</v>
      </c>
      <c r="E21" s="4">
        <v>-19.2</v>
      </c>
      <c r="F21" s="4">
        <v>-1.9</v>
      </c>
      <c r="G21" s="5">
        <v>33970</v>
      </c>
    </row>
    <row r="22" spans="1:7" x14ac:dyDescent="0.35">
      <c r="A22" s="3" t="s">
        <v>44</v>
      </c>
      <c r="B22" s="3" t="s">
        <v>45</v>
      </c>
      <c r="C22" s="4">
        <v>7335.5</v>
      </c>
      <c r="D22" s="4">
        <v>7520.6</v>
      </c>
      <c r="E22" s="4">
        <v>185.1</v>
      </c>
      <c r="F22" s="4">
        <v>2.5</v>
      </c>
      <c r="G22" s="5">
        <v>50570</v>
      </c>
    </row>
    <row r="23" spans="1:7" x14ac:dyDescent="0.35">
      <c r="A23" s="3" t="s">
        <v>46</v>
      </c>
      <c r="B23" s="3" t="s">
        <v>47</v>
      </c>
      <c r="C23" s="4">
        <v>6315.3</v>
      </c>
      <c r="D23" s="4">
        <v>6543.7</v>
      </c>
      <c r="E23" s="4">
        <v>228.4</v>
      </c>
      <c r="F23" s="4">
        <v>3.6</v>
      </c>
      <c r="G23" s="5">
        <v>50080</v>
      </c>
    </row>
    <row r="24" spans="1:7" x14ac:dyDescent="0.35">
      <c r="A24" s="3" t="s">
        <v>48</v>
      </c>
      <c r="B24" s="3" t="s">
        <v>49</v>
      </c>
      <c r="C24" s="4">
        <v>9134.5</v>
      </c>
      <c r="D24" s="4">
        <v>8845.7999999999993</v>
      </c>
      <c r="E24" s="4">
        <v>-288.7</v>
      </c>
      <c r="F24" s="4">
        <v>-3.2</v>
      </c>
      <c r="G24" s="5">
        <v>39910</v>
      </c>
    </row>
    <row r="25" spans="1:7" x14ac:dyDescent="0.35">
      <c r="A25" s="3" t="s">
        <v>50</v>
      </c>
      <c r="B25" s="3" t="s">
        <v>51</v>
      </c>
      <c r="C25" s="4">
        <v>14302.8</v>
      </c>
      <c r="D25" s="4">
        <v>15082.2</v>
      </c>
      <c r="E25" s="4">
        <v>779.4</v>
      </c>
      <c r="F25" s="4">
        <v>5.4</v>
      </c>
      <c r="G25" s="5">
        <v>37940</v>
      </c>
    </row>
    <row r="26" spans="1:7" x14ac:dyDescent="0.35">
      <c r="A26" s="6" t="s">
        <v>52</v>
      </c>
      <c r="B26" s="6"/>
      <c r="C26" s="6"/>
      <c r="D26" s="6"/>
      <c r="E26" s="6"/>
      <c r="F26" s="6"/>
      <c r="G26" s="6"/>
    </row>
    <row r="27" spans="1:7" x14ac:dyDescent="0.35">
      <c r="A27" s="6" t="s">
        <v>53</v>
      </c>
      <c r="B27" s="6"/>
      <c r="C27" s="6"/>
      <c r="D27" s="6"/>
      <c r="E27" s="6"/>
      <c r="F27" s="6"/>
      <c r="G27" s="6"/>
    </row>
    <row r="28" spans="1:7" x14ac:dyDescent="0.35">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tabSelected="1" topLeftCell="A388" workbookViewId="0">
      <selection activeCell="A1122" sqref="A1122"/>
    </sheetView>
  </sheetViews>
  <sheetFormatPr defaultRowHeight="14.5" x14ac:dyDescent="0.35"/>
  <cols>
    <col min="1" max="1" width="60" customWidth="1"/>
    <col min="2" max="7" width="15" customWidth="1"/>
    <col min="8" max="9" width="12" customWidth="1"/>
    <col min="10" max="10" width="20" customWidth="1"/>
  </cols>
  <sheetData>
    <row r="1" spans="1:10" x14ac:dyDescent="0.35">
      <c r="A1" s="16" t="s">
        <v>4919</v>
      </c>
    </row>
    <row r="2" spans="1:10" ht="52.5" x14ac:dyDescent="0.35">
      <c r="A2" s="2" t="s">
        <v>0</v>
      </c>
      <c r="B2" s="2" t="s">
        <v>1</v>
      </c>
      <c r="C2" s="2" t="s">
        <v>56</v>
      </c>
      <c r="D2" s="2" t="s">
        <v>2</v>
      </c>
      <c r="E2" s="2" t="s">
        <v>3</v>
      </c>
      <c r="F2" s="2" t="s">
        <v>57</v>
      </c>
      <c r="G2" s="2" t="s">
        <v>58</v>
      </c>
      <c r="H2" s="2" t="s">
        <v>4</v>
      </c>
      <c r="I2" s="2" t="s">
        <v>5</v>
      </c>
      <c r="J2" s="2" t="s">
        <v>59</v>
      </c>
    </row>
    <row r="3" spans="1:10" x14ac:dyDescent="0.35">
      <c r="A3" s="3" t="s">
        <v>6</v>
      </c>
      <c r="B3" s="3" t="s">
        <v>7</v>
      </c>
      <c r="C3" s="4" t="s">
        <v>60</v>
      </c>
      <c r="D3" s="4">
        <v>164482.6</v>
      </c>
      <c r="E3" s="4">
        <v>169148.1</v>
      </c>
      <c r="F3" s="4">
        <v>100</v>
      </c>
      <c r="G3" s="4">
        <v>100</v>
      </c>
      <c r="H3" s="4">
        <v>4665.5</v>
      </c>
      <c r="I3" s="4">
        <v>2.8</v>
      </c>
      <c r="J3" s="4">
        <v>18566.5</v>
      </c>
    </row>
    <row r="4" spans="1:10" x14ac:dyDescent="0.35">
      <c r="A4" s="3" t="s">
        <v>8</v>
      </c>
      <c r="B4" s="3" t="s">
        <v>9</v>
      </c>
      <c r="C4" s="4" t="s">
        <v>60</v>
      </c>
      <c r="D4" s="4">
        <v>12574.7</v>
      </c>
      <c r="E4" s="4">
        <v>13257.7</v>
      </c>
      <c r="F4" s="4">
        <v>7.6</v>
      </c>
      <c r="G4" s="4">
        <v>7.8</v>
      </c>
      <c r="H4" s="4">
        <v>683</v>
      </c>
      <c r="I4" s="4">
        <v>5.4</v>
      </c>
      <c r="J4" s="4">
        <v>1053.0999999999999</v>
      </c>
    </row>
    <row r="5" spans="1:10" x14ac:dyDescent="0.35">
      <c r="A5" s="3" t="s">
        <v>61</v>
      </c>
      <c r="B5" s="3" t="s">
        <v>62</v>
      </c>
      <c r="C5" s="4" t="s">
        <v>60</v>
      </c>
      <c r="D5" s="4">
        <v>3832.2</v>
      </c>
      <c r="E5" s="4">
        <v>3958</v>
      </c>
      <c r="F5" s="4">
        <v>2.2999999999999998</v>
      </c>
      <c r="G5" s="4">
        <v>2.2999999999999998</v>
      </c>
      <c r="H5" s="4">
        <v>125.8</v>
      </c>
      <c r="I5" s="4">
        <v>3.3</v>
      </c>
      <c r="J5" s="4">
        <v>315</v>
      </c>
    </row>
    <row r="6" spans="1:10" x14ac:dyDescent="0.35">
      <c r="A6" s="3" t="s">
        <v>63</v>
      </c>
      <c r="B6" s="3" t="s">
        <v>64</v>
      </c>
      <c r="C6" s="4" t="s">
        <v>65</v>
      </c>
      <c r="D6" s="4">
        <v>280</v>
      </c>
      <c r="E6" s="4">
        <v>257</v>
      </c>
      <c r="F6" s="4">
        <v>0.2</v>
      </c>
      <c r="G6" s="4">
        <v>0.2</v>
      </c>
      <c r="H6" s="4">
        <v>-23</v>
      </c>
      <c r="I6" s="4">
        <v>-8.1999999999999993</v>
      </c>
      <c r="J6" s="4">
        <v>15.3</v>
      </c>
    </row>
    <row r="7" spans="1:10" x14ac:dyDescent="0.35">
      <c r="A7" s="3" t="s">
        <v>66</v>
      </c>
      <c r="B7" s="3" t="s">
        <v>67</v>
      </c>
      <c r="C7" s="4" t="s">
        <v>65</v>
      </c>
      <c r="D7" s="4">
        <v>3507.8</v>
      </c>
      <c r="E7" s="4">
        <v>3655.1</v>
      </c>
      <c r="F7" s="4">
        <v>2.1</v>
      </c>
      <c r="G7" s="4">
        <v>2.2000000000000002</v>
      </c>
      <c r="H7" s="4">
        <v>147.30000000000001</v>
      </c>
      <c r="I7" s="4">
        <v>4.2</v>
      </c>
      <c r="J7" s="4">
        <v>296.3</v>
      </c>
    </row>
    <row r="8" spans="1:10" x14ac:dyDescent="0.35">
      <c r="A8" s="3" t="s">
        <v>68</v>
      </c>
      <c r="B8" s="3" t="s">
        <v>69</v>
      </c>
      <c r="C8" s="4" t="s">
        <v>65</v>
      </c>
      <c r="D8" s="4">
        <v>44.4</v>
      </c>
      <c r="E8" s="4">
        <v>46</v>
      </c>
      <c r="F8" s="4">
        <v>0</v>
      </c>
      <c r="G8" s="4">
        <v>0</v>
      </c>
      <c r="H8" s="4">
        <v>1.5</v>
      </c>
      <c r="I8" s="4">
        <v>3.4</v>
      </c>
      <c r="J8" s="4">
        <v>3.4</v>
      </c>
    </row>
    <row r="9" spans="1:10" x14ac:dyDescent="0.35">
      <c r="A9" s="3" t="s">
        <v>70</v>
      </c>
      <c r="B9" s="3" t="s">
        <v>71</v>
      </c>
      <c r="C9" s="4" t="s">
        <v>60</v>
      </c>
      <c r="D9" s="4">
        <v>1049.4000000000001</v>
      </c>
      <c r="E9" s="4">
        <v>1102.2</v>
      </c>
      <c r="F9" s="4">
        <v>0.6</v>
      </c>
      <c r="G9" s="4">
        <v>0.7</v>
      </c>
      <c r="H9" s="4">
        <v>52.8</v>
      </c>
      <c r="I9" s="4">
        <v>5</v>
      </c>
      <c r="J9" s="4">
        <v>85</v>
      </c>
    </row>
    <row r="10" spans="1:10" x14ac:dyDescent="0.35">
      <c r="A10" s="3" t="s">
        <v>72</v>
      </c>
      <c r="B10" s="3" t="s">
        <v>73</v>
      </c>
      <c r="C10" s="4" t="s">
        <v>65</v>
      </c>
      <c r="D10" s="4">
        <v>30.9</v>
      </c>
      <c r="E10" s="4">
        <v>31.4</v>
      </c>
      <c r="F10" s="4">
        <v>0</v>
      </c>
      <c r="G10" s="4">
        <v>0</v>
      </c>
      <c r="H10" s="4">
        <v>0.6</v>
      </c>
      <c r="I10" s="4">
        <v>1.9</v>
      </c>
      <c r="J10" s="4">
        <v>2.8</v>
      </c>
    </row>
    <row r="11" spans="1:10" x14ac:dyDescent="0.35">
      <c r="A11" s="3" t="s">
        <v>74</v>
      </c>
      <c r="B11" s="3" t="s">
        <v>75</v>
      </c>
      <c r="C11" s="4" t="s">
        <v>60</v>
      </c>
      <c r="D11" s="4">
        <v>912.9</v>
      </c>
      <c r="E11" s="4">
        <v>959.1</v>
      </c>
      <c r="F11" s="4">
        <v>0.6</v>
      </c>
      <c r="G11" s="4">
        <v>0.6</v>
      </c>
      <c r="H11" s="4">
        <v>46.2</v>
      </c>
      <c r="I11" s="4">
        <v>5.0999999999999996</v>
      </c>
      <c r="J11" s="4">
        <v>74.400000000000006</v>
      </c>
    </row>
    <row r="12" spans="1:10" x14ac:dyDescent="0.35">
      <c r="A12" s="3" t="s">
        <v>76</v>
      </c>
      <c r="B12" s="3" t="s">
        <v>77</v>
      </c>
      <c r="C12" s="4" t="s">
        <v>65</v>
      </c>
      <c r="D12" s="4">
        <v>358.2</v>
      </c>
      <c r="E12" s="4">
        <v>381.9</v>
      </c>
      <c r="F12" s="4">
        <v>0.2</v>
      </c>
      <c r="G12" s="4">
        <v>0.2</v>
      </c>
      <c r="H12" s="4">
        <v>23.7</v>
      </c>
      <c r="I12" s="4">
        <v>6.6</v>
      </c>
      <c r="J12" s="4">
        <v>31.2</v>
      </c>
    </row>
    <row r="13" spans="1:10" x14ac:dyDescent="0.35">
      <c r="A13" s="3" t="s">
        <v>78</v>
      </c>
      <c r="B13" s="3" t="s">
        <v>79</v>
      </c>
      <c r="C13" s="4" t="s">
        <v>65</v>
      </c>
      <c r="D13" s="4">
        <v>554.70000000000005</v>
      </c>
      <c r="E13" s="4">
        <v>577.20000000000005</v>
      </c>
      <c r="F13" s="4">
        <v>0.3</v>
      </c>
      <c r="G13" s="4">
        <v>0.3</v>
      </c>
      <c r="H13" s="4">
        <v>22.5</v>
      </c>
      <c r="I13" s="4">
        <v>4</v>
      </c>
      <c r="J13" s="4">
        <v>43.2</v>
      </c>
    </row>
    <row r="14" spans="1:10" x14ac:dyDescent="0.35">
      <c r="A14" s="3" t="s">
        <v>80</v>
      </c>
      <c r="B14" s="3" t="s">
        <v>81</v>
      </c>
      <c r="C14" s="4" t="s">
        <v>60</v>
      </c>
      <c r="D14" s="4">
        <v>105.7</v>
      </c>
      <c r="E14" s="4">
        <v>111.7</v>
      </c>
      <c r="F14" s="4">
        <v>0.1</v>
      </c>
      <c r="G14" s="4">
        <v>0.1</v>
      </c>
      <c r="H14" s="4">
        <v>6</v>
      </c>
      <c r="I14" s="4">
        <v>5.7</v>
      </c>
      <c r="J14" s="4">
        <v>7.8</v>
      </c>
    </row>
    <row r="15" spans="1:10" x14ac:dyDescent="0.35">
      <c r="A15" s="3" t="s">
        <v>82</v>
      </c>
      <c r="B15" s="3" t="s">
        <v>83</v>
      </c>
      <c r="C15" s="4" t="s">
        <v>65</v>
      </c>
      <c r="D15" s="4">
        <v>72</v>
      </c>
      <c r="E15" s="4">
        <v>76.3</v>
      </c>
      <c r="F15" s="4">
        <v>0</v>
      </c>
      <c r="G15" s="4">
        <v>0</v>
      </c>
      <c r="H15" s="4">
        <v>4.3</v>
      </c>
      <c r="I15" s="4">
        <v>5.9</v>
      </c>
      <c r="J15" s="4">
        <v>5.4</v>
      </c>
    </row>
    <row r="16" spans="1:10" x14ac:dyDescent="0.35">
      <c r="A16" s="3" t="s">
        <v>84</v>
      </c>
      <c r="B16" s="3" t="s">
        <v>85</v>
      </c>
      <c r="C16" s="4" t="s">
        <v>65</v>
      </c>
      <c r="D16" s="4">
        <v>33.700000000000003</v>
      </c>
      <c r="E16" s="4">
        <v>35.4</v>
      </c>
      <c r="F16" s="4">
        <v>0</v>
      </c>
      <c r="G16" s="4">
        <v>0</v>
      </c>
      <c r="H16" s="4">
        <v>1.7</v>
      </c>
      <c r="I16" s="4">
        <v>5.0999999999999996</v>
      </c>
      <c r="J16" s="4">
        <v>2.5</v>
      </c>
    </row>
    <row r="17" spans="1:10" x14ac:dyDescent="0.35">
      <c r="A17" s="3" t="s">
        <v>86</v>
      </c>
      <c r="B17" s="3" t="s">
        <v>87</v>
      </c>
      <c r="C17" s="4" t="s">
        <v>60</v>
      </c>
      <c r="D17" s="4">
        <v>2455.5</v>
      </c>
      <c r="E17" s="4">
        <v>2722.6</v>
      </c>
      <c r="F17" s="4">
        <v>1.5</v>
      </c>
      <c r="G17" s="4">
        <v>1.6</v>
      </c>
      <c r="H17" s="4">
        <v>267.10000000000002</v>
      </c>
      <c r="I17" s="4">
        <v>10.9</v>
      </c>
      <c r="J17" s="4">
        <v>205.5</v>
      </c>
    </row>
    <row r="18" spans="1:10" x14ac:dyDescent="0.35">
      <c r="A18" s="3" t="s">
        <v>88</v>
      </c>
      <c r="B18" s="3" t="s">
        <v>89</v>
      </c>
      <c r="C18" s="4" t="s">
        <v>60</v>
      </c>
      <c r="D18" s="4">
        <v>377.8</v>
      </c>
      <c r="E18" s="4">
        <v>397.7</v>
      </c>
      <c r="F18" s="4">
        <v>0.2</v>
      </c>
      <c r="G18" s="4">
        <v>0.2</v>
      </c>
      <c r="H18" s="4">
        <v>19.899999999999999</v>
      </c>
      <c r="I18" s="4">
        <v>5.3</v>
      </c>
      <c r="J18" s="4">
        <v>31.4</v>
      </c>
    </row>
    <row r="19" spans="1:10" x14ac:dyDescent="0.35">
      <c r="A19" s="3" t="s">
        <v>90</v>
      </c>
      <c r="B19" s="3" t="s">
        <v>91</v>
      </c>
      <c r="C19" s="4" t="s">
        <v>65</v>
      </c>
      <c r="D19" s="4">
        <v>250.8</v>
      </c>
      <c r="E19" s="4">
        <v>264.89999999999998</v>
      </c>
      <c r="F19" s="4">
        <v>0.2</v>
      </c>
      <c r="G19" s="4">
        <v>0.2</v>
      </c>
      <c r="H19" s="4">
        <v>14</v>
      </c>
      <c r="I19" s="4">
        <v>5.6</v>
      </c>
      <c r="J19" s="4">
        <v>21.1</v>
      </c>
    </row>
    <row r="20" spans="1:10" x14ac:dyDescent="0.35">
      <c r="A20" s="3" t="s">
        <v>92</v>
      </c>
      <c r="B20" s="3" t="s">
        <v>93</v>
      </c>
      <c r="C20" s="4" t="s">
        <v>65</v>
      </c>
      <c r="D20" s="4">
        <v>127</v>
      </c>
      <c r="E20" s="4">
        <v>132.80000000000001</v>
      </c>
      <c r="F20" s="4">
        <v>0.1</v>
      </c>
      <c r="G20" s="4">
        <v>0.1</v>
      </c>
      <c r="H20" s="4">
        <v>5.8</v>
      </c>
      <c r="I20" s="4">
        <v>4.5999999999999996</v>
      </c>
      <c r="J20" s="4">
        <v>10.3</v>
      </c>
    </row>
    <row r="21" spans="1:10" x14ac:dyDescent="0.35">
      <c r="A21" s="3" t="s">
        <v>94</v>
      </c>
      <c r="B21" s="3" t="s">
        <v>95</v>
      </c>
      <c r="C21" s="4" t="s">
        <v>65</v>
      </c>
      <c r="D21" s="4">
        <v>557.4</v>
      </c>
      <c r="E21" s="4">
        <v>643.29999999999995</v>
      </c>
      <c r="F21" s="4">
        <v>0.3</v>
      </c>
      <c r="G21" s="4">
        <v>0.4</v>
      </c>
      <c r="H21" s="4">
        <v>86</v>
      </c>
      <c r="I21" s="4">
        <v>15.4</v>
      </c>
      <c r="J21" s="4">
        <v>46.9</v>
      </c>
    </row>
    <row r="22" spans="1:10" x14ac:dyDescent="0.35">
      <c r="A22" s="3" t="s">
        <v>96</v>
      </c>
      <c r="B22" s="3" t="s">
        <v>97</v>
      </c>
      <c r="C22" s="4" t="s">
        <v>65</v>
      </c>
      <c r="D22" s="4">
        <v>792.6</v>
      </c>
      <c r="E22" s="4">
        <v>919.2</v>
      </c>
      <c r="F22" s="4">
        <v>0.5</v>
      </c>
      <c r="G22" s="4">
        <v>0.5</v>
      </c>
      <c r="H22" s="4">
        <v>126.6</v>
      </c>
      <c r="I22" s="4">
        <v>16</v>
      </c>
      <c r="J22" s="4">
        <v>69.599999999999994</v>
      </c>
    </row>
    <row r="23" spans="1:10" x14ac:dyDescent="0.35">
      <c r="A23" s="3" t="s">
        <v>98</v>
      </c>
      <c r="B23" s="3" t="s">
        <v>99</v>
      </c>
      <c r="C23" s="4" t="s">
        <v>65</v>
      </c>
      <c r="D23" s="4">
        <v>222.1</v>
      </c>
      <c r="E23" s="4">
        <v>225.7</v>
      </c>
      <c r="F23" s="4">
        <v>0.1</v>
      </c>
      <c r="G23" s="4">
        <v>0.1</v>
      </c>
      <c r="H23" s="4">
        <v>3.6</v>
      </c>
      <c r="I23" s="4">
        <v>1.6</v>
      </c>
      <c r="J23" s="4">
        <v>15.3</v>
      </c>
    </row>
    <row r="24" spans="1:10" x14ac:dyDescent="0.35">
      <c r="A24" s="3" t="s">
        <v>100</v>
      </c>
      <c r="B24" s="3" t="s">
        <v>101</v>
      </c>
      <c r="C24" s="4" t="s">
        <v>65</v>
      </c>
      <c r="D24" s="4">
        <v>77.5</v>
      </c>
      <c r="E24" s="4">
        <v>80.900000000000006</v>
      </c>
      <c r="F24" s="4">
        <v>0</v>
      </c>
      <c r="G24" s="4">
        <v>0</v>
      </c>
      <c r="H24" s="4">
        <v>3.4</v>
      </c>
      <c r="I24" s="4">
        <v>4.4000000000000004</v>
      </c>
      <c r="J24" s="4">
        <v>6.1</v>
      </c>
    </row>
    <row r="25" spans="1:10" x14ac:dyDescent="0.35">
      <c r="A25" s="3" t="s">
        <v>102</v>
      </c>
      <c r="B25" s="3" t="s">
        <v>103</v>
      </c>
      <c r="C25" s="4" t="s">
        <v>65</v>
      </c>
      <c r="D25" s="4">
        <v>177.7</v>
      </c>
      <c r="E25" s="4">
        <v>192.3</v>
      </c>
      <c r="F25" s="4">
        <v>0.1</v>
      </c>
      <c r="G25" s="4">
        <v>0.1</v>
      </c>
      <c r="H25" s="4">
        <v>14.6</v>
      </c>
      <c r="I25" s="4">
        <v>8.1999999999999993</v>
      </c>
      <c r="J25" s="4">
        <v>15.9</v>
      </c>
    </row>
    <row r="26" spans="1:10" x14ac:dyDescent="0.35">
      <c r="A26" s="3" t="s">
        <v>104</v>
      </c>
      <c r="B26" s="3" t="s">
        <v>105</v>
      </c>
      <c r="C26" s="4" t="s">
        <v>65</v>
      </c>
      <c r="D26" s="4">
        <v>17.5</v>
      </c>
      <c r="E26" s="4">
        <v>17.8</v>
      </c>
      <c r="F26" s="4">
        <v>0</v>
      </c>
      <c r="G26" s="4">
        <v>0</v>
      </c>
      <c r="H26" s="4">
        <v>0.4</v>
      </c>
      <c r="I26" s="4">
        <v>2.2000000000000002</v>
      </c>
      <c r="J26" s="4">
        <v>1.1000000000000001</v>
      </c>
    </row>
    <row r="27" spans="1:10" x14ac:dyDescent="0.35">
      <c r="A27" s="3" t="s">
        <v>106</v>
      </c>
      <c r="B27" s="3" t="s">
        <v>107</v>
      </c>
      <c r="C27" s="4" t="s">
        <v>65</v>
      </c>
      <c r="D27" s="4">
        <v>191.6</v>
      </c>
      <c r="E27" s="4">
        <v>201.6</v>
      </c>
      <c r="F27" s="4">
        <v>0.1</v>
      </c>
      <c r="G27" s="4">
        <v>0.1</v>
      </c>
      <c r="H27" s="4">
        <v>10</v>
      </c>
      <c r="I27" s="4">
        <v>5.2</v>
      </c>
      <c r="J27" s="4">
        <v>15.5</v>
      </c>
    </row>
    <row r="28" spans="1:10" x14ac:dyDescent="0.35">
      <c r="A28" s="3" t="s">
        <v>108</v>
      </c>
      <c r="B28" s="3" t="s">
        <v>109</v>
      </c>
      <c r="C28" s="4" t="s">
        <v>65</v>
      </c>
      <c r="D28" s="4">
        <v>41.3</v>
      </c>
      <c r="E28" s="4">
        <v>44</v>
      </c>
      <c r="F28" s="4">
        <v>0</v>
      </c>
      <c r="G28" s="4">
        <v>0</v>
      </c>
      <c r="H28" s="4">
        <v>2.7</v>
      </c>
      <c r="I28" s="4">
        <v>6.5</v>
      </c>
      <c r="J28" s="4">
        <v>3.5</v>
      </c>
    </row>
    <row r="29" spans="1:10" x14ac:dyDescent="0.35">
      <c r="A29" s="3" t="s">
        <v>110</v>
      </c>
      <c r="B29" s="3" t="s">
        <v>111</v>
      </c>
      <c r="C29" s="4" t="s">
        <v>60</v>
      </c>
      <c r="D29" s="4">
        <v>5237.5</v>
      </c>
      <c r="E29" s="4">
        <v>5474.9</v>
      </c>
      <c r="F29" s="4">
        <v>3.2</v>
      </c>
      <c r="G29" s="4">
        <v>3.2</v>
      </c>
      <c r="H29" s="4">
        <v>237.4</v>
      </c>
      <c r="I29" s="4">
        <v>4.5</v>
      </c>
      <c r="J29" s="4">
        <v>447.6</v>
      </c>
    </row>
    <row r="30" spans="1:10" x14ac:dyDescent="0.35">
      <c r="A30" s="3" t="s">
        <v>112</v>
      </c>
      <c r="B30" s="3" t="s">
        <v>113</v>
      </c>
      <c r="C30" s="4" t="s">
        <v>65</v>
      </c>
      <c r="D30" s="4">
        <v>922.9</v>
      </c>
      <c r="E30" s="4">
        <v>880.6</v>
      </c>
      <c r="F30" s="4">
        <v>0.6</v>
      </c>
      <c r="G30" s="4">
        <v>0.5</v>
      </c>
      <c r="H30" s="4">
        <v>-42.3</v>
      </c>
      <c r="I30" s="4">
        <v>-4.5999999999999996</v>
      </c>
      <c r="J30" s="4">
        <v>88.8</v>
      </c>
    </row>
    <row r="31" spans="1:10" x14ac:dyDescent="0.35">
      <c r="A31" s="3" t="s">
        <v>114</v>
      </c>
      <c r="B31" s="3" t="s">
        <v>115</v>
      </c>
      <c r="C31" s="4" t="s">
        <v>65</v>
      </c>
      <c r="D31" s="4">
        <v>505.8</v>
      </c>
      <c r="E31" s="4">
        <v>528.70000000000005</v>
      </c>
      <c r="F31" s="4">
        <v>0.3</v>
      </c>
      <c r="G31" s="4">
        <v>0.3</v>
      </c>
      <c r="H31" s="4">
        <v>22.9</v>
      </c>
      <c r="I31" s="4">
        <v>4.5</v>
      </c>
      <c r="J31" s="4">
        <v>38.700000000000003</v>
      </c>
    </row>
    <row r="32" spans="1:10" x14ac:dyDescent="0.35">
      <c r="A32" s="3" t="s">
        <v>116</v>
      </c>
      <c r="B32" s="3" t="s">
        <v>117</v>
      </c>
      <c r="C32" s="4" t="s">
        <v>60</v>
      </c>
      <c r="D32" s="4">
        <v>651</v>
      </c>
      <c r="E32" s="4">
        <v>661.4</v>
      </c>
      <c r="F32" s="4">
        <v>0.4</v>
      </c>
      <c r="G32" s="4">
        <v>0.4</v>
      </c>
      <c r="H32" s="4">
        <v>10.3</v>
      </c>
      <c r="I32" s="4">
        <v>1.6</v>
      </c>
      <c r="J32" s="4">
        <v>44.1</v>
      </c>
    </row>
    <row r="33" spans="1:10" x14ac:dyDescent="0.35">
      <c r="A33" s="3" t="s">
        <v>118</v>
      </c>
      <c r="B33" s="3" t="s">
        <v>119</v>
      </c>
      <c r="C33" s="4" t="s">
        <v>65</v>
      </c>
      <c r="D33" s="4">
        <v>74.8</v>
      </c>
      <c r="E33" s="4">
        <v>72.599999999999994</v>
      </c>
      <c r="F33" s="4">
        <v>0</v>
      </c>
      <c r="G33" s="4">
        <v>0</v>
      </c>
      <c r="H33" s="4">
        <v>-2.2000000000000002</v>
      </c>
      <c r="I33" s="4">
        <v>-3</v>
      </c>
      <c r="J33" s="4">
        <v>4.5999999999999996</v>
      </c>
    </row>
    <row r="34" spans="1:10" x14ac:dyDescent="0.35">
      <c r="A34" s="3" t="s">
        <v>120</v>
      </c>
      <c r="B34" s="3" t="s">
        <v>121</v>
      </c>
      <c r="C34" s="4" t="s">
        <v>65</v>
      </c>
      <c r="D34" s="4">
        <v>300.39999999999998</v>
      </c>
      <c r="E34" s="4">
        <v>303.7</v>
      </c>
      <c r="F34" s="4">
        <v>0.2</v>
      </c>
      <c r="G34" s="4">
        <v>0.2</v>
      </c>
      <c r="H34" s="4">
        <v>3.3</v>
      </c>
      <c r="I34" s="4">
        <v>1.1000000000000001</v>
      </c>
      <c r="J34" s="4">
        <v>20.2</v>
      </c>
    </row>
    <row r="35" spans="1:10" x14ac:dyDescent="0.35">
      <c r="A35" s="3" t="s">
        <v>122</v>
      </c>
      <c r="B35" s="3" t="s">
        <v>123</v>
      </c>
      <c r="C35" s="4" t="s">
        <v>65</v>
      </c>
      <c r="D35" s="4">
        <v>218.2</v>
      </c>
      <c r="E35" s="4">
        <v>225.9</v>
      </c>
      <c r="F35" s="4">
        <v>0.1</v>
      </c>
      <c r="G35" s="4">
        <v>0.1</v>
      </c>
      <c r="H35" s="4">
        <v>7.7</v>
      </c>
      <c r="I35" s="4">
        <v>3.5</v>
      </c>
      <c r="J35" s="4">
        <v>15.3</v>
      </c>
    </row>
    <row r="36" spans="1:10" x14ac:dyDescent="0.35">
      <c r="A36" s="3" t="s">
        <v>124</v>
      </c>
      <c r="B36" s="3" t="s">
        <v>125</v>
      </c>
      <c r="C36" s="4" t="s">
        <v>65</v>
      </c>
      <c r="D36" s="4">
        <v>57.6</v>
      </c>
      <c r="E36" s="4">
        <v>59.2</v>
      </c>
      <c r="F36" s="4">
        <v>0</v>
      </c>
      <c r="G36" s="4">
        <v>0</v>
      </c>
      <c r="H36" s="4">
        <v>1.6</v>
      </c>
      <c r="I36" s="4">
        <v>2.8</v>
      </c>
      <c r="J36" s="4">
        <v>4</v>
      </c>
    </row>
    <row r="37" spans="1:10" x14ac:dyDescent="0.35">
      <c r="A37" s="3" t="s">
        <v>126</v>
      </c>
      <c r="B37" s="3" t="s">
        <v>127</v>
      </c>
      <c r="C37" s="4" t="s">
        <v>65</v>
      </c>
      <c r="D37" s="4">
        <v>201.5</v>
      </c>
      <c r="E37" s="4">
        <v>209.7</v>
      </c>
      <c r="F37" s="4">
        <v>0.1</v>
      </c>
      <c r="G37" s="4">
        <v>0.1</v>
      </c>
      <c r="H37" s="4">
        <v>8.1999999999999993</v>
      </c>
      <c r="I37" s="4">
        <v>4.0999999999999996</v>
      </c>
      <c r="J37" s="4">
        <v>13.6</v>
      </c>
    </row>
    <row r="38" spans="1:10" x14ac:dyDescent="0.35">
      <c r="A38" s="3" t="s">
        <v>128</v>
      </c>
      <c r="B38" s="3" t="s">
        <v>129</v>
      </c>
      <c r="C38" s="4" t="s">
        <v>65</v>
      </c>
      <c r="D38" s="4">
        <v>357.5</v>
      </c>
      <c r="E38" s="4">
        <v>359.2</v>
      </c>
      <c r="F38" s="4">
        <v>0.2</v>
      </c>
      <c r="G38" s="4">
        <v>0.2</v>
      </c>
      <c r="H38" s="4">
        <v>1.6</v>
      </c>
      <c r="I38" s="4">
        <v>0.5</v>
      </c>
      <c r="J38" s="4">
        <v>39.6</v>
      </c>
    </row>
    <row r="39" spans="1:10" x14ac:dyDescent="0.35">
      <c r="A39" s="3" t="s">
        <v>130</v>
      </c>
      <c r="B39" s="3" t="s">
        <v>131</v>
      </c>
      <c r="C39" s="4" t="s">
        <v>60</v>
      </c>
      <c r="D39" s="4">
        <v>31.7</v>
      </c>
      <c r="E39" s="4">
        <v>34.1</v>
      </c>
      <c r="F39" s="4">
        <v>0</v>
      </c>
      <c r="G39" s="4">
        <v>0</v>
      </c>
      <c r="H39" s="4">
        <v>2.2999999999999998</v>
      </c>
      <c r="I39" s="4">
        <v>7.3</v>
      </c>
      <c r="J39" s="4">
        <v>3.7</v>
      </c>
    </row>
    <row r="40" spans="1:10" x14ac:dyDescent="0.35">
      <c r="A40" s="3" t="s">
        <v>132</v>
      </c>
      <c r="B40" s="3" t="s">
        <v>133</v>
      </c>
      <c r="C40" s="4" t="s">
        <v>65</v>
      </c>
      <c r="D40" s="4">
        <v>5.3</v>
      </c>
      <c r="E40" s="4">
        <v>5.4</v>
      </c>
      <c r="F40" s="4">
        <v>0</v>
      </c>
      <c r="G40" s="4">
        <v>0</v>
      </c>
      <c r="H40" s="4">
        <v>0.1</v>
      </c>
      <c r="I40" s="4">
        <v>2.6</v>
      </c>
      <c r="J40" s="4">
        <v>0.6</v>
      </c>
    </row>
    <row r="41" spans="1:10" x14ac:dyDescent="0.35">
      <c r="A41" s="3" t="s">
        <v>134</v>
      </c>
      <c r="B41" s="3" t="s">
        <v>135</v>
      </c>
      <c r="C41" s="4" t="s">
        <v>65</v>
      </c>
      <c r="D41" s="4">
        <v>26.4</v>
      </c>
      <c r="E41" s="4">
        <v>28.6</v>
      </c>
      <c r="F41" s="4">
        <v>0</v>
      </c>
      <c r="G41" s="4">
        <v>0</v>
      </c>
      <c r="H41" s="4">
        <v>2.2000000000000002</v>
      </c>
      <c r="I41" s="4">
        <v>8.3000000000000007</v>
      </c>
      <c r="J41" s="4">
        <v>3.1</v>
      </c>
    </row>
    <row r="42" spans="1:10" x14ac:dyDescent="0.35">
      <c r="A42" s="3" t="s">
        <v>136</v>
      </c>
      <c r="B42" s="3" t="s">
        <v>137</v>
      </c>
      <c r="C42" s="4" t="s">
        <v>65</v>
      </c>
      <c r="D42" s="4">
        <v>50.8</v>
      </c>
      <c r="E42" s="4">
        <v>54.2</v>
      </c>
      <c r="F42" s="4">
        <v>0</v>
      </c>
      <c r="G42" s="4">
        <v>0</v>
      </c>
      <c r="H42" s="4">
        <v>3.4</v>
      </c>
      <c r="I42" s="4">
        <v>6.7</v>
      </c>
      <c r="J42" s="4">
        <v>5.4</v>
      </c>
    </row>
    <row r="43" spans="1:10" x14ac:dyDescent="0.35">
      <c r="A43" s="3" t="s">
        <v>138</v>
      </c>
      <c r="B43" s="3" t="s">
        <v>139</v>
      </c>
      <c r="C43" s="4" t="s">
        <v>65</v>
      </c>
      <c r="D43" s="4">
        <v>509.5</v>
      </c>
      <c r="E43" s="4">
        <v>654.20000000000005</v>
      </c>
      <c r="F43" s="4">
        <v>0.3</v>
      </c>
      <c r="G43" s="4">
        <v>0.4</v>
      </c>
      <c r="H43" s="4">
        <v>144.69999999999999</v>
      </c>
      <c r="I43" s="4">
        <v>28.4</v>
      </c>
      <c r="J43" s="4">
        <v>54.7</v>
      </c>
    </row>
    <row r="44" spans="1:10" x14ac:dyDescent="0.35">
      <c r="A44" s="3" t="s">
        <v>140</v>
      </c>
      <c r="B44" s="3" t="s">
        <v>141</v>
      </c>
      <c r="C44" s="4" t="s">
        <v>65</v>
      </c>
      <c r="D44" s="4">
        <v>86.3</v>
      </c>
      <c r="E44" s="4">
        <v>90.5</v>
      </c>
      <c r="F44" s="4">
        <v>0.1</v>
      </c>
      <c r="G44" s="4">
        <v>0.1</v>
      </c>
      <c r="H44" s="4">
        <v>4.2</v>
      </c>
      <c r="I44" s="4">
        <v>4.8</v>
      </c>
      <c r="J44" s="4">
        <v>6.5</v>
      </c>
    </row>
    <row r="45" spans="1:10" x14ac:dyDescent="0.35">
      <c r="A45" s="3" t="s">
        <v>142</v>
      </c>
      <c r="B45" s="3" t="s">
        <v>143</v>
      </c>
      <c r="C45" s="4" t="s">
        <v>65</v>
      </c>
      <c r="D45" s="4">
        <v>13</v>
      </c>
      <c r="E45" s="4">
        <v>12.1</v>
      </c>
      <c r="F45" s="4">
        <v>0</v>
      </c>
      <c r="G45" s="4">
        <v>0</v>
      </c>
      <c r="H45" s="4">
        <v>-0.9</v>
      </c>
      <c r="I45" s="4">
        <v>-6.7</v>
      </c>
      <c r="J45" s="4">
        <v>0.8</v>
      </c>
    </row>
    <row r="46" spans="1:10" x14ac:dyDescent="0.35">
      <c r="A46" s="3" t="s">
        <v>144</v>
      </c>
      <c r="B46" s="3" t="s">
        <v>145</v>
      </c>
      <c r="C46" s="4" t="s">
        <v>65</v>
      </c>
      <c r="D46" s="4">
        <v>429.6</v>
      </c>
      <c r="E46" s="4">
        <v>453</v>
      </c>
      <c r="F46" s="4">
        <v>0.3</v>
      </c>
      <c r="G46" s="4">
        <v>0.3</v>
      </c>
      <c r="H46" s="4">
        <v>23.4</v>
      </c>
      <c r="I46" s="4">
        <v>5.4</v>
      </c>
      <c r="J46" s="4">
        <v>35.9</v>
      </c>
    </row>
    <row r="47" spans="1:10" x14ac:dyDescent="0.35">
      <c r="A47" s="3" t="s">
        <v>146</v>
      </c>
      <c r="B47" s="3" t="s">
        <v>147</v>
      </c>
      <c r="C47" s="4" t="s">
        <v>65</v>
      </c>
      <c r="D47" s="4">
        <v>178.4</v>
      </c>
      <c r="E47" s="4">
        <v>194.6</v>
      </c>
      <c r="F47" s="4">
        <v>0.1</v>
      </c>
      <c r="G47" s="4">
        <v>0.1</v>
      </c>
      <c r="H47" s="4">
        <v>16.2</v>
      </c>
      <c r="I47" s="4">
        <v>9.1</v>
      </c>
      <c r="J47" s="4">
        <v>16</v>
      </c>
    </row>
    <row r="48" spans="1:10" x14ac:dyDescent="0.35">
      <c r="A48" s="3" t="s">
        <v>148</v>
      </c>
      <c r="B48" s="3" t="s">
        <v>149</v>
      </c>
      <c r="C48" s="4" t="s">
        <v>65</v>
      </c>
      <c r="D48" s="4">
        <v>11.8</v>
      </c>
      <c r="E48" s="4">
        <v>12.2</v>
      </c>
      <c r="F48" s="4">
        <v>0</v>
      </c>
      <c r="G48" s="4">
        <v>0</v>
      </c>
      <c r="H48" s="4">
        <v>0.4</v>
      </c>
      <c r="I48" s="4">
        <v>3.3</v>
      </c>
      <c r="J48" s="4">
        <v>0.9</v>
      </c>
    </row>
    <row r="49" spans="1:10" x14ac:dyDescent="0.35">
      <c r="A49" s="3" t="s">
        <v>150</v>
      </c>
      <c r="B49" s="3" t="s">
        <v>151</v>
      </c>
      <c r="C49" s="4" t="s">
        <v>60</v>
      </c>
      <c r="D49" s="4">
        <v>59.4</v>
      </c>
      <c r="E49" s="4">
        <v>61.2</v>
      </c>
      <c r="F49" s="4">
        <v>0</v>
      </c>
      <c r="G49" s="4">
        <v>0</v>
      </c>
      <c r="H49" s="4">
        <v>1.8</v>
      </c>
      <c r="I49" s="4">
        <v>3</v>
      </c>
      <c r="J49" s="4">
        <v>4.5</v>
      </c>
    </row>
    <row r="50" spans="1:10" x14ac:dyDescent="0.35">
      <c r="A50" s="3" t="s">
        <v>152</v>
      </c>
      <c r="B50" s="3" t="s">
        <v>153</v>
      </c>
      <c r="C50" s="4" t="s">
        <v>65</v>
      </c>
      <c r="D50" s="4">
        <v>36.4</v>
      </c>
      <c r="E50" s="4">
        <v>37.200000000000003</v>
      </c>
      <c r="F50" s="4">
        <v>0</v>
      </c>
      <c r="G50" s="4">
        <v>0</v>
      </c>
      <c r="H50" s="4">
        <v>0.8</v>
      </c>
      <c r="I50" s="4">
        <v>2.2000000000000002</v>
      </c>
      <c r="J50" s="4">
        <v>2.7</v>
      </c>
    </row>
    <row r="51" spans="1:10" x14ac:dyDescent="0.35">
      <c r="A51" s="3" t="s">
        <v>154</v>
      </c>
      <c r="B51" s="3" t="s">
        <v>155</v>
      </c>
      <c r="C51" s="4" t="s">
        <v>65</v>
      </c>
      <c r="D51" s="4">
        <v>23.1</v>
      </c>
      <c r="E51" s="4">
        <v>24.1</v>
      </c>
      <c r="F51" s="4">
        <v>0</v>
      </c>
      <c r="G51" s="4">
        <v>0</v>
      </c>
      <c r="H51" s="4">
        <v>1</v>
      </c>
      <c r="I51" s="4">
        <v>4.3</v>
      </c>
      <c r="J51" s="4">
        <v>1.8</v>
      </c>
    </row>
    <row r="52" spans="1:10" x14ac:dyDescent="0.35">
      <c r="A52" s="3" t="s">
        <v>156</v>
      </c>
      <c r="B52" s="3" t="s">
        <v>157</v>
      </c>
      <c r="C52" s="4" t="s">
        <v>65</v>
      </c>
      <c r="D52" s="4">
        <v>1228.3</v>
      </c>
      <c r="E52" s="4">
        <v>1269.4000000000001</v>
      </c>
      <c r="F52" s="4">
        <v>0.7</v>
      </c>
      <c r="G52" s="4">
        <v>0.8</v>
      </c>
      <c r="H52" s="4">
        <v>41</v>
      </c>
      <c r="I52" s="4">
        <v>3.3</v>
      </c>
      <c r="J52" s="4">
        <v>94.4</v>
      </c>
    </row>
    <row r="53" spans="1:10" x14ac:dyDescent="0.35">
      <c r="A53" s="3" t="s">
        <v>10</v>
      </c>
      <c r="B53" s="3" t="s">
        <v>11</v>
      </c>
      <c r="C53" s="4" t="s">
        <v>60</v>
      </c>
      <c r="D53" s="4">
        <v>10591.1</v>
      </c>
      <c r="E53" s="4">
        <v>11179.7</v>
      </c>
      <c r="F53" s="4">
        <v>6.4</v>
      </c>
      <c r="G53" s="4">
        <v>6.6</v>
      </c>
      <c r="H53" s="4">
        <v>588.6</v>
      </c>
      <c r="I53" s="4">
        <v>5.6</v>
      </c>
      <c r="J53" s="4">
        <v>911.4</v>
      </c>
    </row>
    <row r="54" spans="1:10" x14ac:dyDescent="0.35">
      <c r="A54" s="3" t="s">
        <v>158</v>
      </c>
      <c r="B54" s="3" t="s">
        <v>159</v>
      </c>
      <c r="C54" s="4" t="s">
        <v>60</v>
      </c>
      <c r="D54" s="4">
        <v>7267.5</v>
      </c>
      <c r="E54" s="4">
        <v>7683.5</v>
      </c>
      <c r="F54" s="4">
        <v>4.4000000000000004</v>
      </c>
      <c r="G54" s="4">
        <v>4.5</v>
      </c>
      <c r="H54" s="4">
        <v>415.9</v>
      </c>
      <c r="I54" s="4">
        <v>5.7</v>
      </c>
      <c r="J54" s="4">
        <v>648.20000000000005</v>
      </c>
    </row>
    <row r="55" spans="1:10" x14ac:dyDescent="0.35">
      <c r="A55" s="3" t="s">
        <v>160</v>
      </c>
      <c r="B55" s="3" t="s">
        <v>161</v>
      </c>
      <c r="C55" s="4" t="s">
        <v>65</v>
      </c>
      <c r="D55" s="4">
        <v>19.899999999999999</v>
      </c>
      <c r="E55" s="4">
        <v>21.5</v>
      </c>
      <c r="F55" s="4">
        <v>0</v>
      </c>
      <c r="G55" s="4">
        <v>0</v>
      </c>
      <c r="H55" s="4">
        <v>1.6</v>
      </c>
      <c r="I55" s="4">
        <v>8.1999999999999993</v>
      </c>
      <c r="J55" s="4">
        <v>2.1</v>
      </c>
    </row>
    <row r="56" spans="1:10" x14ac:dyDescent="0.35">
      <c r="A56" s="3" t="s">
        <v>162</v>
      </c>
      <c r="B56" s="3" t="s">
        <v>163</v>
      </c>
      <c r="C56" s="4" t="s">
        <v>65</v>
      </c>
      <c r="D56" s="4">
        <v>494.4</v>
      </c>
      <c r="E56" s="4">
        <v>456.3</v>
      </c>
      <c r="F56" s="4">
        <v>0.3</v>
      </c>
      <c r="G56" s="4">
        <v>0.3</v>
      </c>
      <c r="H56" s="4">
        <v>-38</v>
      </c>
      <c r="I56" s="4">
        <v>-7.7</v>
      </c>
      <c r="J56" s="4">
        <v>39</v>
      </c>
    </row>
    <row r="57" spans="1:10" x14ac:dyDescent="0.35">
      <c r="A57" s="3" t="s">
        <v>164</v>
      </c>
      <c r="B57" s="3" t="s">
        <v>165</v>
      </c>
      <c r="C57" s="4" t="s">
        <v>60</v>
      </c>
      <c r="D57" s="4">
        <v>342.6</v>
      </c>
      <c r="E57" s="4">
        <v>331.9</v>
      </c>
      <c r="F57" s="4">
        <v>0.2</v>
      </c>
      <c r="G57" s="4">
        <v>0.2</v>
      </c>
      <c r="H57" s="4">
        <v>-10.7</v>
      </c>
      <c r="I57" s="4">
        <v>-3.1</v>
      </c>
      <c r="J57" s="4">
        <v>21.5</v>
      </c>
    </row>
    <row r="58" spans="1:10" x14ac:dyDescent="0.35">
      <c r="A58" s="3" t="s">
        <v>166</v>
      </c>
      <c r="B58" s="3" t="s">
        <v>167</v>
      </c>
      <c r="C58" s="4" t="s">
        <v>65</v>
      </c>
      <c r="D58" s="4">
        <v>329</v>
      </c>
      <c r="E58" s="4">
        <v>318.7</v>
      </c>
      <c r="F58" s="4">
        <v>0.2</v>
      </c>
      <c r="G58" s="4">
        <v>0.2</v>
      </c>
      <c r="H58" s="4">
        <v>-10.3</v>
      </c>
      <c r="I58" s="4">
        <v>-3.1</v>
      </c>
      <c r="J58" s="4">
        <v>20.6</v>
      </c>
    </row>
    <row r="59" spans="1:10" x14ac:dyDescent="0.35">
      <c r="A59" s="3" t="s">
        <v>168</v>
      </c>
      <c r="B59" s="3" t="s">
        <v>169</v>
      </c>
      <c r="C59" s="4" t="s">
        <v>65</v>
      </c>
      <c r="D59" s="4">
        <v>13.6</v>
      </c>
      <c r="E59" s="4">
        <v>13.3</v>
      </c>
      <c r="F59" s="4">
        <v>0</v>
      </c>
      <c r="G59" s="4">
        <v>0</v>
      </c>
      <c r="H59" s="4">
        <v>-0.4</v>
      </c>
      <c r="I59" s="4">
        <v>-2.6</v>
      </c>
      <c r="J59" s="4">
        <v>0.9</v>
      </c>
    </row>
    <row r="60" spans="1:10" x14ac:dyDescent="0.35">
      <c r="A60" s="3" t="s">
        <v>170</v>
      </c>
      <c r="B60" s="3" t="s">
        <v>171</v>
      </c>
      <c r="C60" s="4" t="s">
        <v>65</v>
      </c>
      <c r="D60" s="4">
        <v>377.5</v>
      </c>
      <c r="E60" s="4">
        <v>394.7</v>
      </c>
      <c r="F60" s="4">
        <v>0.2</v>
      </c>
      <c r="G60" s="4">
        <v>0.2</v>
      </c>
      <c r="H60" s="4">
        <v>17.2</v>
      </c>
      <c r="I60" s="4">
        <v>4.5999999999999996</v>
      </c>
      <c r="J60" s="4">
        <v>31</v>
      </c>
    </row>
    <row r="61" spans="1:10" x14ac:dyDescent="0.35">
      <c r="A61" s="3" t="s">
        <v>172</v>
      </c>
      <c r="B61" s="3" t="s">
        <v>173</v>
      </c>
      <c r="C61" s="4" t="s">
        <v>65</v>
      </c>
      <c r="D61" s="4">
        <v>231.4</v>
      </c>
      <c r="E61" s="4">
        <v>224.9</v>
      </c>
      <c r="F61" s="4">
        <v>0.1</v>
      </c>
      <c r="G61" s="4">
        <v>0.1</v>
      </c>
      <c r="H61" s="4">
        <v>-6.5</v>
      </c>
      <c r="I61" s="4">
        <v>-2.8</v>
      </c>
      <c r="J61" s="4">
        <v>18</v>
      </c>
    </row>
    <row r="62" spans="1:10" x14ac:dyDescent="0.35">
      <c r="A62" s="3" t="s">
        <v>174</v>
      </c>
      <c r="B62" s="3" t="s">
        <v>175</v>
      </c>
      <c r="C62" s="4" t="s">
        <v>60</v>
      </c>
      <c r="D62" s="4">
        <v>940.7</v>
      </c>
      <c r="E62" s="4">
        <v>991.6</v>
      </c>
      <c r="F62" s="4">
        <v>0.6</v>
      </c>
      <c r="G62" s="4">
        <v>0.6</v>
      </c>
      <c r="H62" s="4">
        <v>51</v>
      </c>
      <c r="I62" s="4">
        <v>5.4</v>
      </c>
      <c r="J62" s="4">
        <v>84.1</v>
      </c>
    </row>
    <row r="63" spans="1:10" x14ac:dyDescent="0.35">
      <c r="A63" s="3" t="s">
        <v>176</v>
      </c>
      <c r="B63" s="3" t="s">
        <v>177</v>
      </c>
      <c r="C63" s="4" t="s">
        <v>65</v>
      </c>
      <c r="D63" s="4">
        <v>874.5</v>
      </c>
      <c r="E63" s="4">
        <v>925.9</v>
      </c>
      <c r="F63" s="4">
        <v>0.5</v>
      </c>
      <c r="G63" s="4">
        <v>0.5</v>
      </c>
      <c r="H63" s="4">
        <v>51.4</v>
      </c>
      <c r="I63" s="4">
        <v>5.9</v>
      </c>
      <c r="J63" s="4">
        <v>78.7</v>
      </c>
    </row>
    <row r="64" spans="1:10" x14ac:dyDescent="0.35">
      <c r="A64" s="3" t="s">
        <v>178</v>
      </c>
      <c r="B64" s="3" t="s">
        <v>179</v>
      </c>
      <c r="C64" s="4" t="s">
        <v>65</v>
      </c>
      <c r="D64" s="4">
        <v>1.6</v>
      </c>
      <c r="E64" s="4">
        <v>1.7</v>
      </c>
      <c r="F64" s="4">
        <v>0</v>
      </c>
      <c r="G64" s="4">
        <v>0</v>
      </c>
      <c r="H64" s="4">
        <v>0.1</v>
      </c>
      <c r="I64" s="4">
        <v>7.4</v>
      </c>
      <c r="J64" s="4">
        <v>0.2</v>
      </c>
    </row>
    <row r="65" spans="1:10" x14ac:dyDescent="0.35">
      <c r="A65" s="3" t="s">
        <v>180</v>
      </c>
      <c r="B65" s="3" t="s">
        <v>181</v>
      </c>
      <c r="C65" s="4" t="s">
        <v>65</v>
      </c>
      <c r="D65" s="4">
        <v>64.599999999999994</v>
      </c>
      <c r="E65" s="4">
        <v>64</v>
      </c>
      <c r="F65" s="4">
        <v>0</v>
      </c>
      <c r="G65" s="4">
        <v>0</v>
      </c>
      <c r="H65" s="4">
        <v>-0.5</v>
      </c>
      <c r="I65" s="4">
        <v>-0.8</v>
      </c>
      <c r="J65" s="4">
        <v>5.2</v>
      </c>
    </row>
    <row r="66" spans="1:10" x14ac:dyDescent="0.35">
      <c r="A66" s="3" t="s">
        <v>182</v>
      </c>
      <c r="B66" s="3" t="s">
        <v>183</v>
      </c>
      <c r="C66" s="4" t="s">
        <v>60</v>
      </c>
      <c r="D66" s="4">
        <v>1090</v>
      </c>
      <c r="E66" s="4">
        <v>1182.9000000000001</v>
      </c>
      <c r="F66" s="4">
        <v>0.7</v>
      </c>
      <c r="G66" s="4">
        <v>0.7</v>
      </c>
      <c r="H66" s="4">
        <v>93</v>
      </c>
      <c r="I66" s="4">
        <v>8.5</v>
      </c>
      <c r="J66" s="4">
        <v>89.9</v>
      </c>
    </row>
    <row r="67" spans="1:10" x14ac:dyDescent="0.35">
      <c r="A67" s="3" t="s">
        <v>184</v>
      </c>
      <c r="B67" s="3" t="s">
        <v>185</v>
      </c>
      <c r="C67" s="4" t="s">
        <v>65</v>
      </c>
      <c r="D67" s="4">
        <v>208.7</v>
      </c>
      <c r="E67" s="4">
        <v>246.9</v>
      </c>
      <c r="F67" s="4">
        <v>0.1</v>
      </c>
      <c r="G67" s="4">
        <v>0.1</v>
      </c>
      <c r="H67" s="4">
        <v>38.299999999999997</v>
      </c>
      <c r="I67" s="4">
        <v>18.3</v>
      </c>
      <c r="J67" s="4">
        <v>21.8</v>
      </c>
    </row>
    <row r="68" spans="1:10" x14ac:dyDescent="0.35">
      <c r="A68" s="3" t="s">
        <v>186</v>
      </c>
      <c r="B68" s="3" t="s">
        <v>187</v>
      </c>
      <c r="C68" s="4" t="s">
        <v>65</v>
      </c>
      <c r="D68" s="4">
        <v>881.3</v>
      </c>
      <c r="E68" s="4">
        <v>936</v>
      </c>
      <c r="F68" s="4">
        <v>0.5</v>
      </c>
      <c r="G68" s="4">
        <v>0.6</v>
      </c>
      <c r="H68" s="4">
        <v>54.7</v>
      </c>
      <c r="I68" s="4">
        <v>6.2</v>
      </c>
      <c r="J68" s="4">
        <v>68.099999999999994</v>
      </c>
    </row>
    <row r="69" spans="1:10" x14ac:dyDescent="0.35">
      <c r="A69" s="3" t="s">
        <v>188</v>
      </c>
      <c r="B69" s="3" t="s">
        <v>189</v>
      </c>
      <c r="C69" s="4" t="s">
        <v>65</v>
      </c>
      <c r="D69" s="4">
        <v>987.6</v>
      </c>
      <c r="E69" s="4">
        <v>1083.3</v>
      </c>
      <c r="F69" s="4">
        <v>0.6</v>
      </c>
      <c r="G69" s="4">
        <v>0.6</v>
      </c>
      <c r="H69" s="4">
        <v>95.7</v>
      </c>
      <c r="I69" s="4">
        <v>9.6999999999999993</v>
      </c>
      <c r="J69" s="4">
        <v>92.9</v>
      </c>
    </row>
    <row r="70" spans="1:10" x14ac:dyDescent="0.35">
      <c r="A70" s="3" t="s">
        <v>190</v>
      </c>
      <c r="B70" s="3" t="s">
        <v>191</v>
      </c>
      <c r="C70" s="4" t="s">
        <v>65</v>
      </c>
      <c r="D70" s="4">
        <v>132</v>
      </c>
      <c r="E70" s="4">
        <v>141.9</v>
      </c>
      <c r="F70" s="4">
        <v>0.1</v>
      </c>
      <c r="G70" s="4">
        <v>0.1</v>
      </c>
      <c r="H70" s="4">
        <v>9.9</v>
      </c>
      <c r="I70" s="4">
        <v>7.5</v>
      </c>
      <c r="J70" s="4">
        <v>15.2</v>
      </c>
    </row>
    <row r="71" spans="1:10" x14ac:dyDescent="0.35">
      <c r="A71" s="3" t="s">
        <v>192</v>
      </c>
      <c r="B71" s="3" t="s">
        <v>193</v>
      </c>
      <c r="C71" s="4" t="s">
        <v>65</v>
      </c>
      <c r="D71" s="4">
        <v>124</v>
      </c>
      <c r="E71" s="4">
        <v>130.5</v>
      </c>
      <c r="F71" s="4">
        <v>0.1</v>
      </c>
      <c r="G71" s="4">
        <v>0.1</v>
      </c>
      <c r="H71" s="4">
        <v>6.5</v>
      </c>
      <c r="I71" s="4">
        <v>5.2</v>
      </c>
      <c r="J71" s="4">
        <v>9.9</v>
      </c>
    </row>
    <row r="72" spans="1:10" x14ac:dyDescent="0.35">
      <c r="A72" s="3" t="s">
        <v>194</v>
      </c>
      <c r="B72" s="3" t="s">
        <v>195</v>
      </c>
      <c r="C72" s="4" t="s">
        <v>65</v>
      </c>
      <c r="D72" s="4">
        <v>98.2</v>
      </c>
      <c r="E72" s="4">
        <v>105.1</v>
      </c>
      <c r="F72" s="4">
        <v>0.1</v>
      </c>
      <c r="G72" s="4">
        <v>0.1</v>
      </c>
      <c r="H72" s="4">
        <v>6.9</v>
      </c>
      <c r="I72" s="4">
        <v>7</v>
      </c>
      <c r="J72" s="4">
        <v>7.7</v>
      </c>
    </row>
    <row r="73" spans="1:10" x14ac:dyDescent="0.35">
      <c r="A73" s="3" t="s">
        <v>196</v>
      </c>
      <c r="B73" s="3" t="s">
        <v>197</v>
      </c>
      <c r="C73" s="4" t="s">
        <v>65</v>
      </c>
      <c r="D73" s="4">
        <v>385.8</v>
      </c>
      <c r="E73" s="4">
        <v>409.9</v>
      </c>
      <c r="F73" s="4">
        <v>0.2</v>
      </c>
      <c r="G73" s="4">
        <v>0.2</v>
      </c>
      <c r="H73" s="4">
        <v>24.2</v>
      </c>
      <c r="I73" s="4">
        <v>6.3</v>
      </c>
      <c r="J73" s="4">
        <v>35.4</v>
      </c>
    </row>
    <row r="74" spans="1:10" x14ac:dyDescent="0.35">
      <c r="A74" s="3" t="s">
        <v>198</v>
      </c>
      <c r="B74" s="3" t="s">
        <v>199</v>
      </c>
      <c r="C74" s="4" t="s">
        <v>65</v>
      </c>
      <c r="D74" s="4">
        <v>868.6</v>
      </c>
      <c r="E74" s="4">
        <v>985.2</v>
      </c>
      <c r="F74" s="4">
        <v>0.5</v>
      </c>
      <c r="G74" s="4">
        <v>0.6</v>
      </c>
      <c r="H74" s="4">
        <v>116.6</v>
      </c>
      <c r="I74" s="4">
        <v>13.4</v>
      </c>
      <c r="J74" s="4">
        <v>94.6</v>
      </c>
    </row>
    <row r="75" spans="1:10" x14ac:dyDescent="0.35">
      <c r="A75" s="3" t="s">
        <v>200</v>
      </c>
      <c r="B75" s="3" t="s">
        <v>201</v>
      </c>
      <c r="C75" s="4" t="s">
        <v>65</v>
      </c>
      <c r="D75" s="4">
        <v>1174.8</v>
      </c>
      <c r="E75" s="4">
        <v>1223.5999999999999</v>
      </c>
      <c r="F75" s="4">
        <v>0.7</v>
      </c>
      <c r="G75" s="4">
        <v>0.7</v>
      </c>
      <c r="H75" s="4">
        <v>48.7</v>
      </c>
      <c r="I75" s="4">
        <v>4.0999999999999996</v>
      </c>
      <c r="J75" s="4">
        <v>107</v>
      </c>
    </row>
    <row r="76" spans="1:10" x14ac:dyDescent="0.35">
      <c r="A76" s="3" t="s">
        <v>202</v>
      </c>
      <c r="B76" s="3" t="s">
        <v>203</v>
      </c>
      <c r="C76" s="4" t="s">
        <v>60</v>
      </c>
      <c r="D76" s="4">
        <v>3323.6</v>
      </c>
      <c r="E76" s="4">
        <v>3496.2</v>
      </c>
      <c r="F76" s="4">
        <v>2</v>
      </c>
      <c r="G76" s="4">
        <v>2.1</v>
      </c>
      <c r="H76" s="4">
        <v>172.7</v>
      </c>
      <c r="I76" s="4">
        <v>5.2</v>
      </c>
      <c r="J76" s="4">
        <v>263.2</v>
      </c>
    </row>
    <row r="77" spans="1:10" x14ac:dyDescent="0.35">
      <c r="A77" s="3" t="s">
        <v>204</v>
      </c>
      <c r="B77" s="3" t="s">
        <v>205</v>
      </c>
      <c r="C77" s="4" t="s">
        <v>65</v>
      </c>
      <c r="D77" s="4">
        <v>1538.4</v>
      </c>
      <c r="E77" s="4">
        <v>1605.8</v>
      </c>
      <c r="F77" s="4">
        <v>0.9</v>
      </c>
      <c r="G77" s="4">
        <v>0.9</v>
      </c>
      <c r="H77" s="4">
        <v>67.400000000000006</v>
      </c>
      <c r="I77" s="4">
        <v>4.4000000000000004</v>
      </c>
      <c r="J77" s="4">
        <v>126.5</v>
      </c>
    </row>
    <row r="78" spans="1:10" x14ac:dyDescent="0.35">
      <c r="A78" s="3" t="s">
        <v>206</v>
      </c>
      <c r="B78" s="3" t="s">
        <v>207</v>
      </c>
      <c r="C78" s="4" t="s">
        <v>65</v>
      </c>
      <c r="D78" s="4">
        <v>77.599999999999994</v>
      </c>
      <c r="E78" s="4">
        <v>81.099999999999994</v>
      </c>
      <c r="F78" s="4">
        <v>0</v>
      </c>
      <c r="G78" s="4">
        <v>0</v>
      </c>
      <c r="H78" s="4">
        <v>3.6</v>
      </c>
      <c r="I78" s="4">
        <v>4.5999999999999996</v>
      </c>
      <c r="J78" s="4">
        <v>6.9</v>
      </c>
    </row>
    <row r="79" spans="1:10" x14ac:dyDescent="0.35">
      <c r="A79" s="3" t="s">
        <v>208</v>
      </c>
      <c r="B79" s="3" t="s">
        <v>209</v>
      </c>
      <c r="C79" s="4" t="s">
        <v>65</v>
      </c>
      <c r="D79" s="4">
        <v>51.6</v>
      </c>
      <c r="E79" s="4">
        <v>53.3</v>
      </c>
      <c r="F79" s="4">
        <v>0</v>
      </c>
      <c r="G79" s="4">
        <v>0</v>
      </c>
      <c r="H79" s="4">
        <v>1.7</v>
      </c>
      <c r="I79" s="4">
        <v>3.3</v>
      </c>
      <c r="J79" s="4">
        <v>3.6</v>
      </c>
    </row>
    <row r="80" spans="1:10" x14ac:dyDescent="0.35">
      <c r="A80" s="3" t="s">
        <v>210</v>
      </c>
      <c r="B80" s="3" t="s">
        <v>211</v>
      </c>
      <c r="C80" s="4" t="s">
        <v>65</v>
      </c>
      <c r="D80" s="4">
        <v>73</v>
      </c>
      <c r="E80" s="4">
        <v>69.900000000000006</v>
      </c>
      <c r="F80" s="4">
        <v>0</v>
      </c>
      <c r="G80" s="4">
        <v>0</v>
      </c>
      <c r="H80" s="4">
        <v>-3.2</v>
      </c>
      <c r="I80" s="4">
        <v>-4.3</v>
      </c>
      <c r="J80" s="4">
        <v>4.5999999999999996</v>
      </c>
    </row>
    <row r="81" spans="1:10" x14ac:dyDescent="0.35">
      <c r="A81" s="3" t="s">
        <v>212</v>
      </c>
      <c r="B81" s="3" t="s">
        <v>213</v>
      </c>
      <c r="C81" s="4" t="s">
        <v>60</v>
      </c>
      <c r="D81" s="4">
        <v>829.1</v>
      </c>
      <c r="E81" s="4">
        <v>897.1</v>
      </c>
      <c r="F81" s="4">
        <v>0.5</v>
      </c>
      <c r="G81" s="4">
        <v>0.5</v>
      </c>
      <c r="H81" s="4">
        <v>68</v>
      </c>
      <c r="I81" s="4">
        <v>8.1999999999999993</v>
      </c>
      <c r="J81" s="4">
        <v>61.3</v>
      </c>
    </row>
    <row r="82" spans="1:10" x14ac:dyDescent="0.35">
      <c r="A82" s="3" t="s">
        <v>214</v>
      </c>
      <c r="B82" s="3" t="s">
        <v>215</v>
      </c>
      <c r="C82" s="4" t="s">
        <v>65</v>
      </c>
      <c r="D82" s="4">
        <v>317.2</v>
      </c>
      <c r="E82" s="4">
        <v>341.4</v>
      </c>
      <c r="F82" s="4">
        <v>0.2</v>
      </c>
      <c r="G82" s="4">
        <v>0.2</v>
      </c>
      <c r="H82" s="4">
        <v>24.2</v>
      </c>
      <c r="I82" s="4">
        <v>7.6</v>
      </c>
      <c r="J82" s="4">
        <v>23</v>
      </c>
    </row>
    <row r="83" spans="1:10" x14ac:dyDescent="0.35">
      <c r="A83" s="3" t="s">
        <v>216</v>
      </c>
      <c r="B83" s="3" t="s">
        <v>217</v>
      </c>
      <c r="C83" s="4" t="s">
        <v>65</v>
      </c>
      <c r="D83" s="4">
        <v>327.60000000000002</v>
      </c>
      <c r="E83" s="4">
        <v>369.6</v>
      </c>
      <c r="F83" s="4">
        <v>0.2</v>
      </c>
      <c r="G83" s="4">
        <v>0.2</v>
      </c>
      <c r="H83" s="4">
        <v>42</v>
      </c>
      <c r="I83" s="4">
        <v>12.8</v>
      </c>
      <c r="J83" s="4">
        <v>25.6</v>
      </c>
    </row>
    <row r="84" spans="1:10" x14ac:dyDescent="0.35">
      <c r="A84" s="3" t="s">
        <v>218</v>
      </c>
      <c r="B84" s="3" t="s">
        <v>219</v>
      </c>
      <c r="C84" s="4" t="s">
        <v>65</v>
      </c>
      <c r="D84" s="4">
        <v>125.5</v>
      </c>
      <c r="E84" s="4">
        <v>122.4</v>
      </c>
      <c r="F84" s="4">
        <v>0.1</v>
      </c>
      <c r="G84" s="4">
        <v>0.1</v>
      </c>
      <c r="H84" s="4">
        <v>-3</v>
      </c>
      <c r="I84" s="4">
        <v>-2.4</v>
      </c>
      <c r="J84" s="4">
        <v>8.1999999999999993</v>
      </c>
    </row>
    <row r="85" spans="1:10" x14ac:dyDescent="0.35">
      <c r="A85" s="3" t="s">
        <v>220</v>
      </c>
      <c r="B85" s="3" t="s">
        <v>221</v>
      </c>
      <c r="C85" s="4" t="s">
        <v>65</v>
      </c>
      <c r="D85" s="4">
        <v>58.9</v>
      </c>
      <c r="E85" s="4">
        <v>63.7</v>
      </c>
      <c r="F85" s="4">
        <v>0</v>
      </c>
      <c r="G85" s="4">
        <v>0</v>
      </c>
      <c r="H85" s="4">
        <v>4.8</v>
      </c>
      <c r="I85" s="4">
        <v>8.1999999999999993</v>
      </c>
      <c r="J85" s="4">
        <v>4.4000000000000004</v>
      </c>
    </row>
    <row r="86" spans="1:10" x14ac:dyDescent="0.35">
      <c r="A86" s="3" t="s">
        <v>222</v>
      </c>
      <c r="B86" s="3" t="s">
        <v>223</v>
      </c>
      <c r="C86" s="4" t="s">
        <v>65</v>
      </c>
      <c r="D86" s="4">
        <v>65.599999999999994</v>
      </c>
      <c r="E86" s="4">
        <v>78.5</v>
      </c>
      <c r="F86" s="4">
        <v>0</v>
      </c>
      <c r="G86" s="4">
        <v>0</v>
      </c>
      <c r="H86" s="4">
        <v>12.8</v>
      </c>
      <c r="I86" s="4">
        <v>19.5</v>
      </c>
      <c r="J86" s="4">
        <v>6.3</v>
      </c>
    </row>
    <row r="87" spans="1:10" x14ac:dyDescent="0.35">
      <c r="A87" s="3" t="s">
        <v>224</v>
      </c>
      <c r="B87" s="3" t="s">
        <v>225</v>
      </c>
      <c r="C87" s="4" t="s">
        <v>60</v>
      </c>
      <c r="D87" s="4">
        <v>387.7</v>
      </c>
      <c r="E87" s="4">
        <v>399.8</v>
      </c>
      <c r="F87" s="4">
        <v>0.2</v>
      </c>
      <c r="G87" s="4">
        <v>0.2</v>
      </c>
      <c r="H87" s="4">
        <v>12.2</v>
      </c>
      <c r="I87" s="4">
        <v>3.1</v>
      </c>
      <c r="J87" s="4">
        <v>27.7</v>
      </c>
    </row>
    <row r="88" spans="1:10" x14ac:dyDescent="0.35">
      <c r="A88" s="3" t="s">
        <v>226</v>
      </c>
      <c r="B88" s="3" t="s">
        <v>227</v>
      </c>
      <c r="C88" s="4" t="s">
        <v>65</v>
      </c>
      <c r="D88" s="4">
        <v>32.799999999999997</v>
      </c>
      <c r="E88" s="4">
        <v>34.6</v>
      </c>
      <c r="F88" s="4">
        <v>0</v>
      </c>
      <c r="G88" s="4">
        <v>0</v>
      </c>
      <c r="H88" s="4">
        <v>1.8</v>
      </c>
      <c r="I88" s="4">
        <v>5.4</v>
      </c>
      <c r="J88" s="4">
        <v>2.4</v>
      </c>
    </row>
    <row r="89" spans="1:10" x14ac:dyDescent="0.35">
      <c r="A89" s="3" t="s">
        <v>228</v>
      </c>
      <c r="B89" s="3" t="s">
        <v>229</v>
      </c>
      <c r="C89" s="4" t="s">
        <v>65</v>
      </c>
      <c r="D89" s="4">
        <v>354.8</v>
      </c>
      <c r="E89" s="4">
        <v>365.3</v>
      </c>
      <c r="F89" s="4">
        <v>0.2</v>
      </c>
      <c r="G89" s="4">
        <v>0.2</v>
      </c>
      <c r="H89" s="4">
        <v>10.4</v>
      </c>
      <c r="I89" s="4">
        <v>2.9</v>
      </c>
      <c r="J89" s="4">
        <v>25.3</v>
      </c>
    </row>
    <row r="90" spans="1:10" x14ac:dyDescent="0.35">
      <c r="A90" s="3" t="s">
        <v>230</v>
      </c>
      <c r="B90" s="3" t="s">
        <v>231</v>
      </c>
      <c r="C90" s="4" t="s">
        <v>60</v>
      </c>
      <c r="D90" s="4">
        <v>164.6</v>
      </c>
      <c r="E90" s="4">
        <v>166.5</v>
      </c>
      <c r="F90" s="4">
        <v>0.1</v>
      </c>
      <c r="G90" s="4">
        <v>0.1</v>
      </c>
      <c r="H90" s="4">
        <v>1.9</v>
      </c>
      <c r="I90" s="4">
        <v>1.2</v>
      </c>
      <c r="J90" s="4">
        <v>16.5</v>
      </c>
    </row>
    <row r="91" spans="1:10" x14ac:dyDescent="0.35">
      <c r="A91" s="3" t="s">
        <v>232</v>
      </c>
      <c r="B91" s="3" t="s">
        <v>233</v>
      </c>
      <c r="C91" s="4" t="s">
        <v>65</v>
      </c>
      <c r="D91" s="4">
        <v>55</v>
      </c>
      <c r="E91" s="4">
        <v>55.4</v>
      </c>
      <c r="F91" s="4">
        <v>0</v>
      </c>
      <c r="G91" s="4">
        <v>0</v>
      </c>
      <c r="H91" s="4">
        <v>0.3</v>
      </c>
      <c r="I91" s="4">
        <v>0.6</v>
      </c>
      <c r="J91" s="4">
        <v>4.0999999999999996</v>
      </c>
    </row>
    <row r="92" spans="1:10" x14ac:dyDescent="0.35">
      <c r="A92" s="3" t="s">
        <v>234</v>
      </c>
      <c r="B92" s="3" t="s">
        <v>235</v>
      </c>
      <c r="C92" s="4" t="s">
        <v>65</v>
      </c>
      <c r="D92" s="4">
        <v>109.5</v>
      </c>
      <c r="E92" s="4">
        <v>111.1</v>
      </c>
      <c r="F92" s="4">
        <v>0.1</v>
      </c>
      <c r="G92" s="4">
        <v>0.1</v>
      </c>
      <c r="H92" s="4">
        <v>1.6</v>
      </c>
      <c r="I92" s="4">
        <v>1.5</v>
      </c>
      <c r="J92" s="4">
        <v>12.4</v>
      </c>
    </row>
    <row r="93" spans="1:10" x14ac:dyDescent="0.35">
      <c r="A93" s="3" t="s">
        <v>236</v>
      </c>
      <c r="B93" s="3" t="s">
        <v>237</v>
      </c>
      <c r="C93" s="4" t="s">
        <v>65</v>
      </c>
      <c r="D93" s="4">
        <v>136</v>
      </c>
      <c r="E93" s="4">
        <v>144.19999999999999</v>
      </c>
      <c r="F93" s="4">
        <v>0.1</v>
      </c>
      <c r="G93" s="4">
        <v>0.1</v>
      </c>
      <c r="H93" s="4">
        <v>8.3000000000000007</v>
      </c>
      <c r="I93" s="4">
        <v>6.1</v>
      </c>
      <c r="J93" s="4">
        <v>9.9</v>
      </c>
    </row>
    <row r="94" spans="1:10" x14ac:dyDescent="0.35">
      <c r="A94" s="3" t="s">
        <v>12</v>
      </c>
      <c r="B94" s="3" t="s">
        <v>13</v>
      </c>
      <c r="C94" s="4" t="s">
        <v>60</v>
      </c>
      <c r="D94" s="4">
        <v>5277.6</v>
      </c>
      <c r="E94" s="4">
        <v>6081.4</v>
      </c>
      <c r="F94" s="4">
        <v>3.2</v>
      </c>
      <c r="G94" s="4">
        <v>3.6</v>
      </c>
      <c r="H94" s="4">
        <v>803.8</v>
      </c>
      <c r="I94" s="4">
        <v>15.2</v>
      </c>
      <c r="J94" s="4">
        <v>411</v>
      </c>
    </row>
    <row r="95" spans="1:10" x14ac:dyDescent="0.35">
      <c r="A95" s="3" t="s">
        <v>238</v>
      </c>
      <c r="B95" s="3" t="s">
        <v>239</v>
      </c>
      <c r="C95" s="4" t="s">
        <v>60</v>
      </c>
      <c r="D95" s="4">
        <v>4929.1000000000004</v>
      </c>
      <c r="E95" s="4">
        <v>5631</v>
      </c>
      <c r="F95" s="4">
        <v>3</v>
      </c>
      <c r="G95" s="4">
        <v>3.3</v>
      </c>
      <c r="H95" s="4">
        <v>701.9</v>
      </c>
      <c r="I95" s="4">
        <v>14.2</v>
      </c>
      <c r="J95" s="4">
        <v>377.5</v>
      </c>
    </row>
    <row r="96" spans="1:10" x14ac:dyDescent="0.35">
      <c r="A96" s="3" t="s">
        <v>240</v>
      </c>
      <c r="B96" s="3" t="s">
        <v>241</v>
      </c>
      <c r="C96" s="4" t="s">
        <v>60</v>
      </c>
      <c r="D96" s="4">
        <v>700.3</v>
      </c>
      <c r="E96" s="4">
        <v>804.7</v>
      </c>
      <c r="F96" s="4">
        <v>0.4</v>
      </c>
      <c r="G96" s="4">
        <v>0.5</v>
      </c>
      <c r="H96" s="4">
        <v>104.4</v>
      </c>
      <c r="I96" s="4">
        <v>14.9</v>
      </c>
      <c r="J96" s="4">
        <v>54.3</v>
      </c>
    </row>
    <row r="97" spans="1:10" x14ac:dyDescent="0.35">
      <c r="A97" s="3" t="s">
        <v>242</v>
      </c>
      <c r="B97" s="3" t="s">
        <v>243</v>
      </c>
      <c r="C97" s="4" t="s">
        <v>65</v>
      </c>
      <c r="D97" s="4">
        <v>531.4</v>
      </c>
      <c r="E97" s="4">
        <v>582.6</v>
      </c>
      <c r="F97" s="4">
        <v>0.3</v>
      </c>
      <c r="G97" s="4">
        <v>0.3</v>
      </c>
      <c r="H97" s="4">
        <v>51.1</v>
      </c>
      <c r="I97" s="4">
        <v>9.6</v>
      </c>
      <c r="J97" s="4">
        <v>37.6</v>
      </c>
    </row>
    <row r="98" spans="1:10" x14ac:dyDescent="0.35">
      <c r="A98" s="3" t="s">
        <v>244</v>
      </c>
      <c r="B98" s="3" t="s">
        <v>245</v>
      </c>
      <c r="C98" s="4" t="s">
        <v>65</v>
      </c>
      <c r="D98" s="4">
        <v>168.9</v>
      </c>
      <c r="E98" s="4">
        <v>222.2</v>
      </c>
      <c r="F98" s="4">
        <v>0.1</v>
      </c>
      <c r="G98" s="4">
        <v>0.1</v>
      </c>
      <c r="H98" s="4">
        <v>53.2</v>
      </c>
      <c r="I98" s="4">
        <v>31.5</v>
      </c>
      <c r="J98" s="4">
        <v>16.8</v>
      </c>
    </row>
    <row r="99" spans="1:10" x14ac:dyDescent="0.35">
      <c r="A99" s="3" t="s">
        <v>246</v>
      </c>
      <c r="B99" s="3" t="s">
        <v>247</v>
      </c>
      <c r="C99" s="4" t="s">
        <v>65</v>
      </c>
      <c r="D99" s="4">
        <v>36.5</v>
      </c>
      <c r="E99" s="4">
        <v>44.8</v>
      </c>
      <c r="F99" s="4">
        <v>0</v>
      </c>
      <c r="G99" s="4">
        <v>0</v>
      </c>
      <c r="H99" s="4">
        <v>8.3000000000000007</v>
      </c>
      <c r="I99" s="4">
        <v>22.7</v>
      </c>
      <c r="J99" s="4">
        <v>3.4</v>
      </c>
    </row>
    <row r="100" spans="1:10" x14ac:dyDescent="0.35">
      <c r="A100" s="3" t="s">
        <v>248</v>
      </c>
      <c r="B100" s="3" t="s">
        <v>249</v>
      </c>
      <c r="C100" s="4" t="s">
        <v>60</v>
      </c>
      <c r="D100" s="4">
        <v>914.1</v>
      </c>
      <c r="E100" s="4">
        <v>963.3</v>
      </c>
      <c r="F100" s="4">
        <v>0.6</v>
      </c>
      <c r="G100" s="4">
        <v>0.6</v>
      </c>
      <c r="H100" s="4">
        <v>49.2</v>
      </c>
      <c r="I100" s="4">
        <v>5.4</v>
      </c>
      <c r="J100" s="4">
        <v>66.5</v>
      </c>
    </row>
    <row r="101" spans="1:10" x14ac:dyDescent="0.35">
      <c r="A101" s="3" t="s">
        <v>250</v>
      </c>
      <c r="B101" s="3" t="s">
        <v>251</v>
      </c>
      <c r="C101" s="4" t="s">
        <v>65</v>
      </c>
      <c r="D101" s="4">
        <v>177.9</v>
      </c>
      <c r="E101" s="4">
        <v>190.4</v>
      </c>
      <c r="F101" s="4">
        <v>0.1</v>
      </c>
      <c r="G101" s="4">
        <v>0.1</v>
      </c>
      <c r="H101" s="4">
        <v>12.5</v>
      </c>
      <c r="I101" s="4">
        <v>7</v>
      </c>
      <c r="J101" s="4">
        <v>13.3</v>
      </c>
    </row>
    <row r="102" spans="1:10" x14ac:dyDescent="0.35">
      <c r="A102" s="3" t="s">
        <v>252</v>
      </c>
      <c r="B102" s="3" t="s">
        <v>253</v>
      </c>
      <c r="C102" s="4" t="s">
        <v>65</v>
      </c>
      <c r="D102" s="4">
        <v>736.2</v>
      </c>
      <c r="E102" s="4">
        <v>772.9</v>
      </c>
      <c r="F102" s="4">
        <v>0.4</v>
      </c>
      <c r="G102" s="4">
        <v>0.5</v>
      </c>
      <c r="H102" s="4">
        <v>36.799999999999997</v>
      </c>
      <c r="I102" s="4">
        <v>5</v>
      </c>
      <c r="J102" s="4">
        <v>53.2</v>
      </c>
    </row>
    <row r="103" spans="1:10" x14ac:dyDescent="0.35">
      <c r="A103" s="3" t="s">
        <v>254</v>
      </c>
      <c r="B103" s="3" t="s">
        <v>255</v>
      </c>
      <c r="C103" s="4" t="s">
        <v>60</v>
      </c>
      <c r="D103" s="4">
        <v>669.4</v>
      </c>
      <c r="E103" s="4">
        <v>696.4</v>
      </c>
      <c r="F103" s="4">
        <v>0.4</v>
      </c>
      <c r="G103" s="4">
        <v>0.4</v>
      </c>
      <c r="H103" s="4">
        <v>27</v>
      </c>
      <c r="I103" s="4">
        <v>4</v>
      </c>
      <c r="J103" s="4">
        <v>40.200000000000003</v>
      </c>
    </row>
    <row r="104" spans="1:10" x14ac:dyDescent="0.35">
      <c r="A104" s="3" t="s">
        <v>256</v>
      </c>
      <c r="B104" s="3" t="s">
        <v>257</v>
      </c>
      <c r="C104" s="4" t="s">
        <v>65</v>
      </c>
      <c r="D104" s="4">
        <v>180.2</v>
      </c>
      <c r="E104" s="4">
        <v>186.6</v>
      </c>
      <c r="F104" s="4">
        <v>0.1</v>
      </c>
      <c r="G104" s="4">
        <v>0.1</v>
      </c>
      <c r="H104" s="4">
        <v>6.3</v>
      </c>
      <c r="I104" s="4">
        <v>3.5</v>
      </c>
      <c r="J104" s="4">
        <v>10.199999999999999</v>
      </c>
    </row>
    <row r="105" spans="1:10" x14ac:dyDescent="0.35">
      <c r="A105" s="3" t="s">
        <v>258</v>
      </c>
      <c r="B105" s="3" t="s">
        <v>259</v>
      </c>
      <c r="C105" s="4" t="s">
        <v>65</v>
      </c>
      <c r="D105" s="4">
        <v>85.2</v>
      </c>
      <c r="E105" s="4">
        <v>91.2</v>
      </c>
      <c r="F105" s="4">
        <v>0.1</v>
      </c>
      <c r="G105" s="4">
        <v>0.1</v>
      </c>
      <c r="H105" s="4">
        <v>6</v>
      </c>
      <c r="I105" s="4">
        <v>7</v>
      </c>
      <c r="J105" s="4">
        <v>5.7</v>
      </c>
    </row>
    <row r="106" spans="1:10" x14ac:dyDescent="0.35">
      <c r="A106" s="3" t="s">
        <v>260</v>
      </c>
      <c r="B106" s="3" t="s">
        <v>261</v>
      </c>
      <c r="C106" s="4" t="s">
        <v>65</v>
      </c>
      <c r="D106" s="4">
        <v>64</v>
      </c>
      <c r="E106" s="4">
        <v>70.400000000000006</v>
      </c>
      <c r="F106" s="4">
        <v>0</v>
      </c>
      <c r="G106" s="4">
        <v>0</v>
      </c>
      <c r="H106" s="4">
        <v>6.4</v>
      </c>
      <c r="I106" s="4">
        <v>10</v>
      </c>
      <c r="J106" s="4">
        <v>4.5</v>
      </c>
    </row>
    <row r="107" spans="1:10" x14ac:dyDescent="0.35">
      <c r="A107" s="3" t="s">
        <v>262</v>
      </c>
      <c r="B107" s="3" t="s">
        <v>263</v>
      </c>
      <c r="C107" s="4" t="s">
        <v>65</v>
      </c>
      <c r="D107" s="4">
        <v>339.9</v>
      </c>
      <c r="E107" s="4">
        <v>348.2</v>
      </c>
      <c r="F107" s="4">
        <v>0.2</v>
      </c>
      <c r="G107" s="4">
        <v>0.2</v>
      </c>
      <c r="H107" s="4">
        <v>8.3000000000000007</v>
      </c>
      <c r="I107" s="4">
        <v>2.5</v>
      </c>
      <c r="J107" s="4">
        <v>19.8</v>
      </c>
    </row>
    <row r="108" spans="1:10" x14ac:dyDescent="0.35">
      <c r="A108" s="3" t="s">
        <v>264</v>
      </c>
      <c r="B108" s="3" t="s">
        <v>265</v>
      </c>
      <c r="C108" s="4" t="s">
        <v>60</v>
      </c>
      <c r="D108" s="4">
        <v>2159.4</v>
      </c>
      <c r="E108" s="4">
        <v>2628.6</v>
      </c>
      <c r="F108" s="4">
        <v>1.3</v>
      </c>
      <c r="G108" s="4">
        <v>1.6</v>
      </c>
      <c r="H108" s="4">
        <v>469.2</v>
      </c>
      <c r="I108" s="4">
        <v>21.7</v>
      </c>
      <c r="J108" s="4">
        <v>179.5</v>
      </c>
    </row>
    <row r="109" spans="1:10" x14ac:dyDescent="0.35">
      <c r="A109" s="3" t="s">
        <v>266</v>
      </c>
      <c r="B109" s="3" t="s">
        <v>267</v>
      </c>
      <c r="C109" s="4" t="s">
        <v>65</v>
      </c>
      <c r="D109" s="4">
        <v>147.4</v>
      </c>
      <c r="E109" s="4">
        <v>130.80000000000001</v>
      </c>
      <c r="F109" s="4">
        <v>0.1</v>
      </c>
      <c r="G109" s="4">
        <v>0.1</v>
      </c>
      <c r="H109" s="4">
        <v>-16.600000000000001</v>
      </c>
      <c r="I109" s="4">
        <v>-11.2</v>
      </c>
      <c r="J109" s="4">
        <v>6.7</v>
      </c>
    </row>
    <row r="110" spans="1:10" x14ac:dyDescent="0.35">
      <c r="A110" s="3" t="s">
        <v>268</v>
      </c>
      <c r="B110" s="3" t="s">
        <v>269</v>
      </c>
      <c r="C110" s="4" t="s">
        <v>65</v>
      </c>
      <c r="D110" s="4">
        <v>1594.5</v>
      </c>
      <c r="E110" s="4">
        <v>2004.9</v>
      </c>
      <c r="F110" s="4">
        <v>1</v>
      </c>
      <c r="G110" s="4">
        <v>1.2</v>
      </c>
      <c r="H110" s="4">
        <v>410.4</v>
      </c>
      <c r="I110" s="4">
        <v>25.7</v>
      </c>
      <c r="J110" s="4">
        <v>136.30000000000001</v>
      </c>
    </row>
    <row r="111" spans="1:10" x14ac:dyDescent="0.35">
      <c r="A111" s="3" t="s">
        <v>270</v>
      </c>
      <c r="B111" s="3" t="s">
        <v>271</v>
      </c>
      <c r="C111" s="4" t="s">
        <v>65</v>
      </c>
      <c r="D111" s="4">
        <v>200.8</v>
      </c>
      <c r="E111" s="4">
        <v>241.6</v>
      </c>
      <c r="F111" s="4">
        <v>0.1</v>
      </c>
      <c r="G111" s="4">
        <v>0.1</v>
      </c>
      <c r="H111" s="4">
        <v>40.799999999999997</v>
      </c>
      <c r="I111" s="4">
        <v>20.3</v>
      </c>
      <c r="J111" s="4">
        <v>17.5</v>
      </c>
    </row>
    <row r="112" spans="1:10" x14ac:dyDescent="0.35">
      <c r="A112" s="3" t="s">
        <v>272</v>
      </c>
      <c r="B112" s="3" t="s">
        <v>273</v>
      </c>
      <c r="C112" s="4" t="s">
        <v>65</v>
      </c>
      <c r="D112" s="4">
        <v>98.8</v>
      </c>
      <c r="E112" s="4">
        <v>115.5</v>
      </c>
      <c r="F112" s="4">
        <v>0.1</v>
      </c>
      <c r="G112" s="4">
        <v>0.1</v>
      </c>
      <c r="H112" s="4">
        <v>16.7</v>
      </c>
      <c r="I112" s="4">
        <v>17</v>
      </c>
      <c r="J112" s="4">
        <v>8.3000000000000007</v>
      </c>
    </row>
    <row r="113" spans="1:10" x14ac:dyDescent="0.35">
      <c r="A113" s="3" t="s">
        <v>274</v>
      </c>
      <c r="B113" s="3" t="s">
        <v>275</v>
      </c>
      <c r="C113" s="4" t="s">
        <v>65</v>
      </c>
      <c r="D113" s="4">
        <v>117.9</v>
      </c>
      <c r="E113" s="4">
        <v>135.80000000000001</v>
      </c>
      <c r="F113" s="4">
        <v>0.1</v>
      </c>
      <c r="G113" s="4">
        <v>0.1</v>
      </c>
      <c r="H113" s="4">
        <v>17.899999999999999</v>
      </c>
      <c r="I113" s="4">
        <v>15.2</v>
      </c>
      <c r="J113" s="4">
        <v>10.7</v>
      </c>
    </row>
    <row r="114" spans="1:10" x14ac:dyDescent="0.35">
      <c r="A114" s="3" t="s">
        <v>276</v>
      </c>
      <c r="B114" s="3" t="s">
        <v>277</v>
      </c>
      <c r="C114" s="4" t="s">
        <v>65</v>
      </c>
      <c r="D114" s="4">
        <v>449.4</v>
      </c>
      <c r="E114" s="4">
        <v>493.1</v>
      </c>
      <c r="F114" s="4">
        <v>0.3</v>
      </c>
      <c r="G114" s="4">
        <v>0.3</v>
      </c>
      <c r="H114" s="4">
        <v>43.8</v>
      </c>
      <c r="I114" s="4">
        <v>9.6999999999999993</v>
      </c>
      <c r="J114" s="4">
        <v>33.5</v>
      </c>
    </row>
    <row r="115" spans="1:10" x14ac:dyDescent="0.35">
      <c r="A115" s="3" t="s">
        <v>278</v>
      </c>
      <c r="B115" s="3" t="s">
        <v>279</v>
      </c>
      <c r="C115" s="4" t="s">
        <v>60</v>
      </c>
      <c r="D115" s="4">
        <v>348.5</v>
      </c>
      <c r="E115" s="4">
        <v>450.4</v>
      </c>
      <c r="F115" s="4">
        <v>0.2</v>
      </c>
      <c r="G115" s="4">
        <v>0.3</v>
      </c>
      <c r="H115" s="4">
        <v>101.9</v>
      </c>
      <c r="I115" s="4">
        <v>29.2</v>
      </c>
      <c r="J115" s="4">
        <v>33.5</v>
      </c>
    </row>
    <row r="116" spans="1:10" x14ac:dyDescent="0.35">
      <c r="A116" s="3" t="s">
        <v>280</v>
      </c>
      <c r="B116" s="3" t="s">
        <v>281</v>
      </c>
      <c r="C116" s="4" t="s">
        <v>65</v>
      </c>
      <c r="D116" s="4">
        <v>30</v>
      </c>
      <c r="E116" s="4">
        <v>36.9</v>
      </c>
      <c r="F116" s="4">
        <v>0</v>
      </c>
      <c r="G116" s="4">
        <v>0</v>
      </c>
      <c r="H116" s="4">
        <v>7</v>
      </c>
      <c r="I116" s="4">
        <v>23.2</v>
      </c>
      <c r="J116" s="4">
        <v>2.2999999999999998</v>
      </c>
    </row>
    <row r="117" spans="1:10" x14ac:dyDescent="0.35">
      <c r="A117" s="3" t="s">
        <v>282</v>
      </c>
      <c r="B117" s="3" t="s">
        <v>283</v>
      </c>
      <c r="C117" s="4" t="s">
        <v>65</v>
      </c>
      <c r="D117" s="4">
        <v>2.2999999999999998</v>
      </c>
      <c r="E117" s="4">
        <v>2.2999999999999998</v>
      </c>
      <c r="F117" s="4">
        <v>0</v>
      </c>
      <c r="G117" s="4">
        <v>0</v>
      </c>
      <c r="H117" s="4">
        <v>0.1</v>
      </c>
      <c r="I117" s="4">
        <v>2.2000000000000002</v>
      </c>
      <c r="J117" s="4">
        <v>0.1</v>
      </c>
    </row>
    <row r="118" spans="1:10" x14ac:dyDescent="0.35">
      <c r="A118" s="3" t="s">
        <v>284</v>
      </c>
      <c r="B118" s="3" t="s">
        <v>285</v>
      </c>
      <c r="C118" s="4" t="s">
        <v>65</v>
      </c>
      <c r="D118" s="4">
        <v>109.9</v>
      </c>
      <c r="E118" s="4">
        <v>134.69999999999999</v>
      </c>
      <c r="F118" s="4">
        <v>0.1</v>
      </c>
      <c r="G118" s="4">
        <v>0.1</v>
      </c>
      <c r="H118" s="4">
        <v>24.7</v>
      </c>
      <c r="I118" s="4">
        <v>22.5</v>
      </c>
      <c r="J118" s="4">
        <v>9.8000000000000007</v>
      </c>
    </row>
    <row r="119" spans="1:10" x14ac:dyDescent="0.35">
      <c r="A119" s="3" t="s">
        <v>286</v>
      </c>
      <c r="B119" s="3" t="s">
        <v>287</v>
      </c>
      <c r="C119" s="4" t="s">
        <v>65</v>
      </c>
      <c r="D119" s="4">
        <v>33.299999999999997</v>
      </c>
      <c r="E119" s="4">
        <v>43.9</v>
      </c>
      <c r="F119" s="4">
        <v>0</v>
      </c>
      <c r="G119" s="4">
        <v>0</v>
      </c>
      <c r="H119" s="4">
        <v>10.5</v>
      </c>
      <c r="I119" s="4">
        <v>31.6</v>
      </c>
      <c r="J119" s="4">
        <v>3.3</v>
      </c>
    </row>
    <row r="120" spans="1:10" x14ac:dyDescent="0.35">
      <c r="A120" s="3" t="s">
        <v>288</v>
      </c>
      <c r="B120" s="3" t="s">
        <v>289</v>
      </c>
      <c r="C120" s="4" t="s">
        <v>65</v>
      </c>
      <c r="D120" s="4">
        <v>168.9</v>
      </c>
      <c r="E120" s="4">
        <v>228.2</v>
      </c>
      <c r="F120" s="4">
        <v>0.1</v>
      </c>
      <c r="G120" s="4">
        <v>0.1</v>
      </c>
      <c r="H120" s="4">
        <v>59.4</v>
      </c>
      <c r="I120" s="4">
        <v>35.200000000000003</v>
      </c>
      <c r="J120" s="4">
        <v>17.7</v>
      </c>
    </row>
    <row r="121" spans="1:10" x14ac:dyDescent="0.35">
      <c r="A121" s="3" t="s">
        <v>290</v>
      </c>
      <c r="B121" s="3" t="s">
        <v>291</v>
      </c>
      <c r="C121" s="4" t="s">
        <v>65</v>
      </c>
      <c r="D121" s="4">
        <v>4.0999999999999996</v>
      </c>
      <c r="E121" s="4">
        <v>4.4000000000000004</v>
      </c>
      <c r="F121" s="4">
        <v>0</v>
      </c>
      <c r="G121" s="4">
        <v>0</v>
      </c>
      <c r="H121" s="4">
        <v>0.3</v>
      </c>
      <c r="I121" s="4">
        <v>6.2</v>
      </c>
      <c r="J121" s="4">
        <v>0.3</v>
      </c>
    </row>
    <row r="122" spans="1:10" x14ac:dyDescent="0.35">
      <c r="A122" s="3" t="s">
        <v>14</v>
      </c>
      <c r="B122" s="3" t="s">
        <v>15</v>
      </c>
      <c r="C122" s="4" t="s">
        <v>60</v>
      </c>
      <c r="D122" s="4">
        <v>2611.8000000000002</v>
      </c>
      <c r="E122" s="4">
        <v>2746.8</v>
      </c>
      <c r="F122" s="4">
        <v>1.6</v>
      </c>
      <c r="G122" s="4">
        <v>1.6</v>
      </c>
      <c r="H122" s="4">
        <v>134.9</v>
      </c>
      <c r="I122" s="4">
        <v>5.2</v>
      </c>
      <c r="J122" s="4">
        <v>188</v>
      </c>
    </row>
    <row r="123" spans="1:10" x14ac:dyDescent="0.35">
      <c r="A123" s="3" t="s">
        <v>292</v>
      </c>
      <c r="B123" s="3" t="s">
        <v>293</v>
      </c>
      <c r="C123" s="4" t="s">
        <v>60</v>
      </c>
      <c r="D123" s="4">
        <v>212.2</v>
      </c>
      <c r="E123" s="4">
        <v>221.3</v>
      </c>
      <c r="F123" s="4">
        <v>0.1</v>
      </c>
      <c r="G123" s="4">
        <v>0.1</v>
      </c>
      <c r="H123" s="4">
        <v>9.1999999999999993</v>
      </c>
      <c r="I123" s="4">
        <v>4.3</v>
      </c>
      <c r="J123" s="4">
        <v>14.5</v>
      </c>
    </row>
    <row r="124" spans="1:10" x14ac:dyDescent="0.35">
      <c r="A124" s="3" t="s">
        <v>294</v>
      </c>
      <c r="B124" s="3" t="s">
        <v>295</v>
      </c>
      <c r="C124" s="4" t="s">
        <v>60</v>
      </c>
      <c r="D124" s="4">
        <v>147.30000000000001</v>
      </c>
      <c r="E124" s="4">
        <v>153.5</v>
      </c>
      <c r="F124" s="4">
        <v>0.1</v>
      </c>
      <c r="G124" s="4">
        <v>0.1</v>
      </c>
      <c r="H124" s="4">
        <v>6.2</v>
      </c>
      <c r="I124" s="4">
        <v>4.2</v>
      </c>
      <c r="J124" s="4">
        <v>10</v>
      </c>
    </row>
    <row r="125" spans="1:10" x14ac:dyDescent="0.35">
      <c r="A125" s="3" t="s">
        <v>296</v>
      </c>
      <c r="B125" s="3" t="s">
        <v>297</v>
      </c>
      <c r="C125" s="4" t="s">
        <v>65</v>
      </c>
      <c r="D125" s="4">
        <v>123.7</v>
      </c>
      <c r="E125" s="4">
        <v>129.69999999999999</v>
      </c>
      <c r="F125" s="4">
        <v>0.1</v>
      </c>
      <c r="G125" s="4">
        <v>0.1</v>
      </c>
      <c r="H125" s="4">
        <v>6</v>
      </c>
      <c r="I125" s="4">
        <v>4.8</v>
      </c>
      <c r="J125" s="4">
        <v>8.1999999999999993</v>
      </c>
    </row>
    <row r="126" spans="1:10" x14ac:dyDescent="0.35">
      <c r="A126" s="3" t="s">
        <v>298</v>
      </c>
      <c r="B126" s="3" t="s">
        <v>299</v>
      </c>
      <c r="C126" s="4" t="s">
        <v>65</v>
      </c>
      <c r="D126" s="4">
        <v>23.6</v>
      </c>
      <c r="E126" s="4">
        <v>23.8</v>
      </c>
      <c r="F126" s="4">
        <v>0</v>
      </c>
      <c r="G126" s="4">
        <v>0</v>
      </c>
      <c r="H126" s="4">
        <v>0.2</v>
      </c>
      <c r="I126" s="4">
        <v>0.7</v>
      </c>
      <c r="J126" s="4">
        <v>1.8</v>
      </c>
    </row>
    <row r="127" spans="1:10" x14ac:dyDescent="0.35">
      <c r="A127" s="3" t="s">
        <v>300</v>
      </c>
      <c r="B127" s="3" t="s">
        <v>301</v>
      </c>
      <c r="C127" s="4" t="s">
        <v>60</v>
      </c>
      <c r="D127" s="4">
        <v>64.8</v>
      </c>
      <c r="E127" s="4">
        <v>67.8</v>
      </c>
      <c r="F127" s="4">
        <v>0</v>
      </c>
      <c r="G127" s="4">
        <v>0</v>
      </c>
      <c r="H127" s="4">
        <v>3</v>
      </c>
      <c r="I127" s="4">
        <v>4.7</v>
      </c>
      <c r="J127" s="4">
        <v>4.4000000000000004</v>
      </c>
    </row>
    <row r="128" spans="1:10" x14ac:dyDescent="0.35">
      <c r="A128" s="3" t="s">
        <v>302</v>
      </c>
      <c r="B128" s="3" t="s">
        <v>303</v>
      </c>
      <c r="C128" s="4" t="s">
        <v>65</v>
      </c>
      <c r="D128" s="4">
        <v>14</v>
      </c>
      <c r="E128" s="4">
        <v>14.7</v>
      </c>
      <c r="F128" s="4">
        <v>0</v>
      </c>
      <c r="G128" s="4">
        <v>0</v>
      </c>
      <c r="H128" s="4">
        <v>0.7</v>
      </c>
      <c r="I128" s="4">
        <v>5</v>
      </c>
      <c r="J128" s="4">
        <v>1</v>
      </c>
    </row>
    <row r="129" spans="1:10" x14ac:dyDescent="0.35">
      <c r="A129" s="3" t="s">
        <v>304</v>
      </c>
      <c r="B129" s="3" t="s">
        <v>305</v>
      </c>
      <c r="C129" s="4" t="s">
        <v>65</v>
      </c>
      <c r="D129" s="4">
        <v>50.8</v>
      </c>
      <c r="E129" s="4">
        <v>53.1</v>
      </c>
      <c r="F129" s="4">
        <v>0</v>
      </c>
      <c r="G129" s="4">
        <v>0</v>
      </c>
      <c r="H129" s="4">
        <v>2.2999999999999998</v>
      </c>
      <c r="I129" s="4">
        <v>4.5999999999999996</v>
      </c>
      <c r="J129" s="4">
        <v>3.5</v>
      </c>
    </row>
    <row r="130" spans="1:10" x14ac:dyDescent="0.35">
      <c r="A130" s="3" t="s">
        <v>306</v>
      </c>
      <c r="B130" s="3" t="s">
        <v>307</v>
      </c>
      <c r="C130" s="4" t="s">
        <v>60</v>
      </c>
      <c r="D130" s="4">
        <v>1736.1</v>
      </c>
      <c r="E130" s="4">
        <v>1856.6</v>
      </c>
      <c r="F130" s="4">
        <v>1.1000000000000001</v>
      </c>
      <c r="G130" s="4">
        <v>1.1000000000000001</v>
      </c>
      <c r="H130" s="4">
        <v>120.5</v>
      </c>
      <c r="I130" s="4">
        <v>6.9</v>
      </c>
      <c r="J130" s="4">
        <v>111.4</v>
      </c>
    </row>
    <row r="131" spans="1:10" x14ac:dyDescent="0.35">
      <c r="A131" s="3" t="s">
        <v>308</v>
      </c>
      <c r="B131" s="3" t="s">
        <v>309</v>
      </c>
      <c r="C131" s="4" t="s">
        <v>65</v>
      </c>
      <c r="D131" s="4">
        <v>63.8</v>
      </c>
      <c r="E131" s="4">
        <v>67.7</v>
      </c>
      <c r="F131" s="4">
        <v>0</v>
      </c>
      <c r="G131" s="4">
        <v>0</v>
      </c>
      <c r="H131" s="4">
        <v>3.9</v>
      </c>
      <c r="I131" s="4">
        <v>6.1</v>
      </c>
      <c r="J131" s="4">
        <v>3.8</v>
      </c>
    </row>
    <row r="132" spans="1:10" x14ac:dyDescent="0.35">
      <c r="A132" s="3" t="s">
        <v>310</v>
      </c>
      <c r="B132" s="3" t="s">
        <v>311</v>
      </c>
      <c r="C132" s="4" t="s">
        <v>65</v>
      </c>
      <c r="D132" s="4">
        <v>1.6</v>
      </c>
      <c r="E132" s="4">
        <v>1.7</v>
      </c>
      <c r="F132" s="4">
        <v>0</v>
      </c>
      <c r="G132" s="4">
        <v>0</v>
      </c>
      <c r="H132" s="4">
        <v>0.1</v>
      </c>
      <c r="I132" s="4">
        <v>6.3</v>
      </c>
      <c r="J132" s="4">
        <v>0.1</v>
      </c>
    </row>
    <row r="133" spans="1:10" x14ac:dyDescent="0.35">
      <c r="A133" s="3" t="s">
        <v>312</v>
      </c>
      <c r="B133" s="3" t="s">
        <v>313</v>
      </c>
      <c r="C133" s="4" t="s">
        <v>65</v>
      </c>
      <c r="D133" s="4">
        <v>19.7</v>
      </c>
      <c r="E133" s="4">
        <v>20.7</v>
      </c>
      <c r="F133" s="4">
        <v>0</v>
      </c>
      <c r="G133" s="4">
        <v>0</v>
      </c>
      <c r="H133" s="4">
        <v>1</v>
      </c>
      <c r="I133" s="4">
        <v>5.0999999999999996</v>
      </c>
      <c r="J133" s="4">
        <v>1.2</v>
      </c>
    </row>
    <row r="134" spans="1:10" x14ac:dyDescent="0.35">
      <c r="A134" s="3" t="s">
        <v>314</v>
      </c>
      <c r="B134" s="3" t="s">
        <v>315</v>
      </c>
      <c r="C134" s="4" t="s">
        <v>65</v>
      </c>
      <c r="D134" s="4">
        <v>20.8</v>
      </c>
      <c r="E134" s="4">
        <v>22.5</v>
      </c>
      <c r="F134" s="4">
        <v>0</v>
      </c>
      <c r="G134" s="4">
        <v>0</v>
      </c>
      <c r="H134" s="4">
        <v>1.7</v>
      </c>
      <c r="I134" s="4">
        <v>8.1</v>
      </c>
      <c r="J134" s="4">
        <v>1.3</v>
      </c>
    </row>
    <row r="135" spans="1:10" x14ac:dyDescent="0.35">
      <c r="A135" s="3" t="s">
        <v>316</v>
      </c>
      <c r="B135" s="3" t="s">
        <v>317</v>
      </c>
      <c r="C135" s="4" t="s">
        <v>65</v>
      </c>
      <c r="D135" s="4">
        <v>326.3</v>
      </c>
      <c r="E135" s="4">
        <v>342.5</v>
      </c>
      <c r="F135" s="4">
        <v>0.2</v>
      </c>
      <c r="G135" s="4">
        <v>0.2</v>
      </c>
      <c r="H135" s="4">
        <v>16.2</v>
      </c>
      <c r="I135" s="4">
        <v>5</v>
      </c>
      <c r="J135" s="4">
        <v>21.2</v>
      </c>
    </row>
    <row r="136" spans="1:10" x14ac:dyDescent="0.35">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35">
      <c r="A137" s="3" t="s">
        <v>320</v>
      </c>
      <c r="B137" s="3" t="s">
        <v>321</v>
      </c>
      <c r="C137" s="4" t="s">
        <v>60</v>
      </c>
      <c r="D137" s="4">
        <v>299.7</v>
      </c>
      <c r="E137" s="4">
        <v>315.5</v>
      </c>
      <c r="F137" s="4">
        <v>0.2</v>
      </c>
      <c r="G137" s="4">
        <v>0.2</v>
      </c>
      <c r="H137" s="4">
        <v>15.8</v>
      </c>
      <c r="I137" s="4">
        <v>5.3</v>
      </c>
      <c r="J137" s="4">
        <v>17.8</v>
      </c>
    </row>
    <row r="138" spans="1:10" x14ac:dyDescent="0.35">
      <c r="A138" s="3" t="s">
        <v>322</v>
      </c>
      <c r="B138" s="3" t="s">
        <v>323</v>
      </c>
      <c r="C138" s="4" t="s">
        <v>65</v>
      </c>
      <c r="D138" s="4">
        <v>188.8</v>
      </c>
      <c r="E138" s="4">
        <v>196.6</v>
      </c>
      <c r="F138" s="4">
        <v>0.1</v>
      </c>
      <c r="G138" s="4">
        <v>0.1</v>
      </c>
      <c r="H138" s="4">
        <v>7.9</v>
      </c>
      <c r="I138" s="4">
        <v>4.2</v>
      </c>
      <c r="J138" s="4">
        <v>11</v>
      </c>
    </row>
    <row r="139" spans="1:10" x14ac:dyDescent="0.35">
      <c r="A139" s="3" t="s">
        <v>324</v>
      </c>
      <c r="B139" s="3" t="s">
        <v>325</v>
      </c>
      <c r="C139" s="4" t="s">
        <v>65</v>
      </c>
      <c r="D139" s="4">
        <v>110.9</v>
      </c>
      <c r="E139" s="4">
        <v>118.9</v>
      </c>
      <c r="F139" s="4">
        <v>0.1</v>
      </c>
      <c r="G139" s="4">
        <v>0.1</v>
      </c>
      <c r="H139" s="4">
        <v>7.9</v>
      </c>
      <c r="I139" s="4">
        <v>7.2</v>
      </c>
      <c r="J139" s="4">
        <v>6.9</v>
      </c>
    </row>
    <row r="140" spans="1:10" x14ac:dyDescent="0.35">
      <c r="A140" s="3" t="s">
        <v>326</v>
      </c>
      <c r="B140" s="3" t="s">
        <v>327</v>
      </c>
      <c r="C140" s="4" t="s">
        <v>65</v>
      </c>
      <c r="D140" s="4">
        <v>47.3</v>
      </c>
      <c r="E140" s="4">
        <v>50.2</v>
      </c>
      <c r="F140" s="4">
        <v>0</v>
      </c>
      <c r="G140" s="4">
        <v>0</v>
      </c>
      <c r="H140" s="4">
        <v>2.9</v>
      </c>
      <c r="I140" s="4">
        <v>6.1</v>
      </c>
      <c r="J140" s="4">
        <v>3.4</v>
      </c>
    </row>
    <row r="141" spans="1:10" x14ac:dyDescent="0.35">
      <c r="A141" s="3" t="s">
        <v>328</v>
      </c>
      <c r="B141" s="3" t="s">
        <v>329</v>
      </c>
      <c r="C141" s="4" t="s">
        <v>60</v>
      </c>
      <c r="D141" s="4">
        <v>349.3</v>
      </c>
      <c r="E141" s="4">
        <v>388.5</v>
      </c>
      <c r="F141" s="4">
        <v>0.2</v>
      </c>
      <c r="G141" s="4">
        <v>0.2</v>
      </c>
      <c r="H141" s="4">
        <v>39.200000000000003</v>
      </c>
      <c r="I141" s="4">
        <v>11.2</v>
      </c>
      <c r="J141" s="4">
        <v>24.1</v>
      </c>
    </row>
    <row r="142" spans="1:10" x14ac:dyDescent="0.35">
      <c r="A142" s="3" t="s">
        <v>330</v>
      </c>
      <c r="B142" s="3" t="s">
        <v>331</v>
      </c>
      <c r="C142" s="4" t="s">
        <v>65</v>
      </c>
      <c r="D142" s="4">
        <v>22</v>
      </c>
      <c r="E142" s="4">
        <v>22.8</v>
      </c>
      <c r="F142" s="4">
        <v>0</v>
      </c>
      <c r="G142" s="4">
        <v>0</v>
      </c>
      <c r="H142" s="4">
        <v>0.8</v>
      </c>
      <c r="I142" s="4">
        <v>3.7</v>
      </c>
      <c r="J142" s="4">
        <v>1.3</v>
      </c>
    </row>
    <row r="143" spans="1:10" x14ac:dyDescent="0.35">
      <c r="A143" s="3" t="s">
        <v>332</v>
      </c>
      <c r="B143" s="3" t="s">
        <v>333</v>
      </c>
      <c r="C143" s="4" t="s">
        <v>65</v>
      </c>
      <c r="D143" s="4">
        <v>327.3</v>
      </c>
      <c r="E143" s="4">
        <v>365.7</v>
      </c>
      <c r="F143" s="4">
        <v>0.2</v>
      </c>
      <c r="G143" s="4">
        <v>0.2</v>
      </c>
      <c r="H143" s="4">
        <v>38.4</v>
      </c>
      <c r="I143" s="4">
        <v>11.7</v>
      </c>
      <c r="J143" s="4">
        <v>22.8</v>
      </c>
    </row>
    <row r="144" spans="1:10" x14ac:dyDescent="0.35">
      <c r="A144" s="3" t="s">
        <v>334</v>
      </c>
      <c r="B144" s="3" t="s">
        <v>335</v>
      </c>
      <c r="C144" s="4" t="s">
        <v>65</v>
      </c>
      <c r="D144" s="4">
        <v>8</v>
      </c>
      <c r="E144" s="4">
        <v>8.1</v>
      </c>
      <c r="F144" s="4">
        <v>0</v>
      </c>
      <c r="G144" s="4">
        <v>0</v>
      </c>
      <c r="H144" s="4">
        <v>0.1</v>
      </c>
      <c r="I144" s="4">
        <v>0.7</v>
      </c>
      <c r="J144" s="4">
        <v>0.4</v>
      </c>
    </row>
    <row r="145" spans="1:10" x14ac:dyDescent="0.35">
      <c r="A145" s="3" t="s">
        <v>336</v>
      </c>
      <c r="B145" s="3" t="s">
        <v>337</v>
      </c>
      <c r="C145" s="4" t="s">
        <v>65</v>
      </c>
      <c r="D145" s="4">
        <v>22.3</v>
      </c>
      <c r="E145" s="4">
        <v>23.5</v>
      </c>
      <c r="F145" s="4">
        <v>0</v>
      </c>
      <c r="G145" s="4">
        <v>0</v>
      </c>
      <c r="H145" s="4">
        <v>1.1000000000000001</v>
      </c>
      <c r="I145" s="4">
        <v>5.0999999999999996</v>
      </c>
      <c r="J145" s="4">
        <v>1.5</v>
      </c>
    </row>
    <row r="146" spans="1:10" x14ac:dyDescent="0.35">
      <c r="A146" s="3" t="s">
        <v>338</v>
      </c>
      <c r="B146" s="3" t="s">
        <v>339</v>
      </c>
      <c r="C146" s="4" t="s">
        <v>65</v>
      </c>
      <c r="D146" s="4">
        <v>286.10000000000002</v>
      </c>
      <c r="E146" s="4">
        <v>314.7</v>
      </c>
      <c r="F146" s="4">
        <v>0.2</v>
      </c>
      <c r="G146" s="4">
        <v>0.2</v>
      </c>
      <c r="H146" s="4">
        <v>28.5</v>
      </c>
      <c r="I146" s="4">
        <v>10</v>
      </c>
      <c r="J146" s="4">
        <v>19.2</v>
      </c>
    </row>
    <row r="147" spans="1:10" x14ac:dyDescent="0.35">
      <c r="A147" s="3" t="s">
        <v>340</v>
      </c>
      <c r="B147" s="3" t="s">
        <v>341</v>
      </c>
      <c r="C147" s="4" t="s">
        <v>65</v>
      </c>
      <c r="D147" s="4">
        <v>7.5</v>
      </c>
      <c r="E147" s="4">
        <v>7.6</v>
      </c>
      <c r="F147" s="4">
        <v>0</v>
      </c>
      <c r="G147" s="4">
        <v>0</v>
      </c>
      <c r="H147" s="4">
        <v>0</v>
      </c>
      <c r="I147" s="4">
        <v>0.3</v>
      </c>
      <c r="J147" s="4">
        <v>0.4</v>
      </c>
    </row>
    <row r="148" spans="1:10" x14ac:dyDescent="0.35">
      <c r="A148" s="3" t="s">
        <v>342</v>
      </c>
      <c r="B148" s="3" t="s">
        <v>343</v>
      </c>
      <c r="C148" s="4" t="s">
        <v>65</v>
      </c>
      <c r="D148" s="4">
        <v>13.8</v>
      </c>
      <c r="E148" s="4">
        <v>13.9</v>
      </c>
      <c r="F148" s="4">
        <v>0</v>
      </c>
      <c r="G148" s="4">
        <v>0</v>
      </c>
      <c r="H148" s="4">
        <v>0.1</v>
      </c>
      <c r="I148" s="4">
        <v>1.1000000000000001</v>
      </c>
      <c r="J148" s="4">
        <v>0.8</v>
      </c>
    </row>
    <row r="149" spans="1:10" x14ac:dyDescent="0.35">
      <c r="A149" s="3" t="s">
        <v>344</v>
      </c>
      <c r="B149" s="3" t="s">
        <v>345</v>
      </c>
      <c r="C149" s="4" t="s">
        <v>65</v>
      </c>
      <c r="D149" s="4">
        <v>21.4</v>
      </c>
      <c r="E149" s="4">
        <v>21.9</v>
      </c>
      <c r="F149" s="4">
        <v>0</v>
      </c>
      <c r="G149" s="4">
        <v>0</v>
      </c>
      <c r="H149" s="4">
        <v>0.5</v>
      </c>
      <c r="I149" s="4">
        <v>2.5</v>
      </c>
      <c r="J149" s="4">
        <v>1.2</v>
      </c>
    </row>
    <row r="150" spans="1:10" x14ac:dyDescent="0.35">
      <c r="A150" s="3" t="s">
        <v>346</v>
      </c>
      <c r="B150" s="3" t="s">
        <v>347</v>
      </c>
      <c r="C150" s="4" t="s">
        <v>65</v>
      </c>
      <c r="D150" s="4">
        <v>170.3</v>
      </c>
      <c r="E150" s="4">
        <v>176</v>
      </c>
      <c r="F150" s="4">
        <v>0.1</v>
      </c>
      <c r="G150" s="4">
        <v>0.1</v>
      </c>
      <c r="H150" s="4">
        <v>5.7</v>
      </c>
      <c r="I150" s="4">
        <v>3.3</v>
      </c>
      <c r="J150" s="4">
        <v>10.4</v>
      </c>
    </row>
    <row r="151" spans="1:10" x14ac:dyDescent="0.35">
      <c r="A151" s="3" t="s">
        <v>348</v>
      </c>
      <c r="B151" s="3" t="s">
        <v>349</v>
      </c>
      <c r="C151" s="4" t="s">
        <v>60</v>
      </c>
      <c r="D151" s="4">
        <v>663.6</v>
      </c>
      <c r="E151" s="4">
        <v>668.8</v>
      </c>
      <c r="F151" s="4">
        <v>0.4</v>
      </c>
      <c r="G151" s="4">
        <v>0.4</v>
      </c>
      <c r="H151" s="4">
        <v>5.2</v>
      </c>
      <c r="I151" s="4">
        <v>0.8</v>
      </c>
      <c r="J151" s="4">
        <v>62.1</v>
      </c>
    </row>
    <row r="152" spans="1:10" x14ac:dyDescent="0.35">
      <c r="A152" s="3" t="s">
        <v>350</v>
      </c>
      <c r="B152" s="3" t="s">
        <v>351</v>
      </c>
      <c r="C152" s="4" t="s">
        <v>60</v>
      </c>
      <c r="D152" s="4">
        <v>197.3</v>
      </c>
      <c r="E152" s="4">
        <v>193</v>
      </c>
      <c r="F152" s="4">
        <v>0.1</v>
      </c>
      <c r="G152" s="4">
        <v>0.1</v>
      </c>
      <c r="H152" s="4">
        <v>-4.3</v>
      </c>
      <c r="I152" s="4">
        <v>-2.2000000000000002</v>
      </c>
      <c r="J152" s="4">
        <v>16.600000000000001</v>
      </c>
    </row>
    <row r="153" spans="1:10" x14ac:dyDescent="0.35">
      <c r="A153" s="3" t="s">
        <v>352</v>
      </c>
      <c r="B153" s="3" t="s">
        <v>353</v>
      </c>
      <c r="C153" s="4" t="s">
        <v>65</v>
      </c>
      <c r="D153" s="4">
        <v>107.1</v>
      </c>
      <c r="E153" s="4">
        <v>107.7</v>
      </c>
      <c r="F153" s="4">
        <v>0.1</v>
      </c>
      <c r="G153" s="4">
        <v>0.1</v>
      </c>
      <c r="H153" s="4">
        <v>0.6</v>
      </c>
      <c r="I153" s="4">
        <v>0.6</v>
      </c>
      <c r="J153" s="4">
        <v>10</v>
      </c>
    </row>
    <row r="154" spans="1:10" x14ac:dyDescent="0.35">
      <c r="A154" s="3" t="s">
        <v>354</v>
      </c>
      <c r="B154" s="3" t="s">
        <v>355</v>
      </c>
      <c r="C154" s="4" t="s">
        <v>65</v>
      </c>
      <c r="D154" s="4">
        <v>21.8</v>
      </c>
      <c r="E154" s="4">
        <v>22</v>
      </c>
      <c r="F154" s="4">
        <v>0</v>
      </c>
      <c r="G154" s="4">
        <v>0</v>
      </c>
      <c r="H154" s="4">
        <v>0.2</v>
      </c>
      <c r="I154" s="4">
        <v>0.9</v>
      </c>
      <c r="J154" s="4">
        <v>1.8</v>
      </c>
    </row>
    <row r="155" spans="1:10" x14ac:dyDescent="0.35">
      <c r="A155" s="3" t="s">
        <v>356</v>
      </c>
      <c r="B155" s="3" t="s">
        <v>357</v>
      </c>
      <c r="C155" s="4" t="s">
        <v>65</v>
      </c>
      <c r="D155" s="4">
        <v>49.6</v>
      </c>
      <c r="E155" s="4">
        <v>46</v>
      </c>
      <c r="F155" s="4">
        <v>0</v>
      </c>
      <c r="G155" s="4">
        <v>0</v>
      </c>
      <c r="H155" s="4">
        <v>-3.6</v>
      </c>
      <c r="I155" s="4">
        <v>-7.2</v>
      </c>
      <c r="J155" s="4">
        <v>3.5</v>
      </c>
    </row>
    <row r="156" spans="1:10" x14ac:dyDescent="0.35">
      <c r="A156" s="3" t="s">
        <v>358</v>
      </c>
      <c r="B156" s="3" t="s">
        <v>359</v>
      </c>
      <c r="C156" s="4" t="s">
        <v>65</v>
      </c>
      <c r="D156" s="4">
        <v>18.7</v>
      </c>
      <c r="E156" s="4">
        <v>17.3</v>
      </c>
      <c r="F156" s="4">
        <v>0</v>
      </c>
      <c r="G156" s="4">
        <v>0</v>
      </c>
      <c r="H156" s="4">
        <v>-1.5</v>
      </c>
      <c r="I156" s="4">
        <v>-7.8</v>
      </c>
      <c r="J156" s="4">
        <v>1.3</v>
      </c>
    </row>
    <row r="157" spans="1:10" x14ac:dyDescent="0.35">
      <c r="A157" s="3" t="s">
        <v>360</v>
      </c>
      <c r="B157" s="3" t="s">
        <v>361</v>
      </c>
      <c r="C157" s="4" t="s">
        <v>60</v>
      </c>
      <c r="D157" s="4">
        <v>402.1</v>
      </c>
      <c r="E157" s="4">
        <v>409.5</v>
      </c>
      <c r="F157" s="4">
        <v>0.2</v>
      </c>
      <c r="G157" s="4">
        <v>0.2</v>
      </c>
      <c r="H157" s="4">
        <v>7.3</v>
      </c>
      <c r="I157" s="4">
        <v>1.8</v>
      </c>
      <c r="J157" s="4">
        <v>37.799999999999997</v>
      </c>
    </row>
    <row r="158" spans="1:10" x14ac:dyDescent="0.35">
      <c r="A158" s="3" t="s">
        <v>362</v>
      </c>
      <c r="B158" s="3" t="s">
        <v>363</v>
      </c>
      <c r="C158" s="4" t="s">
        <v>65</v>
      </c>
      <c r="D158" s="4">
        <v>10.199999999999999</v>
      </c>
      <c r="E158" s="4">
        <v>11</v>
      </c>
      <c r="F158" s="4">
        <v>0</v>
      </c>
      <c r="G158" s="4">
        <v>0</v>
      </c>
      <c r="H158" s="4">
        <v>0.8</v>
      </c>
      <c r="I158" s="4">
        <v>8.3000000000000007</v>
      </c>
      <c r="J158" s="4">
        <v>1</v>
      </c>
    </row>
    <row r="159" spans="1:10" x14ac:dyDescent="0.35">
      <c r="A159" s="3" t="s">
        <v>364</v>
      </c>
      <c r="B159" s="3" t="s">
        <v>365</v>
      </c>
      <c r="C159" s="4" t="s">
        <v>65</v>
      </c>
      <c r="D159" s="4">
        <v>64.8</v>
      </c>
      <c r="E159" s="4">
        <v>65.400000000000006</v>
      </c>
      <c r="F159" s="4">
        <v>0</v>
      </c>
      <c r="G159" s="4">
        <v>0</v>
      </c>
      <c r="H159" s="4">
        <v>0.6</v>
      </c>
      <c r="I159" s="4">
        <v>0.9</v>
      </c>
      <c r="J159" s="4">
        <v>5.9</v>
      </c>
    </row>
    <row r="160" spans="1:10" x14ac:dyDescent="0.35">
      <c r="A160" s="3" t="s">
        <v>366</v>
      </c>
      <c r="B160" s="3" t="s">
        <v>367</v>
      </c>
      <c r="C160" s="4" t="s">
        <v>65</v>
      </c>
      <c r="D160" s="4">
        <v>102.5</v>
      </c>
      <c r="E160" s="4">
        <v>103.3</v>
      </c>
      <c r="F160" s="4">
        <v>0.1</v>
      </c>
      <c r="G160" s="4">
        <v>0.1</v>
      </c>
      <c r="H160" s="4">
        <v>0.8</v>
      </c>
      <c r="I160" s="4">
        <v>0.8</v>
      </c>
      <c r="J160" s="4">
        <v>9.9</v>
      </c>
    </row>
    <row r="161" spans="1:10" x14ac:dyDescent="0.35">
      <c r="A161" s="3" t="s">
        <v>368</v>
      </c>
      <c r="B161" s="3" t="s">
        <v>369</v>
      </c>
      <c r="C161" s="4" t="s">
        <v>65</v>
      </c>
      <c r="D161" s="4">
        <v>15.2</v>
      </c>
      <c r="E161" s="4">
        <v>14.8</v>
      </c>
      <c r="F161" s="4">
        <v>0</v>
      </c>
      <c r="G161" s="4">
        <v>0</v>
      </c>
      <c r="H161" s="4">
        <v>-0.4</v>
      </c>
      <c r="I161" s="4">
        <v>-2.7</v>
      </c>
      <c r="J161" s="4">
        <v>1.3</v>
      </c>
    </row>
    <row r="162" spans="1:10" x14ac:dyDescent="0.35">
      <c r="A162" s="3" t="s">
        <v>370</v>
      </c>
      <c r="B162" s="3" t="s">
        <v>371</v>
      </c>
      <c r="C162" s="4" t="s">
        <v>65</v>
      </c>
      <c r="D162" s="4">
        <v>13.9</v>
      </c>
      <c r="E162" s="4">
        <v>14.1</v>
      </c>
      <c r="F162" s="4">
        <v>0</v>
      </c>
      <c r="G162" s="4">
        <v>0</v>
      </c>
      <c r="H162" s="4">
        <v>0.2</v>
      </c>
      <c r="I162" s="4">
        <v>1.3</v>
      </c>
      <c r="J162" s="4">
        <v>1.3</v>
      </c>
    </row>
    <row r="163" spans="1:10" x14ac:dyDescent="0.35">
      <c r="A163" s="3" t="s">
        <v>372</v>
      </c>
      <c r="B163" s="3" t="s">
        <v>373</v>
      </c>
      <c r="C163" s="4" t="s">
        <v>65</v>
      </c>
      <c r="D163" s="4">
        <v>69.099999999999994</v>
      </c>
      <c r="E163" s="4">
        <v>71.3</v>
      </c>
      <c r="F163" s="4">
        <v>0</v>
      </c>
      <c r="G163" s="4">
        <v>0</v>
      </c>
      <c r="H163" s="4">
        <v>2.2000000000000002</v>
      </c>
      <c r="I163" s="4">
        <v>3.2</v>
      </c>
      <c r="J163" s="4">
        <v>6.5</v>
      </c>
    </row>
    <row r="164" spans="1:10" x14ac:dyDescent="0.35">
      <c r="A164" s="3" t="s">
        <v>374</v>
      </c>
      <c r="B164" s="3" t="s">
        <v>375</v>
      </c>
      <c r="C164" s="4" t="s">
        <v>65</v>
      </c>
      <c r="D164" s="4">
        <v>41.1</v>
      </c>
      <c r="E164" s="4">
        <v>41.4</v>
      </c>
      <c r="F164" s="4">
        <v>0</v>
      </c>
      <c r="G164" s="4">
        <v>0</v>
      </c>
      <c r="H164" s="4">
        <v>0.3</v>
      </c>
      <c r="I164" s="4">
        <v>0.6</v>
      </c>
      <c r="J164" s="4">
        <v>3.7</v>
      </c>
    </row>
    <row r="165" spans="1:10" x14ac:dyDescent="0.35">
      <c r="A165" s="3" t="s">
        <v>376</v>
      </c>
      <c r="B165" s="3" t="s">
        <v>377</v>
      </c>
      <c r="C165" s="4" t="s">
        <v>65</v>
      </c>
      <c r="D165" s="4">
        <v>11.3</v>
      </c>
      <c r="E165" s="4">
        <v>11.8</v>
      </c>
      <c r="F165" s="4">
        <v>0</v>
      </c>
      <c r="G165" s="4">
        <v>0</v>
      </c>
      <c r="H165" s="4">
        <v>0.5</v>
      </c>
      <c r="I165" s="4">
        <v>4.4000000000000004</v>
      </c>
      <c r="J165" s="4">
        <v>1.1000000000000001</v>
      </c>
    </row>
    <row r="166" spans="1:10" x14ac:dyDescent="0.35">
      <c r="A166" s="3" t="s">
        <v>378</v>
      </c>
      <c r="B166" s="3" t="s">
        <v>379</v>
      </c>
      <c r="C166" s="4" t="s">
        <v>65</v>
      </c>
      <c r="D166" s="4">
        <v>74.099999999999994</v>
      </c>
      <c r="E166" s="4">
        <v>76.400000000000006</v>
      </c>
      <c r="F166" s="4">
        <v>0</v>
      </c>
      <c r="G166" s="4">
        <v>0</v>
      </c>
      <c r="H166" s="4">
        <v>2.2999999999999998</v>
      </c>
      <c r="I166" s="4">
        <v>3.1</v>
      </c>
      <c r="J166" s="4">
        <v>7</v>
      </c>
    </row>
    <row r="167" spans="1:10" x14ac:dyDescent="0.35">
      <c r="A167" s="3" t="s">
        <v>380</v>
      </c>
      <c r="B167" s="3" t="s">
        <v>381</v>
      </c>
      <c r="C167" s="4" t="s">
        <v>65</v>
      </c>
      <c r="D167" s="4">
        <v>64.2</v>
      </c>
      <c r="E167" s="4">
        <v>66.3</v>
      </c>
      <c r="F167" s="4">
        <v>0</v>
      </c>
      <c r="G167" s="4">
        <v>0</v>
      </c>
      <c r="H167" s="4">
        <v>2.1</v>
      </c>
      <c r="I167" s="4">
        <v>3.3</v>
      </c>
      <c r="J167" s="4">
        <v>7.8</v>
      </c>
    </row>
    <row r="168" spans="1:10" x14ac:dyDescent="0.35">
      <c r="A168" s="3" t="s">
        <v>16</v>
      </c>
      <c r="B168" s="3" t="s">
        <v>17</v>
      </c>
      <c r="C168" s="4" t="s">
        <v>60</v>
      </c>
      <c r="D168" s="4">
        <v>1473.7</v>
      </c>
      <c r="E168" s="4">
        <v>1563.2</v>
      </c>
      <c r="F168" s="4">
        <v>0.9</v>
      </c>
      <c r="G168" s="4">
        <v>0.9</v>
      </c>
      <c r="H168" s="4">
        <v>89.5</v>
      </c>
      <c r="I168" s="4">
        <v>6.1</v>
      </c>
      <c r="J168" s="4">
        <v>136.80000000000001</v>
      </c>
    </row>
    <row r="169" spans="1:10" x14ac:dyDescent="0.35">
      <c r="A169" s="3" t="s">
        <v>382</v>
      </c>
      <c r="B169" s="3" t="s">
        <v>383</v>
      </c>
      <c r="C169" s="4" t="s">
        <v>60</v>
      </c>
      <c r="D169" s="4">
        <v>344.4</v>
      </c>
      <c r="E169" s="4">
        <v>368.8</v>
      </c>
      <c r="F169" s="4">
        <v>0.2</v>
      </c>
      <c r="G169" s="4">
        <v>0.2</v>
      </c>
      <c r="H169" s="4">
        <v>24.5</v>
      </c>
      <c r="I169" s="4">
        <v>7.1</v>
      </c>
      <c r="J169" s="4">
        <v>25.4</v>
      </c>
    </row>
    <row r="170" spans="1:10" x14ac:dyDescent="0.35">
      <c r="A170" s="3" t="s">
        <v>384</v>
      </c>
      <c r="B170" s="3" t="s">
        <v>385</v>
      </c>
      <c r="C170" s="4" t="s">
        <v>60</v>
      </c>
      <c r="D170" s="4">
        <v>35.4</v>
      </c>
      <c r="E170" s="4">
        <v>37.5</v>
      </c>
      <c r="F170" s="4">
        <v>0</v>
      </c>
      <c r="G170" s="4">
        <v>0</v>
      </c>
      <c r="H170" s="4">
        <v>2.1</v>
      </c>
      <c r="I170" s="4">
        <v>6</v>
      </c>
      <c r="J170" s="4">
        <v>3</v>
      </c>
    </row>
    <row r="171" spans="1:10" x14ac:dyDescent="0.35">
      <c r="A171" s="3" t="s">
        <v>386</v>
      </c>
      <c r="B171" s="3" t="s">
        <v>387</v>
      </c>
      <c r="C171" s="4" t="s">
        <v>65</v>
      </c>
      <c r="D171" s="4">
        <v>2.8</v>
      </c>
      <c r="E171" s="4">
        <v>2.9</v>
      </c>
      <c r="F171" s="4">
        <v>0</v>
      </c>
      <c r="G171" s="4">
        <v>0</v>
      </c>
      <c r="H171" s="4">
        <v>0.2</v>
      </c>
      <c r="I171" s="4">
        <v>5.7</v>
      </c>
      <c r="J171" s="4">
        <v>0.2</v>
      </c>
    </row>
    <row r="172" spans="1:10" x14ac:dyDescent="0.35">
      <c r="A172" s="3" t="s">
        <v>388</v>
      </c>
      <c r="B172" s="3" t="s">
        <v>389</v>
      </c>
      <c r="C172" s="4" t="s">
        <v>65</v>
      </c>
      <c r="D172" s="4">
        <v>15.3</v>
      </c>
      <c r="E172" s="4">
        <v>16.5</v>
      </c>
      <c r="F172" s="4">
        <v>0</v>
      </c>
      <c r="G172" s="4">
        <v>0</v>
      </c>
      <c r="H172" s="4">
        <v>1.1000000000000001</v>
      </c>
      <c r="I172" s="4">
        <v>7.5</v>
      </c>
      <c r="J172" s="4">
        <v>1.3</v>
      </c>
    </row>
    <row r="173" spans="1:10" x14ac:dyDescent="0.35">
      <c r="A173" s="3" t="s">
        <v>390</v>
      </c>
      <c r="B173" s="3" t="s">
        <v>391</v>
      </c>
      <c r="C173" s="4" t="s">
        <v>65</v>
      </c>
      <c r="D173" s="4">
        <v>17.2</v>
      </c>
      <c r="E173" s="4">
        <v>18.100000000000001</v>
      </c>
      <c r="F173" s="4">
        <v>0</v>
      </c>
      <c r="G173" s="4">
        <v>0</v>
      </c>
      <c r="H173" s="4">
        <v>0.8</v>
      </c>
      <c r="I173" s="4">
        <v>4.7</v>
      </c>
      <c r="J173" s="4">
        <v>1.4</v>
      </c>
    </row>
    <row r="174" spans="1:10" x14ac:dyDescent="0.35">
      <c r="A174" s="3" t="s">
        <v>392</v>
      </c>
      <c r="B174" s="3" t="s">
        <v>393</v>
      </c>
      <c r="C174" s="4" t="s">
        <v>60</v>
      </c>
      <c r="D174" s="4">
        <v>135</v>
      </c>
      <c r="E174" s="4">
        <v>141.30000000000001</v>
      </c>
      <c r="F174" s="4">
        <v>0.1</v>
      </c>
      <c r="G174" s="4">
        <v>0.1</v>
      </c>
      <c r="H174" s="4">
        <v>6.3</v>
      </c>
      <c r="I174" s="4">
        <v>4.7</v>
      </c>
      <c r="J174" s="4">
        <v>10.6</v>
      </c>
    </row>
    <row r="175" spans="1:10" x14ac:dyDescent="0.35">
      <c r="A175" s="3" t="s">
        <v>394</v>
      </c>
      <c r="B175" s="3" t="s">
        <v>395</v>
      </c>
      <c r="C175" s="4" t="s">
        <v>65</v>
      </c>
      <c r="D175" s="4">
        <v>34.5</v>
      </c>
      <c r="E175" s="4">
        <v>36.799999999999997</v>
      </c>
      <c r="F175" s="4">
        <v>0</v>
      </c>
      <c r="G175" s="4">
        <v>0</v>
      </c>
      <c r="H175" s="4">
        <v>2.2999999999999998</v>
      </c>
      <c r="I175" s="4">
        <v>6.7</v>
      </c>
      <c r="J175" s="4">
        <v>2.8</v>
      </c>
    </row>
    <row r="176" spans="1:10" x14ac:dyDescent="0.35">
      <c r="A176" s="3" t="s">
        <v>396</v>
      </c>
      <c r="B176" s="3" t="s">
        <v>397</v>
      </c>
      <c r="C176" s="4" t="s">
        <v>65</v>
      </c>
      <c r="D176" s="4">
        <v>20.9</v>
      </c>
      <c r="E176" s="4">
        <v>22</v>
      </c>
      <c r="F176" s="4">
        <v>0</v>
      </c>
      <c r="G176" s="4">
        <v>0</v>
      </c>
      <c r="H176" s="4">
        <v>1.1000000000000001</v>
      </c>
      <c r="I176" s="4">
        <v>5.2</v>
      </c>
      <c r="J176" s="4">
        <v>1.7</v>
      </c>
    </row>
    <row r="177" spans="1:10" x14ac:dyDescent="0.35">
      <c r="A177" s="3" t="s">
        <v>398</v>
      </c>
      <c r="B177" s="3" t="s">
        <v>399</v>
      </c>
      <c r="C177" s="4" t="s">
        <v>65</v>
      </c>
      <c r="D177" s="4">
        <v>19.100000000000001</v>
      </c>
      <c r="E177" s="4">
        <v>19.7</v>
      </c>
      <c r="F177" s="4">
        <v>0</v>
      </c>
      <c r="G177" s="4">
        <v>0</v>
      </c>
      <c r="H177" s="4">
        <v>0.6</v>
      </c>
      <c r="I177" s="4">
        <v>3</v>
      </c>
      <c r="J177" s="4">
        <v>1.5</v>
      </c>
    </row>
    <row r="178" spans="1:10" x14ac:dyDescent="0.35">
      <c r="A178" s="3" t="s">
        <v>400</v>
      </c>
      <c r="B178" s="3" t="s">
        <v>401</v>
      </c>
      <c r="C178" s="4" t="s">
        <v>65</v>
      </c>
      <c r="D178" s="4">
        <v>60.4</v>
      </c>
      <c r="E178" s="4">
        <v>62.7</v>
      </c>
      <c r="F178" s="4">
        <v>0</v>
      </c>
      <c r="G178" s="4">
        <v>0</v>
      </c>
      <c r="H178" s="4">
        <v>2.2999999999999998</v>
      </c>
      <c r="I178" s="4">
        <v>3.9</v>
      </c>
      <c r="J178" s="4">
        <v>4.7</v>
      </c>
    </row>
    <row r="179" spans="1:10" x14ac:dyDescent="0.35">
      <c r="A179" s="3" t="s">
        <v>402</v>
      </c>
      <c r="B179" s="3" t="s">
        <v>403</v>
      </c>
      <c r="C179" s="4" t="s">
        <v>60</v>
      </c>
      <c r="D179" s="4">
        <v>36</v>
      </c>
      <c r="E179" s="4">
        <v>37.299999999999997</v>
      </c>
      <c r="F179" s="4">
        <v>0</v>
      </c>
      <c r="G179" s="4">
        <v>0</v>
      </c>
      <c r="H179" s="4">
        <v>1.3</v>
      </c>
      <c r="I179" s="4">
        <v>3.5</v>
      </c>
      <c r="J179" s="4">
        <v>3</v>
      </c>
    </row>
    <row r="180" spans="1:10" x14ac:dyDescent="0.35">
      <c r="A180" s="3" t="s">
        <v>404</v>
      </c>
      <c r="B180" s="3" t="s">
        <v>405</v>
      </c>
      <c r="C180" s="4" t="s">
        <v>65</v>
      </c>
      <c r="D180" s="4">
        <v>24.7</v>
      </c>
      <c r="E180" s="4">
        <v>25.7</v>
      </c>
      <c r="F180" s="4">
        <v>0</v>
      </c>
      <c r="G180" s="4">
        <v>0</v>
      </c>
      <c r="H180" s="4">
        <v>1</v>
      </c>
      <c r="I180" s="4">
        <v>4.0999999999999996</v>
      </c>
      <c r="J180" s="4">
        <v>2.1</v>
      </c>
    </row>
    <row r="181" spans="1:10" x14ac:dyDescent="0.35">
      <c r="A181" s="3" t="s">
        <v>406</v>
      </c>
      <c r="B181" s="3" t="s">
        <v>407</v>
      </c>
      <c r="C181" s="4" t="s">
        <v>65</v>
      </c>
      <c r="D181" s="4">
        <v>11.3</v>
      </c>
      <c r="E181" s="4">
        <v>11.6</v>
      </c>
      <c r="F181" s="4">
        <v>0</v>
      </c>
      <c r="G181" s="4">
        <v>0</v>
      </c>
      <c r="H181" s="4">
        <v>0.3</v>
      </c>
      <c r="I181" s="4">
        <v>2.4</v>
      </c>
      <c r="J181" s="4">
        <v>0.9</v>
      </c>
    </row>
    <row r="182" spans="1:10" x14ac:dyDescent="0.35">
      <c r="A182" s="3" t="s">
        <v>408</v>
      </c>
      <c r="B182" s="3" t="s">
        <v>409</v>
      </c>
      <c r="C182" s="4" t="s">
        <v>60</v>
      </c>
      <c r="D182" s="4">
        <v>129.1</v>
      </c>
      <c r="E182" s="4">
        <v>143.4</v>
      </c>
      <c r="F182" s="4">
        <v>0.1</v>
      </c>
      <c r="G182" s="4">
        <v>0.1</v>
      </c>
      <c r="H182" s="4">
        <v>14.3</v>
      </c>
      <c r="I182" s="4">
        <v>11.1</v>
      </c>
      <c r="J182" s="4">
        <v>8.3000000000000007</v>
      </c>
    </row>
    <row r="183" spans="1:10" x14ac:dyDescent="0.35">
      <c r="A183" s="3" t="s">
        <v>410</v>
      </c>
      <c r="B183" s="3" t="s">
        <v>411</v>
      </c>
      <c r="C183" s="4" t="s">
        <v>65</v>
      </c>
      <c r="D183" s="4">
        <v>10</v>
      </c>
      <c r="E183" s="4">
        <v>12.7</v>
      </c>
      <c r="F183" s="4">
        <v>0</v>
      </c>
      <c r="G183" s="4">
        <v>0</v>
      </c>
      <c r="H183" s="4">
        <v>2.7</v>
      </c>
      <c r="I183" s="4">
        <v>26.7</v>
      </c>
      <c r="J183" s="4">
        <v>0.8</v>
      </c>
    </row>
    <row r="184" spans="1:10" x14ac:dyDescent="0.35">
      <c r="A184" s="3" t="s">
        <v>412</v>
      </c>
      <c r="B184" s="3" t="s">
        <v>413</v>
      </c>
      <c r="C184" s="4" t="s">
        <v>65</v>
      </c>
      <c r="D184" s="4">
        <v>119</v>
      </c>
      <c r="E184" s="4">
        <v>130.69999999999999</v>
      </c>
      <c r="F184" s="4">
        <v>0.1</v>
      </c>
      <c r="G184" s="4">
        <v>0.1</v>
      </c>
      <c r="H184" s="4">
        <v>11.6</v>
      </c>
      <c r="I184" s="4">
        <v>9.8000000000000007</v>
      </c>
      <c r="J184" s="4">
        <v>7.5</v>
      </c>
    </row>
    <row r="185" spans="1:10" x14ac:dyDescent="0.35">
      <c r="A185" s="3" t="s">
        <v>414</v>
      </c>
      <c r="B185" s="3" t="s">
        <v>415</v>
      </c>
      <c r="C185" s="4" t="s">
        <v>65</v>
      </c>
      <c r="D185" s="4">
        <v>9</v>
      </c>
      <c r="E185" s="4">
        <v>9.4</v>
      </c>
      <c r="F185" s="4">
        <v>0</v>
      </c>
      <c r="G185" s="4">
        <v>0</v>
      </c>
      <c r="H185" s="4">
        <v>0.5</v>
      </c>
      <c r="I185" s="4">
        <v>5.2</v>
      </c>
      <c r="J185" s="4">
        <v>0.5</v>
      </c>
    </row>
    <row r="186" spans="1:10" x14ac:dyDescent="0.35">
      <c r="A186" s="3" t="s">
        <v>416</v>
      </c>
      <c r="B186" s="3" t="s">
        <v>417</v>
      </c>
      <c r="C186" s="4" t="s">
        <v>60</v>
      </c>
      <c r="D186" s="4">
        <v>267.8</v>
      </c>
      <c r="E186" s="4">
        <v>282.10000000000002</v>
      </c>
      <c r="F186" s="4">
        <v>0.2</v>
      </c>
      <c r="G186" s="4">
        <v>0.2</v>
      </c>
      <c r="H186" s="4">
        <v>14.2</v>
      </c>
      <c r="I186" s="4">
        <v>5.3</v>
      </c>
      <c r="J186" s="4">
        <v>21</v>
      </c>
    </row>
    <row r="187" spans="1:10" x14ac:dyDescent="0.35">
      <c r="A187" s="3" t="s">
        <v>418</v>
      </c>
      <c r="B187" s="3" t="s">
        <v>419</v>
      </c>
      <c r="C187" s="4" t="s">
        <v>60</v>
      </c>
      <c r="D187" s="4">
        <v>23.6</v>
      </c>
      <c r="E187" s="4">
        <v>24.7</v>
      </c>
      <c r="F187" s="4">
        <v>0</v>
      </c>
      <c r="G187" s="4">
        <v>0</v>
      </c>
      <c r="H187" s="4">
        <v>1.1000000000000001</v>
      </c>
      <c r="I187" s="4">
        <v>4.7</v>
      </c>
      <c r="J187" s="4">
        <v>1.5</v>
      </c>
    </row>
    <row r="188" spans="1:10" x14ac:dyDescent="0.35">
      <c r="A188" s="3" t="s">
        <v>420</v>
      </c>
      <c r="B188" s="3" t="s">
        <v>421</v>
      </c>
      <c r="C188" s="4" t="s">
        <v>65</v>
      </c>
      <c r="D188" s="4">
        <v>2.4</v>
      </c>
      <c r="E188" s="4">
        <v>2.6</v>
      </c>
      <c r="F188" s="4">
        <v>0</v>
      </c>
      <c r="G188" s="4">
        <v>0</v>
      </c>
      <c r="H188" s="4">
        <v>0.1</v>
      </c>
      <c r="I188" s="4">
        <v>4.5999999999999996</v>
      </c>
      <c r="J188" s="4">
        <v>0.2</v>
      </c>
    </row>
    <row r="189" spans="1:10" x14ac:dyDescent="0.35">
      <c r="A189" s="3" t="s">
        <v>422</v>
      </c>
      <c r="B189" s="3" t="s">
        <v>423</v>
      </c>
      <c r="C189" s="4" t="s">
        <v>65</v>
      </c>
      <c r="D189" s="4">
        <v>21.1</v>
      </c>
      <c r="E189" s="4">
        <v>22.1</v>
      </c>
      <c r="F189" s="4">
        <v>0</v>
      </c>
      <c r="G189" s="4">
        <v>0</v>
      </c>
      <c r="H189" s="4">
        <v>1</v>
      </c>
      <c r="I189" s="4">
        <v>4.7</v>
      </c>
      <c r="J189" s="4">
        <v>1.4</v>
      </c>
    </row>
    <row r="190" spans="1:10" x14ac:dyDescent="0.35">
      <c r="A190" s="3" t="s">
        <v>424</v>
      </c>
      <c r="B190" s="3" t="s">
        <v>425</v>
      </c>
      <c r="C190" s="4" t="s">
        <v>65</v>
      </c>
      <c r="D190" s="4">
        <v>10.5</v>
      </c>
      <c r="E190" s="4">
        <v>11</v>
      </c>
      <c r="F190" s="4">
        <v>0</v>
      </c>
      <c r="G190" s="4">
        <v>0</v>
      </c>
      <c r="H190" s="4">
        <v>0.5</v>
      </c>
      <c r="I190" s="4">
        <v>4.4000000000000004</v>
      </c>
      <c r="J190" s="4">
        <v>0.9</v>
      </c>
    </row>
    <row r="191" spans="1:10" x14ac:dyDescent="0.35">
      <c r="A191" s="3" t="s">
        <v>426</v>
      </c>
      <c r="B191" s="3" t="s">
        <v>427</v>
      </c>
      <c r="C191" s="4" t="s">
        <v>60</v>
      </c>
      <c r="D191" s="4">
        <v>95</v>
      </c>
      <c r="E191" s="4">
        <v>100.8</v>
      </c>
      <c r="F191" s="4">
        <v>0.1</v>
      </c>
      <c r="G191" s="4">
        <v>0.1</v>
      </c>
      <c r="H191" s="4">
        <v>5.8</v>
      </c>
      <c r="I191" s="4">
        <v>6.1</v>
      </c>
      <c r="J191" s="4">
        <v>7.2</v>
      </c>
    </row>
    <row r="192" spans="1:10" x14ac:dyDescent="0.35">
      <c r="A192" s="3" t="s">
        <v>428</v>
      </c>
      <c r="B192" s="3" t="s">
        <v>429</v>
      </c>
      <c r="C192" s="4" t="s">
        <v>65</v>
      </c>
      <c r="D192" s="4">
        <v>87.1</v>
      </c>
      <c r="E192" s="4">
        <v>92.5</v>
      </c>
      <c r="F192" s="4">
        <v>0.1</v>
      </c>
      <c r="G192" s="4">
        <v>0.1</v>
      </c>
      <c r="H192" s="4">
        <v>5.4</v>
      </c>
      <c r="I192" s="4">
        <v>6.2</v>
      </c>
      <c r="J192" s="4">
        <v>6.6</v>
      </c>
    </row>
    <row r="193" spans="1:10" x14ac:dyDescent="0.35">
      <c r="A193" s="3" t="s">
        <v>430</v>
      </c>
      <c r="B193" s="3" t="s">
        <v>431</v>
      </c>
      <c r="C193" s="4" t="s">
        <v>65</v>
      </c>
      <c r="D193" s="4">
        <v>7.9</v>
      </c>
      <c r="E193" s="4">
        <v>8.3000000000000007</v>
      </c>
      <c r="F193" s="4">
        <v>0</v>
      </c>
      <c r="G193" s="4">
        <v>0</v>
      </c>
      <c r="H193" s="4">
        <v>0.4</v>
      </c>
      <c r="I193" s="4">
        <v>5.0999999999999996</v>
      </c>
      <c r="J193" s="4">
        <v>0.6</v>
      </c>
    </row>
    <row r="194" spans="1:10" x14ac:dyDescent="0.35">
      <c r="A194" s="3" t="s">
        <v>432</v>
      </c>
      <c r="B194" s="3" t="s">
        <v>433</v>
      </c>
      <c r="C194" s="4" t="s">
        <v>60</v>
      </c>
      <c r="D194" s="4">
        <v>113.3</v>
      </c>
      <c r="E194" s="4">
        <v>119.6</v>
      </c>
      <c r="F194" s="4">
        <v>0.1</v>
      </c>
      <c r="G194" s="4">
        <v>0.1</v>
      </c>
      <c r="H194" s="4">
        <v>6.3</v>
      </c>
      <c r="I194" s="4">
        <v>5.6</v>
      </c>
      <c r="J194" s="4">
        <v>9.6</v>
      </c>
    </row>
    <row r="195" spans="1:10" x14ac:dyDescent="0.35">
      <c r="A195" s="3" t="s">
        <v>434</v>
      </c>
      <c r="B195" s="3" t="s">
        <v>435</v>
      </c>
      <c r="C195" s="4" t="s">
        <v>65</v>
      </c>
      <c r="D195" s="4">
        <v>80.5</v>
      </c>
      <c r="E195" s="4">
        <v>85.3</v>
      </c>
      <c r="F195" s="4">
        <v>0</v>
      </c>
      <c r="G195" s="4">
        <v>0.1</v>
      </c>
      <c r="H195" s="4">
        <v>4.9000000000000004</v>
      </c>
      <c r="I195" s="4">
        <v>6.1</v>
      </c>
      <c r="J195" s="4">
        <v>6.9</v>
      </c>
    </row>
    <row r="196" spans="1:10" x14ac:dyDescent="0.35">
      <c r="A196" s="3" t="s">
        <v>436</v>
      </c>
      <c r="B196" s="3" t="s">
        <v>437</v>
      </c>
      <c r="C196" s="4" t="s">
        <v>65</v>
      </c>
      <c r="D196" s="4">
        <v>26.3</v>
      </c>
      <c r="E196" s="4">
        <v>27.6</v>
      </c>
      <c r="F196" s="4">
        <v>0</v>
      </c>
      <c r="G196" s="4">
        <v>0</v>
      </c>
      <c r="H196" s="4">
        <v>1.3</v>
      </c>
      <c r="I196" s="4">
        <v>5.0999999999999996</v>
      </c>
      <c r="J196" s="4">
        <v>2.2000000000000002</v>
      </c>
    </row>
    <row r="197" spans="1:10" x14ac:dyDescent="0.35">
      <c r="A197" s="3" t="s">
        <v>438</v>
      </c>
      <c r="B197" s="3" t="s">
        <v>439</v>
      </c>
      <c r="C197" s="4" t="s">
        <v>65</v>
      </c>
      <c r="D197" s="4">
        <v>6.6</v>
      </c>
      <c r="E197" s="4">
        <v>6.7</v>
      </c>
      <c r="F197" s="4">
        <v>0</v>
      </c>
      <c r="G197" s="4">
        <v>0</v>
      </c>
      <c r="H197" s="4">
        <v>0.1</v>
      </c>
      <c r="I197" s="4">
        <v>1.5</v>
      </c>
      <c r="J197" s="4">
        <v>0.5</v>
      </c>
    </row>
    <row r="198" spans="1:10" x14ac:dyDescent="0.35">
      <c r="A198" s="3" t="s">
        <v>440</v>
      </c>
      <c r="B198" s="3" t="s">
        <v>441</v>
      </c>
      <c r="C198" s="4" t="s">
        <v>65</v>
      </c>
      <c r="D198" s="4">
        <v>25.4</v>
      </c>
      <c r="E198" s="4">
        <v>25.9</v>
      </c>
      <c r="F198" s="4">
        <v>0</v>
      </c>
      <c r="G198" s="4">
        <v>0</v>
      </c>
      <c r="H198" s="4">
        <v>0.5</v>
      </c>
      <c r="I198" s="4">
        <v>2.1</v>
      </c>
      <c r="J198" s="4">
        <v>1.7</v>
      </c>
    </row>
    <row r="199" spans="1:10" x14ac:dyDescent="0.35">
      <c r="A199" s="3" t="s">
        <v>442</v>
      </c>
      <c r="B199" s="3" t="s">
        <v>443</v>
      </c>
      <c r="C199" s="4" t="s">
        <v>60</v>
      </c>
      <c r="D199" s="4">
        <v>326.10000000000002</v>
      </c>
      <c r="E199" s="4">
        <v>342.1</v>
      </c>
      <c r="F199" s="4">
        <v>0.2</v>
      </c>
      <c r="G199" s="4">
        <v>0.2</v>
      </c>
      <c r="H199" s="4">
        <v>16</v>
      </c>
      <c r="I199" s="4">
        <v>4.9000000000000004</v>
      </c>
      <c r="J199" s="4">
        <v>23.3</v>
      </c>
    </row>
    <row r="200" spans="1:10" x14ac:dyDescent="0.35">
      <c r="A200" s="3" t="s">
        <v>444</v>
      </c>
      <c r="B200" s="3" t="s">
        <v>445</v>
      </c>
      <c r="C200" s="4" t="s">
        <v>65</v>
      </c>
      <c r="D200" s="4">
        <v>17.600000000000001</v>
      </c>
      <c r="E200" s="4">
        <v>18.7</v>
      </c>
      <c r="F200" s="4">
        <v>0</v>
      </c>
      <c r="G200" s="4">
        <v>0</v>
      </c>
      <c r="H200" s="4">
        <v>1.1000000000000001</v>
      </c>
      <c r="I200" s="4">
        <v>6.3</v>
      </c>
      <c r="J200" s="4">
        <v>1.2</v>
      </c>
    </row>
    <row r="201" spans="1:10" x14ac:dyDescent="0.35">
      <c r="A201" s="3" t="s">
        <v>446</v>
      </c>
      <c r="B201" s="3" t="s">
        <v>447</v>
      </c>
      <c r="C201" s="4" t="s">
        <v>65</v>
      </c>
      <c r="D201" s="4">
        <v>8.8000000000000007</v>
      </c>
      <c r="E201" s="4">
        <v>8.4</v>
      </c>
      <c r="F201" s="4">
        <v>0</v>
      </c>
      <c r="G201" s="4">
        <v>0</v>
      </c>
      <c r="H201" s="4">
        <v>-0.3</v>
      </c>
      <c r="I201" s="4">
        <v>-3.8</v>
      </c>
      <c r="J201" s="4">
        <v>0.7</v>
      </c>
    </row>
    <row r="202" spans="1:10" x14ac:dyDescent="0.35">
      <c r="A202" s="3" t="s">
        <v>448</v>
      </c>
      <c r="B202" s="3" t="s">
        <v>449</v>
      </c>
      <c r="C202" s="4" t="s">
        <v>60</v>
      </c>
      <c r="D202" s="4">
        <v>196</v>
      </c>
      <c r="E202" s="4">
        <v>208</v>
      </c>
      <c r="F202" s="4">
        <v>0.1</v>
      </c>
      <c r="G202" s="4">
        <v>0.1</v>
      </c>
      <c r="H202" s="4">
        <v>12</v>
      </c>
      <c r="I202" s="4">
        <v>6.1</v>
      </c>
      <c r="J202" s="4">
        <v>12.8</v>
      </c>
    </row>
    <row r="203" spans="1:10" x14ac:dyDescent="0.35">
      <c r="A203" s="3" t="s">
        <v>450</v>
      </c>
      <c r="B203" s="3" t="s">
        <v>451</v>
      </c>
      <c r="C203" s="4" t="s">
        <v>65</v>
      </c>
      <c r="D203" s="4">
        <v>10.1</v>
      </c>
      <c r="E203" s="4">
        <v>10.6</v>
      </c>
      <c r="F203" s="4">
        <v>0</v>
      </c>
      <c r="G203" s="4">
        <v>0</v>
      </c>
      <c r="H203" s="4">
        <v>0.6</v>
      </c>
      <c r="I203" s="4">
        <v>5.9</v>
      </c>
      <c r="J203" s="4">
        <v>0.7</v>
      </c>
    </row>
    <row r="204" spans="1:10" x14ac:dyDescent="0.35">
      <c r="A204" s="3" t="s">
        <v>452</v>
      </c>
      <c r="B204" s="3" t="s">
        <v>453</v>
      </c>
      <c r="C204" s="4" t="s">
        <v>65</v>
      </c>
      <c r="D204" s="4">
        <v>67.5</v>
      </c>
      <c r="E204" s="4">
        <v>75.2</v>
      </c>
      <c r="F204" s="4">
        <v>0</v>
      </c>
      <c r="G204" s="4">
        <v>0</v>
      </c>
      <c r="H204" s="4">
        <v>7.7</v>
      </c>
      <c r="I204" s="4">
        <v>11.4</v>
      </c>
      <c r="J204" s="4">
        <v>4.0999999999999996</v>
      </c>
    </row>
    <row r="205" spans="1:10" x14ac:dyDescent="0.35">
      <c r="A205" s="3" t="s">
        <v>454</v>
      </c>
      <c r="B205" s="3" t="s">
        <v>455</v>
      </c>
      <c r="C205" s="4" t="s">
        <v>65</v>
      </c>
      <c r="D205" s="4">
        <v>62.2</v>
      </c>
      <c r="E205" s="4">
        <v>63</v>
      </c>
      <c r="F205" s="4">
        <v>0</v>
      </c>
      <c r="G205" s="4">
        <v>0</v>
      </c>
      <c r="H205" s="4">
        <v>0.8</v>
      </c>
      <c r="I205" s="4">
        <v>1.3</v>
      </c>
      <c r="J205" s="4">
        <v>4.0999999999999996</v>
      </c>
    </row>
    <row r="206" spans="1:10" x14ac:dyDescent="0.35">
      <c r="A206" s="3" t="s">
        <v>456</v>
      </c>
      <c r="B206" s="3" t="s">
        <v>457</v>
      </c>
      <c r="C206" s="4" t="s">
        <v>65</v>
      </c>
      <c r="D206" s="4">
        <v>56.3</v>
      </c>
      <c r="E206" s="4">
        <v>59.1</v>
      </c>
      <c r="F206" s="4">
        <v>0</v>
      </c>
      <c r="G206" s="4">
        <v>0</v>
      </c>
      <c r="H206" s="4">
        <v>2.9</v>
      </c>
      <c r="I206" s="4">
        <v>5.0999999999999996</v>
      </c>
      <c r="J206" s="4">
        <v>3.9</v>
      </c>
    </row>
    <row r="207" spans="1:10" x14ac:dyDescent="0.35">
      <c r="A207" s="3" t="s">
        <v>458</v>
      </c>
      <c r="B207" s="3" t="s">
        <v>459</v>
      </c>
      <c r="C207" s="4" t="s">
        <v>65</v>
      </c>
      <c r="D207" s="4">
        <v>3.3</v>
      </c>
      <c r="E207" s="4">
        <v>3.4</v>
      </c>
      <c r="F207" s="4">
        <v>0</v>
      </c>
      <c r="G207" s="4">
        <v>0</v>
      </c>
      <c r="H207" s="4">
        <v>0.1</v>
      </c>
      <c r="I207" s="4">
        <v>4.5</v>
      </c>
      <c r="J207" s="4">
        <v>0.3</v>
      </c>
    </row>
    <row r="208" spans="1:10" x14ac:dyDescent="0.35">
      <c r="A208" s="3" t="s">
        <v>460</v>
      </c>
      <c r="B208" s="3" t="s">
        <v>461</v>
      </c>
      <c r="C208" s="4" t="s">
        <v>65</v>
      </c>
      <c r="D208" s="4">
        <v>44.7</v>
      </c>
      <c r="E208" s="4">
        <v>46.4</v>
      </c>
      <c r="F208" s="4">
        <v>0</v>
      </c>
      <c r="G208" s="4">
        <v>0</v>
      </c>
      <c r="H208" s="4">
        <v>1.7</v>
      </c>
      <c r="I208" s="4">
        <v>3.7</v>
      </c>
      <c r="J208" s="4">
        <v>3.7</v>
      </c>
    </row>
    <row r="209" spans="1:10" x14ac:dyDescent="0.35">
      <c r="A209" s="3" t="s">
        <v>462</v>
      </c>
      <c r="B209" s="3" t="s">
        <v>463</v>
      </c>
      <c r="C209" s="4" t="s">
        <v>60</v>
      </c>
      <c r="D209" s="4">
        <v>55.7</v>
      </c>
      <c r="E209" s="4">
        <v>57.2</v>
      </c>
      <c r="F209" s="4">
        <v>0</v>
      </c>
      <c r="G209" s="4">
        <v>0</v>
      </c>
      <c r="H209" s="4">
        <v>1.5</v>
      </c>
      <c r="I209" s="4">
        <v>2.7</v>
      </c>
      <c r="J209" s="4">
        <v>4.7</v>
      </c>
    </row>
    <row r="210" spans="1:10" x14ac:dyDescent="0.35">
      <c r="A210" s="3" t="s">
        <v>464</v>
      </c>
      <c r="B210" s="3" t="s">
        <v>465</v>
      </c>
      <c r="C210" s="4" t="s">
        <v>65</v>
      </c>
      <c r="D210" s="4">
        <v>8</v>
      </c>
      <c r="E210" s="4">
        <v>8.3000000000000007</v>
      </c>
      <c r="F210" s="4">
        <v>0</v>
      </c>
      <c r="G210" s="4">
        <v>0</v>
      </c>
      <c r="H210" s="4">
        <v>0.3</v>
      </c>
      <c r="I210" s="4">
        <v>4.2</v>
      </c>
      <c r="J210" s="4">
        <v>0.7</v>
      </c>
    </row>
    <row r="211" spans="1:10" x14ac:dyDescent="0.35">
      <c r="A211" s="3" t="s">
        <v>466</v>
      </c>
      <c r="B211" s="3" t="s">
        <v>467</v>
      </c>
      <c r="C211" s="4" t="s">
        <v>65</v>
      </c>
      <c r="D211" s="4">
        <v>1.5</v>
      </c>
      <c r="E211" s="4">
        <v>1.5</v>
      </c>
      <c r="F211" s="4">
        <v>0</v>
      </c>
      <c r="G211" s="4">
        <v>0</v>
      </c>
      <c r="H211" s="4">
        <v>0</v>
      </c>
      <c r="I211" s="4">
        <v>1.1000000000000001</v>
      </c>
      <c r="J211" s="4">
        <v>0.1</v>
      </c>
    </row>
    <row r="212" spans="1:10" x14ac:dyDescent="0.35">
      <c r="A212" s="3" t="s">
        <v>468</v>
      </c>
      <c r="B212" s="3" t="s">
        <v>469</v>
      </c>
      <c r="C212" s="4" t="s">
        <v>65</v>
      </c>
      <c r="D212" s="4">
        <v>3.5</v>
      </c>
      <c r="E212" s="4">
        <v>3.6</v>
      </c>
      <c r="F212" s="4">
        <v>0</v>
      </c>
      <c r="G212" s="4">
        <v>0</v>
      </c>
      <c r="H212" s="4">
        <v>0.1</v>
      </c>
      <c r="I212" s="4">
        <v>3.1</v>
      </c>
      <c r="J212" s="4">
        <v>0.3</v>
      </c>
    </row>
    <row r="213" spans="1:10" x14ac:dyDescent="0.35">
      <c r="A213" s="3" t="s">
        <v>470</v>
      </c>
      <c r="B213" s="3" t="s">
        <v>471</v>
      </c>
      <c r="C213" s="4" t="s">
        <v>65</v>
      </c>
      <c r="D213" s="4">
        <v>6.2</v>
      </c>
      <c r="E213" s="4">
        <v>6.6</v>
      </c>
      <c r="F213" s="4">
        <v>0</v>
      </c>
      <c r="G213" s="4">
        <v>0</v>
      </c>
      <c r="H213" s="4">
        <v>0.4</v>
      </c>
      <c r="I213" s="4">
        <v>6.6</v>
      </c>
      <c r="J213" s="4">
        <v>0.6</v>
      </c>
    </row>
    <row r="214" spans="1:10" x14ac:dyDescent="0.35">
      <c r="A214" s="3" t="s">
        <v>472</v>
      </c>
      <c r="B214" s="3" t="s">
        <v>473</v>
      </c>
      <c r="C214" s="4" t="s">
        <v>65</v>
      </c>
      <c r="D214" s="4">
        <v>36.5</v>
      </c>
      <c r="E214" s="4">
        <v>37.200000000000003</v>
      </c>
      <c r="F214" s="4">
        <v>0</v>
      </c>
      <c r="G214" s="4">
        <v>0</v>
      </c>
      <c r="H214" s="4">
        <v>0.6</v>
      </c>
      <c r="I214" s="4">
        <v>1.7</v>
      </c>
      <c r="J214" s="4">
        <v>3</v>
      </c>
    </row>
    <row r="215" spans="1:10" x14ac:dyDescent="0.35">
      <c r="A215" s="3" t="s">
        <v>474</v>
      </c>
      <c r="B215" s="3" t="s">
        <v>475</v>
      </c>
      <c r="C215" s="4" t="s">
        <v>60</v>
      </c>
      <c r="D215" s="4">
        <v>397</v>
      </c>
      <c r="E215" s="4">
        <v>414.1</v>
      </c>
      <c r="F215" s="4">
        <v>0.2</v>
      </c>
      <c r="G215" s="4">
        <v>0.2</v>
      </c>
      <c r="H215" s="4">
        <v>17.100000000000001</v>
      </c>
      <c r="I215" s="4">
        <v>4.3</v>
      </c>
      <c r="J215" s="4">
        <v>49.9</v>
      </c>
    </row>
    <row r="216" spans="1:10" x14ac:dyDescent="0.35">
      <c r="A216" s="3" t="s">
        <v>476</v>
      </c>
      <c r="B216" s="3" t="s">
        <v>477</v>
      </c>
      <c r="C216" s="4" t="s">
        <v>60</v>
      </c>
      <c r="D216" s="4">
        <v>38.799999999999997</v>
      </c>
      <c r="E216" s="4">
        <v>40.700000000000003</v>
      </c>
      <c r="F216" s="4">
        <v>0</v>
      </c>
      <c r="G216" s="4">
        <v>0</v>
      </c>
      <c r="H216" s="4">
        <v>1.9</v>
      </c>
      <c r="I216" s="4">
        <v>4.9000000000000004</v>
      </c>
      <c r="J216" s="4">
        <v>5.5</v>
      </c>
    </row>
    <row r="217" spans="1:10" x14ac:dyDescent="0.35">
      <c r="A217" s="3" t="s">
        <v>478</v>
      </c>
      <c r="B217" s="3" t="s">
        <v>479</v>
      </c>
      <c r="C217" s="4" t="s">
        <v>65</v>
      </c>
      <c r="D217" s="4">
        <v>17.600000000000001</v>
      </c>
      <c r="E217" s="4">
        <v>18.399999999999999</v>
      </c>
      <c r="F217" s="4">
        <v>0</v>
      </c>
      <c r="G217" s="4">
        <v>0</v>
      </c>
      <c r="H217" s="4">
        <v>0.8</v>
      </c>
      <c r="I217" s="4">
        <v>4.5</v>
      </c>
      <c r="J217" s="4">
        <v>2.5</v>
      </c>
    </row>
    <row r="218" spans="1:10" x14ac:dyDescent="0.35">
      <c r="A218" s="3" t="s">
        <v>480</v>
      </c>
      <c r="B218" s="3" t="s">
        <v>481</v>
      </c>
      <c r="C218" s="4" t="s">
        <v>65</v>
      </c>
      <c r="D218" s="4">
        <v>21.2</v>
      </c>
      <c r="E218" s="4">
        <v>22.3</v>
      </c>
      <c r="F218" s="4">
        <v>0</v>
      </c>
      <c r="G218" s="4">
        <v>0</v>
      </c>
      <c r="H218" s="4">
        <v>1.1000000000000001</v>
      </c>
      <c r="I218" s="4">
        <v>5.2</v>
      </c>
      <c r="J218" s="4">
        <v>3</v>
      </c>
    </row>
    <row r="219" spans="1:10" x14ac:dyDescent="0.35">
      <c r="A219" s="3" t="s">
        <v>482</v>
      </c>
      <c r="B219" s="3" t="s">
        <v>483</v>
      </c>
      <c r="C219" s="4" t="s">
        <v>65</v>
      </c>
      <c r="D219" s="4">
        <v>81.400000000000006</v>
      </c>
      <c r="E219" s="4">
        <v>85.3</v>
      </c>
      <c r="F219" s="4">
        <v>0</v>
      </c>
      <c r="G219" s="4">
        <v>0.1</v>
      </c>
      <c r="H219" s="4">
        <v>3.9</v>
      </c>
      <c r="I219" s="4">
        <v>4.7</v>
      </c>
      <c r="J219" s="4">
        <v>10.6</v>
      </c>
    </row>
    <row r="220" spans="1:10" x14ac:dyDescent="0.35">
      <c r="A220" s="3" t="s">
        <v>484</v>
      </c>
      <c r="B220" s="3" t="s">
        <v>485</v>
      </c>
      <c r="C220" s="4" t="s">
        <v>65</v>
      </c>
      <c r="D220" s="4">
        <v>58.8</v>
      </c>
      <c r="E220" s="4">
        <v>60.7</v>
      </c>
      <c r="F220" s="4">
        <v>0</v>
      </c>
      <c r="G220" s="4">
        <v>0</v>
      </c>
      <c r="H220" s="4">
        <v>1.9</v>
      </c>
      <c r="I220" s="4">
        <v>3.2</v>
      </c>
      <c r="J220" s="4">
        <v>7.1</v>
      </c>
    </row>
    <row r="221" spans="1:10" x14ac:dyDescent="0.35">
      <c r="A221" s="3" t="s">
        <v>486</v>
      </c>
      <c r="B221" s="3" t="s">
        <v>487</v>
      </c>
      <c r="C221" s="4" t="s">
        <v>60</v>
      </c>
      <c r="D221" s="4">
        <v>47.5</v>
      </c>
      <c r="E221" s="4">
        <v>49.9</v>
      </c>
      <c r="F221" s="4">
        <v>0</v>
      </c>
      <c r="G221" s="4">
        <v>0</v>
      </c>
      <c r="H221" s="4">
        <v>2.2999999999999998</v>
      </c>
      <c r="I221" s="4">
        <v>4.9000000000000004</v>
      </c>
      <c r="J221" s="4">
        <v>5.0999999999999996</v>
      </c>
    </row>
    <row r="222" spans="1:10" x14ac:dyDescent="0.35">
      <c r="A222" s="3" t="s">
        <v>488</v>
      </c>
      <c r="B222" s="3" t="s">
        <v>489</v>
      </c>
      <c r="C222" s="4" t="s">
        <v>65</v>
      </c>
      <c r="D222" s="4">
        <v>35</v>
      </c>
      <c r="E222" s="4">
        <v>37.1</v>
      </c>
      <c r="F222" s="4">
        <v>0</v>
      </c>
      <c r="G222" s="4">
        <v>0</v>
      </c>
      <c r="H222" s="4">
        <v>2</v>
      </c>
      <c r="I222" s="4">
        <v>5.8</v>
      </c>
      <c r="J222" s="4">
        <v>3.8</v>
      </c>
    </row>
    <row r="223" spans="1:10" x14ac:dyDescent="0.35">
      <c r="A223" s="3" t="s">
        <v>490</v>
      </c>
      <c r="B223" s="3" t="s">
        <v>491</v>
      </c>
      <c r="C223" s="4" t="s">
        <v>65</v>
      </c>
      <c r="D223" s="4">
        <v>9.4</v>
      </c>
      <c r="E223" s="4">
        <v>9.6</v>
      </c>
      <c r="F223" s="4">
        <v>0</v>
      </c>
      <c r="G223" s="4">
        <v>0</v>
      </c>
      <c r="H223" s="4">
        <v>0.3</v>
      </c>
      <c r="I223" s="4">
        <v>3.1</v>
      </c>
      <c r="J223" s="4">
        <v>1</v>
      </c>
    </row>
    <row r="224" spans="1:10" x14ac:dyDescent="0.35">
      <c r="A224" s="3" t="s">
        <v>492</v>
      </c>
      <c r="B224" s="3" t="s">
        <v>493</v>
      </c>
      <c r="C224" s="4" t="s">
        <v>65</v>
      </c>
      <c r="D224" s="4">
        <v>3.1</v>
      </c>
      <c r="E224" s="4">
        <v>3.1</v>
      </c>
      <c r="F224" s="4">
        <v>0</v>
      </c>
      <c r="G224" s="4">
        <v>0</v>
      </c>
      <c r="H224" s="4">
        <v>0</v>
      </c>
      <c r="I224" s="4">
        <v>0.4</v>
      </c>
      <c r="J224" s="4">
        <v>0.3</v>
      </c>
    </row>
    <row r="225" spans="1:10" x14ac:dyDescent="0.35">
      <c r="A225" s="3" t="s">
        <v>494</v>
      </c>
      <c r="B225" s="3" t="s">
        <v>495</v>
      </c>
      <c r="C225" s="4" t="s">
        <v>65</v>
      </c>
      <c r="D225" s="4">
        <v>5.9</v>
      </c>
      <c r="E225" s="4">
        <v>5.8</v>
      </c>
      <c r="F225" s="4">
        <v>0</v>
      </c>
      <c r="G225" s="4">
        <v>0</v>
      </c>
      <c r="H225" s="4">
        <v>-0.1</v>
      </c>
      <c r="I225" s="4">
        <v>-1.3</v>
      </c>
      <c r="J225" s="4">
        <v>0.6</v>
      </c>
    </row>
    <row r="226" spans="1:10" x14ac:dyDescent="0.35">
      <c r="A226" s="3" t="s">
        <v>496</v>
      </c>
      <c r="B226" s="3" t="s">
        <v>497</v>
      </c>
      <c r="C226" s="4" t="s">
        <v>65</v>
      </c>
      <c r="D226" s="4">
        <v>34.4</v>
      </c>
      <c r="E226" s="4">
        <v>36</v>
      </c>
      <c r="F226" s="4">
        <v>0</v>
      </c>
      <c r="G226" s="4">
        <v>0</v>
      </c>
      <c r="H226" s="4">
        <v>1.6</v>
      </c>
      <c r="I226" s="4">
        <v>4.8</v>
      </c>
      <c r="J226" s="4">
        <v>4.4000000000000004</v>
      </c>
    </row>
    <row r="227" spans="1:10" x14ac:dyDescent="0.35">
      <c r="A227" s="3" t="s">
        <v>498</v>
      </c>
      <c r="B227" s="3" t="s">
        <v>499</v>
      </c>
      <c r="C227" s="4" t="s">
        <v>65</v>
      </c>
      <c r="D227" s="4">
        <v>31.5</v>
      </c>
      <c r="E227" s="4">
        <v>31.7</v>
      </c>
      <c r="F227" s="4">
        <v>0</v>
      </c>
      <c r="G227" s="4">
        <v>0</v>
      </c>
      <c r="H227" s="4">
        <v>0.2</v>
      </c>
      <c r="I227" s="4">
        <v>0.6</v>
      </c>
      <c r="J227" s="4">
        <v>3.8</v>
      </c>
    </row>
    <row r="228" spans="1:10" x14ac:dyDescent="0.35">
      <c r="A228" s="3" t="s">
        <v>500</v>
      </c>
      <c r="B228" s="3" t="s">
        <v>501</v>
      </c>
      <c r="C228" s="4" t="s">
        <v>60</v>
      </c>
      <c r="D228" s="4">
        <v>98.6</v>
      </c>
      <c r="E228" s="4">
        <v>103.9</v>
      </c>
      <c r="F228" s="4">
        <v>0.1</v>
      </c>
      <c r="G228" s="4">
        <v>0.1</v>
      </c>
      <c r="H228" s="4">
        <v>5.4</v>
      </c>
      <c r="I228" s="4">
        <v>5.5</v>
      </c>
      <c r="J228" s="4">
        <v>12.8</v>
      </c>
    </row>
    <row r="229" spans="1:10" x14ac:dyDescent="0.35">
      <c r="A229" s="3" t="s">
        <v>502</v>
      </c>
      <c r="B229" s="3" t="s">
        <v>503</v>
      </c>
      <c r="C229" s="4" t="s">
        <v>65</v>
      </c>
      <c r="D229" s="4">
        <v>18.5</v>
      </c>
      <c r="E229" s="4">
        <v>20.8</v>
      </c>
      <c r="F229" s="4">
        <v>0</v>
      </c>
      <c r="G229" s="4">
        <v>0</v>
      </c>
      <c r="H229" s="4">
        <v>2.2999999999999998</v>
      </c>
      <c r="I229" s="4">
        <v>12.6</v>
      </c>
      <c r="J229" s="4">
        <v>2.6</v>
      </c>
    </row>
    <row r="230" spans="1:10" x14ac:dyDescent="0.35">
      <c r="A230" s="3" t="s">
        <v>504</v>
      </c>
      <c r="B230" s="3" t="s">
        <v>505</v>
      </c>
      <c r="C230" s="4" t="s">
        <v>65</v>
      </c>
      <c r="D230" s="4">
        <v>80</v>
      </c>
      <c r="E230" s="4">
        <v>83.1</v>
      </c>
      <c r="F230" s="4">
        <v>0</v>
      </c>
      <c r="G230" s="4">
        <v>0</v>
      </c>
      <c r="H230" s="4">
        <v>3</v>
      </c>
      <c r="I230" s="4">
        <v>3.8</v>
      </c>
      <c r="J230" s="4">
        <v>10.199999999999999</v>
      </c>
    </row>
    <row r="231" spans="1:10" x14ac:dyDescent="0.35">
      <c r="A231" s="3" t="s">
        <v>506</v>
      </c>
      <c r="B231" s="3" t="s">
        <v>507</v>
      </c>
      <c r="C231" s="4" t="s">
        <v>60</v>
      </c>
      <c r="D231" s="4">
        <v>138.4</v>
      </c>
      <c r="E231" s="4">
        <v>156.1</v>
      </c>
      <c r="F231" s="4">
        <v>0.1</v>
      </c>
      <c r="G231" s="4">
        <v>0.1</v>
      </c>
      <c r="H231" s="4">
        <v>17.7</v>
      </c>
      <c r="I231" s="4">
        <v>12.8</v>
      </c>
      <c r="J231" s="4">
        <v>17.2</v>
      </c>
    </row>
    <row r="232" spans="1:10" x14ac:dyDescent="0.35">
      <c r="A232" s="3" t="s">
        <v>508</v>
      </c>
      <c r="B232" s="3" t="s">
        <v>509</v>
      </c>
      <c r="C232" s="4" t="s">
        <v>65</v>
      </c>
      <c r="D232" s="4">
        <v>113.8</v>
      </c>
      <c r="E232" s="4">
        <v>128.9</v>
      </c>
      <c r="F232" s="4">
        <v>0.1</v>
      </c>
      <c r="G232" s="4">
        <v>0.1</v>
      </c>
      <c r="H232" s="4">
        <v>15.2</v>
      </c>
      <c r="I232" s="4">
        <v>13.3</v>
      </c>
      <c r="J232" s="4">
        <v>14.2</v>
      </c>
    </row>
    <row r="233" spans="1:10" x14ac:dyDescent="0.35">
      <c r="A233" s="3" t="s">
        <v>510</v>
      </c>
      <c r="B233" s="3" t="s">
        <v>511</v>
      </c>
      <c r="C233" s="4" t="s">
        <v>65</v>
      </c>
      <c r="D233" s="4">
        <v>24.7</v>
      </c>
      <c r="E233" s="4">
        <v>27.2</v>
      </c>
      <c r="F233" s="4">
        <v>0</v>
      </c>
      <c r="G233" s="4">
        <v>0</v>
      </c>
      <c r="H233" s="4">
        <v>2.5</v>
      </c>
      <c r="I233" s="4">
        <v>10.1</v>
      </c>
      <c r="J233" s="4">
        <v>3</v>
      </c>
    </row>
    <row r="234" spans="1:10" x14ac:dyDescent="0.35">
      <c r="A234" s="3" t="s">
        <v>18</v>
      </c>
      <c r="B234" s="3" t="s">
        <v>19</v>
      </c>
      <c r="C234" s="4" t="s">
        <v>60</v>
      </c>
      <c r="D234" s="4">
        <v>2936.5</v>
      </c>
      <c r="E234" s="4">
        <v>3164.2</v>
      </c>
      <c r="F234" s="4">
        <v>1.8</v>
      </c>
      <c r="G234" s="4">
        <v>1.9</v>
      </c>
      <c r="H234" s="4">
        <v>227.7</v>
      </c>
      <c r="I234" s="4">
        <v>7.8</v>
      </c>
      <c r="J234" s="4">
        <v>281.60000000000002</v>
      </c>
    </row>
    <row r="235" spans="1:10" x14ac:dyDescent="0.35">
      <c r="A235" s="3" t="s">
        <v>512</v>
      </c>
      <c r="B235" s="3" t="s">
        <v>513</v>
      </c>
      <c r="C235" s="4" t="s">
        <v>60</v>
      </c>
      <c r="D235" s="4">
        <v>2422.9</v>
      </c>
      <c r="E235" s="4">
        <v>2649.1</v>
      </c>
      <c r="F235" s="4">
        <v>1.5</v>
      </c>
      <c r="G235" s="4">
        <v>1.6</v>
      </c>
      <c r="H235" s="4">
        <v>226.2</v>
      </c>
      <c r="I235" s="4">
        <v>9.3000000000000007</v>
      </c>
      <c r="J235" s="4">
        <v>233.4</v>
      </c>
    </row>
    <row r="236" spans="1:10" x14ac:dyDescent="0.35">
      <c r="A236" s="3" t="s">
        <v>514</v>
      </c>
      <c r="B236" s="3" t="s">
        <v>515</v>
      </c>
      <c r="C236" s="4" t="s">
        <v>60</v>
      </c>
      <c r="D236" s="4">
        <v>954.8</v>
      </c>
      <c r="E236" s="4">
        <v>1068.7</v>
      </c>
      <c r="F236" s="4">
        <v>0.6</v>
      </c>
      <c r="G236" s="4">
        <v>0.6</v>
      </c>
      <c r="H236" s="4">
        <v>113.9</v>
      </c>
      <c r="I236" s="4">
        <v>11.9</v>
      </c>
      <c r="J236" s="4">
        <v>89.2</v>
      </c>
    </row>
    <row r="237" spans="1:10" x14ac:dyDescent="0.35">
      <c r="A237" s="3" t="s">
        <v>516</v>
      </c>
      <c r="B237" s="3" t="s">
        <v>517</v>
      </c>
      <c r="C237" s="4" t="s">
        <v>65</v>
      </c>
      <c r="D237" s="4">
        <v>342.4</v>
      </c>
      <c r="E237" s="4">
        <v>360.8</v>
      </c>
      <c r="F237" s="4">
        <v>0.2</v>
      </c>
      <c r="G237" s="4">
        <v>0.2</v>
      </c>
      <c r="H237" s="4">
        <v>18.399999999999999</v>
      </c>
      <c r="I237" s="4">
        <v>5.4</v>
      </c>
      <c r="J237" s="4">
        <v>26.6</v>
      </c>
    </row>
    <row r="238" spans="1:10" x14ac:dyDescent="0.35">
      <c r="A238" s="3" t="s">
        <v>518</v>
      </c>
      <c r="B238" s="3" t="s">
        <v>519</v>
      </c>
      <c r="C238" s="4" t="s">
        <v>65</v>
      </c>
      <c r="D238" s="4">
        <v>71.2</v>
      </c>
      <c r="E238" s="4">
        <v>81.8</v>
      </c>
      <c r="F238" s="4">
        <v>0</v>
      </c>
      <c r="G238" s="4">
        <v>0</v>
      </c>
      <c r="H238" s="4">
        <v>10.6</v>
      </c>
      <c r="I238" s="4">
        <v>14.9</v>
      </c>
      <c r="J238" s="4">
        <v>5.9</v>
      </c>
    </row>
    <row r="239" spans="1:10" x14ac:dyDescent="0.35">
      <c r="A239" s="3" t="s">
        <v>520</v>
      </c>
      <c r="B239" s="3" t="s">
        <v>521</v>
      </c>
      <c r="C239" s="4" t="s">
        <v>65</v>
      </c>
      <c r="D239" s="4">
        <v>84.8</v>
      </c>
      <c r="E239" s="4">
        <v>86.4</v>
      </c>
      <c r="F239" s="4">
        <v>0.1</v>
      </c>
      <c r="G239" s="4">
        <v>0.1</v>
      </c>
      <c r="H239" s="4">
        <v>1.6</v>
      </c>
      <c r="I239" s="4">
        <v>1.9</v>
      </c>
      <c r="J239" s="4">
        <v>6.7</v>
      </c>
    </row>
    <row r="240" spans="1:10" x14ac:dyDescent="0.35">
      <c r="A240" s="3" t="s">
        <v>522</v>
      </c>
      <c r="B240" s="3" t="s">
        <v>523</v>
      </c>
      <c r="C240" s="4" t="s">
        <v>65</v>
      </c>
      <c r="D240" s="4">
        <v>388.2</v>
      </c>
      <c r="E240" s="4">
        <v>459.6</v>
      </c>
      <c r="F240" s="4">
        <v>0.2</v>
      </c>
      <c r="G240" s="4">
        <v>0.3</v>
      </c>
      <c r="H240" s="4">
        <v>71.5</v>
      </c>
      <c r="I240" s="4">
        <v>18.399999999999999</v>
      </c>
      <c r="J240" s="4">
        <v>42</v>
      </c>
    </row>
    <row r="241" spans="1:10" x14ac:dyDescent="0.35">
      <c r="A241" s="3" t="s">
        <v>524</v>
      </c>
      <c r="B241" s="3" t="s">
        <v>525</v>
      </c>
      <c r="C241" s="4" t="s">
        <v>65</v>
      </c>
      <c r="D241" s="4">
        <v>68.2</v>
      </c>
      <c r="E241" s="4">
        <v>80</v>
      </c>
      <c r="F241" s="4">
        <v>0</v>
      </c>
      <c r="G241" s="4">
        <v>0</v>
      </c>
      <c r="H241" s="4">
        <v>11.7</v>
      </c>
      <c r="I241" s="4">
        <v>17.2</v>
      </c>
      <c r="J241" s="4">
        <v>8</v>
      </c>
    </row>
    <row r="242" spans="1:10" x14ac:dyDescent="0.35">
      <c r="A242" s="3" t="s">
        <v>526</v>
      </c>
      <c r="B242" s="3" t="s">
        <v>527</v>
      </c>
      <c r="C242" s="4" t="s">
        <v>60</v>
      </c>
      <c r="D242" s="4">
        <v>728.6</v>
      </c>
      <c r="E242" s="4">
        <v>782.5</v>
      </c>
      <c r="F242" s="4">
        <v>0.4</v>
      </c>
      <c r="G242" s="4">
        <v>0.5</v>
      </c>
      <c r="H242" s="4">
        <v>53.8</v>
      </c>
      <c r="I242" s="4">
        <v>7.4</v>
      </c>
      <c r="J242" s="4">
        <v>63.8</v>
      </c>
    </row>
    <row r="243" spans="1:10" x14ac:dyDescent="0.35">
      <c r="A243" s="3" t="s">
        <v>528</v>
      </c>
      <c r="B243" s="3" t="s">
        <v>529</v>
      </c>
      <c r="C243" s="4" t="s">
        <v>65</v>
      </c>
      <c r="D243" s="4">
        <v>355.3</v>
      </c>
      <c r="E243" s="4">
        <v>374.3</v>
      </c>
      <c r="F243" s="4">
        <v>0.2</v>
      </c>
      <c r="G243" s="4">
        <v>0.2</v>
      </c>
      <c r="H243" s="4">
        <v>18.899999999999999</v>
      </c>
      <c r="I243" s="4">
        <v>5.3</v>
      </c>
      <c r="J243" s="4">
        <v>29.5</v>
      </c>
    </row>
    <row r="244" spans="1:10" x14ac:dyDescent="0.35">
      <c r="A244" s="3" t="s">
        <v>530</v>
      </c>
      <c r="B244" s="3" t="s">
        <v>531</v>
      </c>
      <c r="C244" s="4" t="s">
        <v>65</v>
      </c>
      <c r="D244" s="4">
        <v>191.4</v>
      </c>
      <c r="E244" s="4">
        <v>209.8</v>
      </c>
      <c r="F244" s="4">
        <v>0.1</v>
      </c>
      <c r="G244" s="4">
        <v>0.1</v>
      </c>
      <c r="H244" s="4">
        <v>18.399999999999999</v>
      </c>
      <c r="I244" s="4">
        <v>9.6</v>
      </c>
      <c r="J244" s="4">
        <v>18.7</v>
      </c>
    </row>
    <row r="245" spans="1:10" x14ac:dyDescent="0.35">
      <c r="A245" s="3" t="s">
        <v>532</v>
      </c>
      <c r="B245" s="3" t="s">
        <v>533</v>
      </c>
      <c r="C245" s="4" t="s">
        <v>65</v>
      </c>
      <c r="D245" s="4">
        <v>113.5</v>
      </c>
      <c r="E245" s="4">
        <v>125.5</v>
      </c>
      <c r="F245" s="4">
        <v>0.1</v>
      </c>
      <c r="G245" s="4">
        <v>0.1</v>
      </c>
      <c r="H245" s="4">
        <v>12</v>
      </c>
      <c r="I245" s="4">
        <v>10.6</v>
      </c>
      <c r="J245" s="4">
        <v>9.5</v>
      </c>
    </row>
    <row r="246" spans="1:10" x14ac:dyDescent="0.35">
      <c r="A246" s="3" t="s">
        <v>534</v>
      </c>
      <c r="B246" s="3" t="s">
        <v>535</v>
      </c>
      <c r="C246" s="4" t="s">
        <v>65</v>
      </c>
      <c r="D246" s="4">
        <v>68.400000000000006</v>
      </c>
      <c r="E246" s="4">
        <v>72.900000000000006</v>
      </c>
      <c r="F246" s="4">
        <v>0</v>
      </c>
      <c r="G246" s="4">
        <v>0</v>
      </c>
      <c r="H246" s="4">
        <v>4.5</v>
      </c>
      <c r="I246" s="4">
        <v>6.6</v>
      </c>
      <c r="J246" s="4">
        <v>6</v>
      </c>
    </row>
    <row r="247" spans="1:10" x14ac:dyDescent="0.35">
      <c r="A247" s="3" t="s">
        <v>536</v>
      </c>
      <c r="B247" s="3" t="s">
        <v>537</v>
      </c>
      <c r="C247" s="4" t="s">
        <v>60</v>
      </c>
      <c r="D247" s="4">
        <v>739.5</v>
      </c>
      <c r="E247" s="4">
        <v>797.9</v>
      </c>
      <c r="F247" s="4">
        <v>0.4</v>
      </c>
      <c r="G247" s="4">
        <v>0.5</v>
      </c>
      <c r="H247" s="4">
        <v>58.4</v>
      </c>
      <c r="I247" s="4">
        <v>7.9</v>
      </c>
      <c r="J247" s="4">
        <v>80.5</v>
      </c>
    </row>
    <row r="248" spans="1:10" x14ac:dyDescent="0.35">
      <c r="A248" s="3" t="s">
        <v>538</v>
      </c>
      <c r="B248" s="3" t="s">
        <v>539</v>
      </c>
      <c r="C248" s="4" t="s">
        <v>65</v>
      </c>
      <c r="D248" s="4">
        <v>60.4</v>
      </c>
      <c r="E248" s="4">
        <v>64.8</v>
      </c>
      <c r="F248" s="4">
        <v>0</v>
      </c>
      <c r="G248" s="4">
        <v>0</v>
      </c>
      <c r="H248" s="4">
        <v>4.4000000000000004</v>
      </c>
      <c r="I248" s="4">
        <v>7.2</v>
      </c>
      <c r="J248" s="4">
        <v>6.6</v>
      </c>
    </row>
    <row r="249" spans="1:10" x14ac:dyDescent="0.35">
      <c r="A249" s="3" t="s">
        <v>540</v>
      </c>
      <c r="B249" s="3" t="s">
        <v>541</v>
      </c>
      <c r="C249" s="4" t="s">
        <v>65</v>
      </c>
      <c r="D249" s="4">
        <v>93.9</v>
      </c>
      <c r="E249" s="4">
        <v>96.2</v>
      </c>
      <c r="F249" s="4">
        <v>0.1</v>
      </c>
      <c r="G249" s="4">
        <v>0.1</v>
      </c>
      <c r="H249" s="4">
        <v>2.4</v>
      </c>
      <c r="I249" s="4">
        <v>2.5</v>
      </c>
      <c r="J249" s="4">
        <v>7.4</v>
      </c>
    </row>
    <row r="250" spans="1:10" x14ac:dyDescent="0.35">
      <c r="A250" s="3" t="s">
        <v>542</v>
      </c>
      <c r="B250" s="3" t="s">
        <v>543</v>
      </c>
      <c r="C250" s="4" t="s">
        <v>65</v>
      </c>
      <c r="D250" s="4">
        <v>415.1</v>
      </c>
      <c r="E250" s="4">
        <v>450.6</v>
      </c>
      <c r="F250" s="4">
        <v>0.3</v>
      </c>
      <c r="G250" s="4">
        <v>0.3</v>
      </c>
      <c r="H250" s="4">
        <v>35.6</v>
      </c>
      <c r="I250" s="4">
        <v>8.6</v>
      </c>
      <c r="J250" s="4">
        <v>47.4</v>
      </c>
    </row>
    <row r="251" spans="1:10" x14ac:dyDescent="0.35">
      <c r="A251" s="3" t="s">
        <v>544</v>
      </c>
      <c r="B251" s="3" t="s">
        <v>545</v>
      </c>
      <c r="C251" s="4" t="s">
        <v>65</v>
      </c>
      <c r="D251" s="4">
        <v>67.2</v>
      </c>
      <c r="E251" s="4">
        <v>76.599999999999994</v>
      </c>
      <c r="F251" s="4">
        <v>0</v>
      </c>
      <c r="G251" s="4">
        <v>0</v>
      </c>
      <c r="H251" s="4">
        <v>9.4</v>
      </c>
      <c r="I251" s="4">
        <v>14.1</v>
      </c>
      <c r="J251" s="4">
        <v>8</v>
      </c>
    </row>
    <row r="252" spans="1:10" x14ac:dyDescent="0.35">
      <c r="A252" s="3" t="s">
        <v>546</v>
      </c>
      <c r="B252" s="3" t="s">
        <v>547</v>
      </c>
      <c r="C252" s="4" t="s">
        <v>65</v>
      </c>
      <c r="D252" s="4">
        <v>103</v>
      </c>
      <c r="E252" s="4">
        <v>109.7</v>
      </c>
      <c r="F252" s="4">
        <v>0.1</v>
      </c>
      <c r="G252" s="4">
        <v>0.1</v>
      </c>
      <c r="H252" s="4">
        <v>6.7</v>
      </c>
      <c r="I252" s="4">
        <v>6.5</v>
      </c>
      <c r="J252" s="4">
        <v>11.1</v>
      </c>
    </row>
    <row r="253" spans="1:10" x14ac:dyDescent="0.35">
      <c r="A253" s="3" t="s">
        <v>548</v>
      </c>
      <c r="B253" s="3" t="s">
        <v>549</v>
      </c>
      <c r="C253" s="4" t="s">
        <v>60</v>
      </c>
      <c r="D253" s="4">
        <v>513.5</v>
      </c>
      <c r="E253" s="4">
        <v>515.1</v>
      </c>
      <c r="F253" s="4">
        <v>0.3</v>
      </c>
      <c r="G253" s="4">
        <v>0.3</v>
      </c>
      <c r="H253" s="4">
        <v>1.5</v>
      </c>
      <c r="I253" s="4">
        <v>0.3</v>
      </c>
      <c r="J253" s="4">
        <v>48.2</v>
      </c>
    </row>
    <row r="254" spans="1:10" x14ac:dyDescent="0.35">
      <c r="A254" s="3" t="s">
        <v>550</v>
      </c>
      <c r="B254" s="3" t="s">
        <v>551</v>
      </c>
      <c r="C254" s="4" t="s">
        <v>65</v>
      </c>
      <c r="D254" s="4">
        <v>266.7</v>
      </c>
      <c r="E254" s="4">
        <v>268.2</v>
      </c>
      <c r="F254" s="4">
        <v>0.2</v>
      </c>
      <c r="G254" s="4">
        <v>0.2</v>
      </c>
      <c r="H254" s="4">
        <v>1.5</v>
      </c>
      <c r="I254" s="4">
        <v>0.6</v>
      </c>
      <c r="J254" s="4">
        <v>21.9</v>
      </c>
    </row>
    <row r="255" spans="1:10" x14ac:dyDescent="0.35">
      <c r="A255" s="3" t="s">
        <v>552</v>
      </c>
      <c r="B255" s="3" t="s">
        <v>553</v>
      </c>
      <c r="C255" s="4" t="s">
        <v>65</v>
      </c>
      <c r="D255" s="4">
        <v>171</v>
      </c>
      <c r="E255" s="4">
        <v>170.6</v>
      </c>
      <c r="F255" s="4">
        <v>0.1</v>
      </c>
      <c r="G255" s="4">
        <v>0.1</v>
      </c>
      <c r="H255" s="4">
        <v>-0.4</v>
      </c>
      <c r="I255" s="4">
        <v>-0.2</v>
      </c>
      <c r="J255" s="4">
        <v>16.3</v>
      </c>
    </row>
    <row r="256" spans="1:10" x14ac:dyDescent="0.35">
      <c r="A256" s="3" t="s">
        <v>554</v>
      </c>
      <c r="B256" s="3" t="s">
        <v>555</v>
      </c>
      <c r="C256" s="4" t="s">
        <v>65</v>
      </c>
      <c r="D256" s="4">
        <v>75.8</v>
      </c>
      <c r="E256" s="4">
        <v>76.2</v>
      </c>
      <c r="F256" s="4">
        <v>0</v>
      </c>
      <c r="G256" s="4">
        <v>0</v>
      </c>
      <c r="H256" s="4">
        <v>0.4</v>
      </c>
      <c r="I256" s="4">
        <v>0.6</v>
      </c>
      <c r="J256" s="4">
        <v>10</v>
      </c>
    </row>
    <row r="257" spans="1:10" x14ac:dyDescent="0.35">
      <c r="A257" s="3" t="s">
        <v>20</v>
      </c>
      <c r="B257" s="3" t="s">
        <v>21</v>
      </c>
      <c r="C257" s="4" t="s">
        <v>60</v>
      </c>
      <c r="D257" s="4">
        <v>1362.4</v>
      </c>
      <c r="E257" s="4">
        <v>1442.3</v>
      </c>
      <c r="F257" s="4">
        <v>0.8</v>
      </c>
      <c r="G257" s="4">
        <v>0.9</v>
      </c>
      <c r="H257" s="4">
        <v>80</v>
      </c>
      <c r="I257" s="4">
        <v>5.9</v>
      </c>
      <c r="J257" s="4">
        <v>91.7</v>
      </c>
    </row>
    <row r="258" spans="1:10" x14ac:dyDescent="0.35">
      <c r="A258" s="3" t="s">
        <v>556</v>
      </c>
      <c r="B258" s="3" t="s">
        <v>557</v>
      </c>
      <c r="C258" s="4" t="s">
        <v>60</v>
      </c>
      <c r="D258" s="4">
        <v>894.5</v>
      </c>
      <c r="E258" s="4">
        <v>958.5</v>
      </c>
      <c r="F258" s="4">
        <v>0.5</v>
      </c>
      <c r="G258" s="4">
        <v>0.6</v>
      </c>
      <c r="H258" s="4">
        <v>64</v>
      </c>
      <c r="I258" s="4">
        <v>7.2</v>
      </c>
      <c r="J258" s="4">
        <v>42.2</v>
      </c>
    </row>
    <row r="259" spans="1:10" x14ac:dyDescent="0.35">
      <c r="A259" s="3" t="s">
        <v>558</v>
      </c>
      <c r="B259" s="3" t="s">
        <v>559</v>
      </c>
      <c r="C259" s="4" t="s">
        <v>60</v>
      </c>
      <c r="D259" s="4">
        <v>842.6</v>
      </c>
      <c r="E259" s="4">
        <v>905.3</v>
      </c>
      <c r="F259" s="4">
        <v>0.5</v>
      </c>
      <c r="G259" s="4">
        <v>0.5</v>
      </c>
      <c r="H259" s="4">
        <v>62.7</v>
      </c>
      <c r="I259" s="4">
        <v>7.4</v>
      </c>
      <c r="J259" s="4">
        <v>40.1</v>
      </c>
    </row>
    <row r="260" spans="1:10" x14ac:dyDescent="0.35">
      <c r="A260" s="3" t="s">
        <v>560</v>
      </c>
      <c r="B260" s="3" t="s">
        <v>561</v>
      </c>
      <c r="C260" s="4" t="s">
        <v>65</v>
      </c>
      <c r="D260" s="4">
        <v>826.3</v>
      </c>
      <c r="E260" s="4">
        <v>888.7</v>
      </c>
      <c r="F260" s="4">
        <v>0.5</v>
      </c>
      <c r="G260" s="4">
        <v>0.5</v>
      </c>
      <c r="H260" s="4">
        <v>62.4</v>
      </c>
      <c r="I260" s="4">
        <v>7.5</v>
      </c>
      <c r="J260" s="4">
        <v>39.1</v>
      </c>
    </row>
    <row r="261" spans="1:10" x14ac:dyDescent="0.35">
      <c r="A261" s="3" t="s">
        <v>562</v>
      </c>
      <c r="B261" s="3" t="s">
        <v>563</v>
      </c>
      <c r="C261" s="4" t="s">
        <v>65</v>
      </c>
      <c r="D261" s="4">
        <v>16.3</v>
      </c>
      <c r="E261" s="4">
        <v>16.600000000000001</v>
      </c>
      <c r="F261" s="4">
        <v>0</v>
      </c>
      <c r="G261" s="4">
        <v>0</v>
      </c>
      <c r="H261" s="4">
        <v>0.4</v>
      </c>
      <c r="I261" s="4">
        <v>2.2999999999999998</v>
      </c>
      <c r="J261" s="4">
        <v>1</v>
      </c>
    </row>
    <row r="262" spans="1:10" x14ac:dyDescent="0.35">
      <c r="A262" s="3" t="s">
        <v>564</v>
      </c>
      <c r="B262" s="3" t="s">
        <v>565</v>
      </c>
      <c r="C262" s="4" t="s">
        <v>60</v>
      </c>
      <c r="D262" s="4">
        <v>51.9</v>
      </c>
      <c r="E262" s="4">
        <v>53.2</v>
      </c>
      <c r="F262" s="4">
        <v>0</v>
      </c>
      <c r="G262" s="4">
        <v>0</v>
      </c>
      <c r="H262" s="4">
        <v>1.3</v>
      </c>
      <c r="I262" s="4">
        <v>2.4</v>
      </c>
      <c r="J262" s="4">
        <v>2.1</v>
      </c>
    </row>
    <row r="263" spans="1:10" x14ac:dyDescent="0.35">
      <c r="A263" s="3" t="s">
        <v>566</v>
      </c>
      <c r="B263" s="3" t="s">
        <v>567</v>
      </c>
      <c r="C263" s="4" t="s">
        <v>65</v>
      </c>
      <c r="D263" s="4">
        <v>13.2</v>
      </c>
      <c r="E263" s="4">
        <v>13.4</v>
      </c>
      <c r="F263" s="4">
        <v>0</v>
      </c>
      <c r="G263" s="4">
        <v>0</v>
      </c>
      <c r="H263" s="4">
        <v>0.1</v>
      </c>
      <c r="I263" s="4">
        <v>1.1000000000000001</v>
      </c>
      <c r="J263" s="4">
        <v>0.5</v>
      </c>
    </row>
    <row r="264" spans="1:10" x14ac:dyDescent="0.35">
      <c r="A264" s="3" t="s">
        <v>568</v>
      </c>
      <c r="B264" s="3" t="s">
        <v>569</v>
      </c>
      <c r="C264" s="4" t="s">
        <v>65</v>
      </c>
      <c r="D264" s="4">
        <v>9.1</v>
      </c>
      <c r="E264" s="4">
        <v>9.6</v>
      </c>
      <c r="F264" s="4">
        <v>0</v>
      </c>
      <c r="G264" s="4">
        <v>0</v>
      </c>
      <c r="H264" s="4">
        <v>0.5</v>
      </c>
      <c r="I264" s="4">
        <v>5</v>
      </c>
      <c r="J264" s="4">
        <v>0.4</v>
      </c>
    </row>
    <row r="265" spans="1:10" x14ac:dyDescent="0.35">
      <c r="A265" s="3" t="s">
        <v>570</v>
      </c>
      <c r="B265" s="3" t="s">
        <v>571</v>
      </c>
      <c r="C265" s="4" t="s">
        <v>65</v>
      </c>
      <c r="D265" s="4">
        <v>29.6</v>
      </c>
      <c r="E265" s="4">
        <v>30.2</v>
      </c>
      <c r="F265" s="4">
        <v>0</v>
      </c>
      <c r="G265" s="4">
        <v>0</v>
      </c>
      <c r="H265" s="4">
        <v>0.7</v>
      </c>
      <c r="I265" s="4">
        <v>2.2000000000000002</v>
      </c>
      <c r="J265" s="4">
        <v>1.2</v>
      </c>
    </row>
    <row r="266" spans="1:10" x14ac:dyDescent="0.35">
      <c r="A266" s="3" t="s">
        <v>572</v>
      </c>
      <c r="B266" s="3" t="s">
        <v>573</v>
      </c>
      <c r="C266" s="4" t="s">
        <v>60</v>
      </c>
      <c r="D266" s="4">
        <v>467.9</v>
      </c>
      <c r="E266" s="4">
        <v>483.8</v>
      </c>
      <c r="F266" s="4">
        <v>0.3</v>
      </c>
      <c r="G266" s="4">
        <v>0.3</v>
      </c>
      <c r="H266" s="4">
        <v>16</v>
      </c>
      <c r="I266" s="4">
        <v>3.4</v>
      </c>
      <c r="J266" s="4">
        <v>49.4</v>
      </c>
    </row>
    <row r="267" spans="1:10" x14ac:dyDescent="0.35">
      <c r="A267" s="3" t="s">
        <v>574</v>
      </c>
      <c r="B267" s="3" t="s">
        <v>575</v>
      </c>
      <c r="C267" s="4" t="s">
        <v>65</v>
      </c>
      <c r="D267" s="4">
        <v>354.3</v>
      </c>
      <c r="E267" s="4">
        <v>369.1</v>
      </c>
      <c r="F267" s="4">
        <v>0.2</v>
      </c>
      <c r="G267" s="4">
        <v>0.2</v>
      </c>
      <c r="H267" s="4">
        <v>14.8</v>
      </c>
      <c r="I267" s="4">
        <v>4.2</v>
      </c>
      <c r="J267" s="4">
        <v>38</v>
      </c>
    </row>
    <row r="268" spans="1:10" x14ac:dyDescent="0.35">
      <c r="A268" s="3" t="s">
        <v>576</v>
      </c>
      <c r="B268" s="3" t="s">
        <v>577</v>
      </c>
      <c r="C268" s="4" t="s">
        <v>60</v>
      </c>
      <c r="D268" s="4">
        <v>113.6</v>
      </c>
      <c r="E268" s="4">
        <v>114.7</v>
      </c>
      <c r="F268" s="4">
        <v>0.1</v>
      </c>
      <c r="G268" s="4">
        <v>0.1</v>
      </c>
      <c r="H268" s="4">
        <v>1.1000000000000001</v>
      </c>
      <c r="I268" s="4">
        <v>1</v>
      </c>
      <c r="J268" s="4">
        <v>11.4</v>
      </c>
    </row>
    <row r="269" spans="1:10" x14ac:dyDescent="0.35">
      <c r="A269" s="3" t="s">
        <v>578</v>
      </c>
      <c r="B269" s="3" t="s">
        <v>579</v>
      </c>
      <c r="C269" s="4" t="s">
        <v>65</v>
      </c>
      <c r="D269" s="4">
        <v>62.2</v>
      </c>
      <c r="E269" s="4">
        <v>63.3</v>
      </c>
      <c r="F269" s="4">
        <v>0</v>
      </c>
      <c r="G269" s="4">
        <v>0</v>
      </c>
      <c r="H269" s="4">
        <v>1</v>
      </c>
      <c r="I269" s="4">
        <v>1.7</v>
      </c>
      <c r="J269" s="4">
        <v>6</v>
      </c>
    </row>
    <row r="270" spans="1:10" x14ac:dyDescent="0.35">
      <c r="A270" s="3" t="s">
        <v>580</v>
      </c>
      <c r="B270" s="3" t="s">
        <v>581</v>
      </c>
      <c r="C270" s="4" t="s">
        <v>65</v>
      </c>
      <c r="D270" s="4">
        <v>51.4</v>
      </c>
      <c r="E270" s="4">
        <v>51.5</v>
      </c>
      <c r="F270" s="4">
        <v>0</v>
      </c>
      <c r="G270" s="4">
        <v>0</v>
      </c>
      <c r="H270" s="4">
        <v>0.1</v>
      </c>
      <c r="I270" s="4">
        <v>0.2</v>
      </c>
      <c r="J270" s="4">
        <v>5.4</v>
      </c>
    </row>
    <row r="271" spans="1:10" x14ac:dyDescent="0.35">
      <c r="A271" s="3" t="s">
        <v>22</v>
      </c>
      <c r="B271" s="3" t="s">
        <v>23</v>
      </c>
      <c r="C271" s="4" t="s">
        <v>60</v>
      </c>
      <c r="D271" s="4">
        <v>9354.1</v>
      </c>
      <c r="E271" s="4">
        <v>9570.6</v>
      </c>
      <c r="F271" s="4">
        <v>5.7</v>
      </c>
      <c r="G271" s="4">
        <v>5.7</v>
      </c>
      <c r="H271" s="4">
        <v>216.5</v>
      </c>
      <c r="I271" s="4">
        <v>2.2999999999999998</v>
      </c>
      <c r="J271" s="4">
        <v>857.6</v>
      </c>
    </row>
    <row r="272" spans="1:10" x14ac:dyDescent="0.35">
      <c r="A272" s="3" t="s">
        <v>582</v>
      </c>
      <c r="B272" s="3" t="s">
        <v>583</v>
      </c>
      <c r="C272" s="4" t="s">
        <v>60</v>
      </c>
      <c r="D272" s="4">
        <v>1709.8</v>
      </c>
      <c r="E272" s="4">
        <v>1826.8</v>
      </c>
      <c r="F272" s="4">
        <v>1</v>
      </c>
      <c r="G272" s="4">
        <v>1.1000000000000001</v>
      </c>
      <c r="H272" s="4">
        <v>117</v>
      </c>
      <c r="I272" s="4">
        <v>6.8</v>
      </c>
      <c r="J272" s="4">
        <v>149.19999999999999</v>
      </c>
    </row>
    <row r="273" spans="1:10" x14ac:dyDescent="0.35">
      <c r="A273" s="3" t="s">
        <v>584</v>
      </c>
      <c r="B273" s="3" t="s">
        <v>585</v>
      </c>
      <c r="C273" s="4" t="s">
        <v>65</v>
      </c>
      <c r="D273" s="4">
        <v>99.9</v>
      </c>
      <c r="E273" s="4">
        <v>106.9</v>
      </c>
      <c r="F273" s="4">
        <v>0.1</v>
      </c>
      <c r="G273" s="4">
        <v>0.1</v>
      </c>
      <c r="H273" s="4">
        <v>6.9</v>
      </c>
      <c r="I273" s="4">
        <v>6.9</v>
      </c>
      <c r="J273" s="4">
        <v>8.6999999999999993</v>
      </c>
    </row>
    <row r="274" spans="1:10" x14ac:dyDescent="0.35">
      <c r="A274" s="3" t="s">
        <v>586</v>
      </c>
      <c r="B274" s="3" t="s">
        <v>587</v>
      </c>
      <c r="C274" s="4" t="s">
        <v>60</v>
      </c>
      <c r="D274" s="4">
        <v>98</v>
      </c>
      <c r="E274" s="4">
        <v>102</v>
      </c>
      <c r="F274" s="4">
        <v>0.1</v>
      </c>
      <c r="G274" s="4">
        <v>0.1</v>
      </c>
      <c r="H274" s="4">
        <v>4</v>
      </c>
      <c r="I274" s="4">
        <v>4.0999999999999996</v>
      </c>
      <c r="J274" s="4">
        <v>8.1999999999999993</v>
      </c>
    </row>
    <row r="275" spans="1:10" x14ac:dyDescent="0.35">
      <c r="A275" s="3" t="s">
        <v>588</v>
      </c>
      <c r="B275" s="3" t="s">
        <v>589</v>
      </c>
      <c r="C275" s="4" t="s">
        <v>65</v>
      </c>
      <c r="D275" s="4">
        <v>42</v>
      </c>
      <c r="E275" s="4">
        <v>44.3</v>
      </c>
      <c r="F275" s="4">
        <v>0</v>
      </c>
      <c r="G275" s="4">
        <v>0</v>
      </c>
      <c r="H275" s="4">
        <v>2.2000000000000002</v>
      </c>
      <c r="I275" s="4">
        <v>5.3</v>
      </c>
      <c r="J275" s="4">
        <v>3.6</v>
      </c>
    </row>
    <row r="276" spans="1:10" x14ac:dyDescent="0.35">
      <c r="A276" s="3" t="s">
        <v>590</v>
      </c>
      <c r="B276" s="3" t="s">
        <v>591</v>
      </c>
      <c r="C276" s="4" t="s">
        <v>65</v>
      </c>
      <c r="D276" s="4">
        <v>55.9</v>
      </c>
      <c r="E276" s="4">
        <v>57.7</v>
      </c>
      <c r="F276" s="4">
        <v>0</v>
      </c>
      <c r="G276" s="4">
        <v>0</v>
      </c>
      <c r="H276" s="4">
        <v>1.8</v>
      </c>
      <c r="I276" s="4">
        <v>3.2</v>
      </c>
      <c r="J276" s="4">
        <v>4.5999999999999996</v>
      </c>
    </row>
    <row r="277" spans="1:10" x14ac:dyDescent="0.35">
      <c r="A277" s="3" t="s">
        <v>592</v>
      </c>
      <c r="B277" s="3" t="s">
        <v>593</v>
      </c>
      <c r="C277" s="4" t="s">
        <v>60</v>
      </c>
      <c r="D277" s="4">
        <v>53.7</v>
      </c>
      <c r="E277" s="4">
        <v>58.2</v>
      </c>
      <c r="F277" s="4">
        <v>0</v>
      </c>
      <c r="G277" s="4">
        <v>0</v>
      </c>
      <c r="H277" s="4">
        <v>4.5</v>
      </c>
      <c r="I277" s="4">
        <v>8.4</v>
      </c>
      <c r="J277" s="4">
        <v>4.8</v>
      </c>
    </row>
    <row r="278" spans="1:10" x14ac:dyDescent="0.35">
      <c r="A278" s="3" t="s">
        <v>594</v>
      </c>
      <c r="B278" s="3" t="s">
        <v>595</v>
      </c>
      <c r="C278" s="4" t="s">
        <v>65</v>
      </c>
      <c r="D278" s="4">
        <v>8.1999999999999993</v>
      </c>
      <c r="E278" s="4">
        <v>8.5</v>
      </c>
      <c r="F278" s="4">
        <v>0</v>
      </c>
      <c r="G278" s="4">
        <v>0</v>
      </c>
      <c r="H278" s="4">
        <v>0.3</v>
      </c>
      <c r="I278" s="4">
        <v>3.8</v>
      </c>
      <c r="J278" s="4">
        <v>0.7</v>
      </c>
    </row>
    <row r="279" spans="1:10" x14ac:dyDescent="0.35">
      <c r="A279" s="3" t="s">
        <v>596</v>
      </c>
      <c r="B279" s="3" t="s">
        <v>597</v>
      </c>
      <c r="C279" s="4" t="s">
        <v>65</v>
      </c>
      <c r="D279" s="4">
        <v>45.5</v>
      </c>
      <c r="E279" s="4">
        <v>49.7</v>
      </c>
      <c r="F279" s="4">
        <v>0</v>
      </c>
      <c r="G279" s="4">
        <v>0</v>
      </c>
      <c r="H279" s="4">
        <v>4.2</v>
      </c>
      <c r="I279" s="4">
        <v>9.3000000000000007</v>
      </c>
      <c r="J279" s="4">
        <v>4.0999999999999996</v>
      </c>
    </row>
    <row r="280" spans="1:10" x14ac:dyDescent="0.35">
      <c r="A280" s="3" t="s">
        <v>598</v>
      </c>
      <c r="B280" s="3" t="s">
        <v>599</v>
      </c>
      <c r="C280" s="4" t="s">
        <v>60</v>
      </c>
      <c r="D280" s="4">
        <v>74</v>
      </c>
      <c r="E280" s="4">
        <v>79.900000000000006</v>
      </c>
      <c r="F280" s="4">
        <v>0</v>
      </c>
      <c r="G280" s="4">
        <v>0</v>
      </c>
      <c r="H280" s="4">
        <v>5.9</v>
      </c>
      <c r="I280" s="4">
        <v>8</v>
      </c>
      <c r="J280" s="4">
        <v>6.6</v>
      </c>
    </row>
    <row r="281" spans="1:10" x14ac:dyDescent="0.35">
      <c r="A281" s="3" t="s">
        <v>600</v>
      </c>
      <c r="B281" s="3" t="s">
        <v>601</v>
      </c>
      <c r="C281" s="4" t="s">
        <v>65</v>
      </c>
      <c r="D281" s="4">
        <v>10.1</v>
      </c>
      <c r="E281" s="4">
        <v>10.5</v>
      </c>
      <c r="F281" s="4">
        <v>0</v>
      </c>
      <c r="G281" s="4">
        <v>0</v>
      </c>
      <c r="H281" s="4">
        <v>0.5</v>
      </c>
      <c r="I281" s="4">
        <v>4.8</v>
      </c>
      <c r="J281" s="4">
        <v>0.8</v>
      </c>
    </row>
    <row r="282" spans="1:10" x14ac:dyDescent="0.35">
      <c r="A282" s="3" t="s">
        <v>602</v>
      </c>
      <c r="B282" s="3" t="s">
        <v>603</v>
      </c>
      <c r="C282" s="4" t="s">
        <v>65</v>
      </c>
      <c r="D282" s="4">
        <v>62.4</v>
      </c>
      <c r="E282" s="4">
        <v>67.7</v>
      </c>
      <c r="F282" s="4">
        <v>0</v>
      </c>
      <c r="G282" s="4">
        <v>0</v>
      </c>
      <c r="H282" s="4">
        <v>5.3</v>
      </c>
      <c r="I282" s="4">
        <v>8.6</v>
      </c>
      <c r="J282" s="4">
        <v>5.6</v>
      </c>
    </row>
    <row r="283" spans="1:10" x14ac:dyDescent="0.35">
      <c r="A283" s="3" t="s">
        <v>604</v>
      </c>
      <c r="B283" s="3" t="s">
        <v>605</v>
      </c>
      <c r="C283" s="4" t="s">
        <v>65</v>
      </c>
      <c r="D283" s="4">
        <v>1.5</v>
      </c>
      <c r="E283" s="4">
        <v>1.6</v>
      </c>
      <c r="F283" s="4">
        <v>0</v>
      </c>
      <c r="G283" s="4">
        <v>0</v>
      </c>
      <c r="H283" s="4">
        <v>0.1</v>
      </c>
      <c r="I283" s="4">
        <v>5.2</v>
      </c>
      <c r="J283" s="4">
        <v>0.1</v>
      </c>
    </row>
    <row r="284" spans="1:10" x14ac:dyDescent="0.35">
      <c r="A284" s="3" t="s">
        <v>606</v>
      </c>
      <c r="B284" s="3" t="s">
        <v>607</v>
      </c>
      <c r="C284" s="4" t="s">
        <v>60</v>
      </c>
      <c r="D284" s="4">
        <v>63.5</v>
      </c>
      <c r="E284" s="4">
        <v>65.900000000000006</v>
      </c>
      <c r="F284" s="4">
        <v>0</v>
      </c>
      <c r="G284" s="4">
        <v>0</v>
      </c>
      <c r="H284" s="4">
        <v>2.4</v>
      </c>
      <c r="I284" s="4">
        <v>3.7</v>
      </c>
      <c r="J284" s="4">
        <v>5.3</v>
      </c>
    </row>
    <row r="285" spans="1:10" x14ac:dyDescent="0.35">
      <c r="A285" s="3" t="s">
        <v>608</v>
      </c>
      <c r="B285" s="3" t="s">
        <v>609</v>
      </c>
      <c r="C285" s="4" t="s">
        <v>65</v>
      </c>
      <c r="D285" s="4">
        <v>13.6</v>
      </c>
      <c r="E285" s="4">
        <v>14.1</v>
      </c>
      <c r="F285" s="4">
        <v>0</v>
      </c>
      <c r="G285" s="4">
        <v>0</v>
      </c>
      <c r="H285" s="4">
        <v>0.5</v>
      </c>
      <c r="I285" s="4">
        <v>3.6</v>
      </c>
      <c r="J285" s="4">
        <v>1.1000000000000001</v>
      </c>
    </row>
    <row r="286" spans="1:10" x14ac:dyDescent="0.35">
      <c r="A286" s="3" t="s">
        <v>610</v>
      </c>
      <c r="B286" s="3" t="s">
        <v>611</v>
      </c>
      <c r="C286" s="4" t="s">
        <v>65</v>
      </c>
      <c r="D286" s="4">
        <v>25.9</v>
      </c>
      <c r="E286" s="4">
        <v>26.8</v>
      </c>
      <c r="F286" s="4">
        <v>0</v>
      </c>
      <c r="G286" s="4">
        <v>0</v>
      </c>
      <c r="H286" s="4">
        <v>0.9</v>
      </c>
      <c r="I286" s="4">
        <v>3.5</v>
      </c>
      <c r="J286" s="4">
        <v>2.1</v>
      </c>
    </row>
    <row r="287" spans="1:10" x14ac:dyDescent="0.35">
      <c r="A287" s="3" t="s">
        <v>612</v>
      </c>
      <c r="B287" s="3" t="s">
        <v>613</v>
      </c>
      <c r="C287" s="4" t="s">
        <v>65</v>
      </c>
      <c r="D287" s="4">
        <v>7.9</v>
      </c>
      <c r="E287" s="4">
        <v>8.1999999999999993</v>
      </c>
      <c r="F287" s="4">
        <v>0</v>
      </c>
      <c r="G287" s="4">
        <v>0</v>
      </c>
      <c r="H287" s="4">
        <v>0.3</v>
      </c>
      <c r="I287" s="4">
        <v>4.2</v>
      </c>
      <c r="J287" s="4">
        <v>0.7</v>
      </c>
    </row>
    <row r="288" spans="1:10" x14ac:dyDescent="0.35">
      <c r="A288" s="3" t="s">
        <v>614</v>
      </c>
      <c r="B288" s="3" t="s">
        <v>615</v>
      </c>
      <c r="C288" s="4" t="s">
        <v>65</v>
      </c>
      <c r="D288" s="4">
        <v>16.2</v>
      </c>
      <c r="E288" s="4">
        <v>16.8</v>
      </c>
      <c r="F288" s="4">
        <v>0</v>
      </c>
      <c r="G288" s="4">
        <v>0</v>
      </c>
      <c r="H288" s="4">
        <v>0.6</v>
      </c>
      <c r="I288" s="4">
        <v>3.8</v>
      </c>
      <c r="J288" s="4">
        <v>1.3</v>
      </c>
    </row>
    <row r="289" spans="1:10" x14ac:dyDescent="0.35">
      <c r="A289" s="3" t="s">
        <v>616</v>
      </c>
      <c r="B289" s="3" t="s">
        <v>617</v>
      </c>
      <c r="C289" s="4" t="s">
        <v>60</v>
      </c>
      <c r="D289" s="4">
        <v>141.4</v>
      </c>
      <c r="E289" s="4">
        <v>147.30000000000001</v>
      </c>
      <c r="F289" s="4">
        <v>0.1</v>
      </c>
      <c r="G289" s="4">
        <v>0.1</v>
      </c>
      <c r="H289" s="4">
        <v>5.9</v>
      </c>
      <c r="I289" s="4">
        <v>4.2</v>
      </c>
      <c r="J289" s="4">
        <v>11.8</v>
      </c>
    </row>
    <row r="290" spans="1:10" x14ac:dyDescent="0.35">
      <c r="A290" s="3" t="s">
        <v>618</v>
      </c>
      <c r="B290" s="3" t="s">
        <v>619</v>
      </c>
      <c r="C290" s="4" t="s">
        <v>65</v>
      </c>
      <c r="D290" s="4">
        <v>6.2</v>
      </c>
      <c r="E290" s="4">
        <v>6.4</v>
      </c>
      <c r="F290" s="4">
        <v>0</v>
      </c>
      <c r="G290" s="4">
        <v>0</v>
      </c>
      <c r="H290" s="4">
        <v>0.2</v>
      </c>
      <c r="I290" s="4">
        <v>4</v>
      </c>
      <c r="J290" s="4">
        <v>0.5</v>
      </c>
    </row>
    <row r="291" spans="1:10" x14ac:dyDescent="0.35">
      <c r="A291" s="3" t="s">
        <v>620</v>
      </c>
      <c r="B291" s="3" t="s">
        <v>621</v>
      </c>
      <c r="C291" s="4" t="s">
        <v>65</v>
      </c>
      <c r="D291" s="4">
        <v>11.9</v>
      </c>
      <c r="E291" s="4">
        <v>12.4</v>
      </c>
      <c r="F291" s="4">
        <v>0</v>
      </c>
      <c r="G291" s="4">
        <v>0</v>
      </c>
      <c r="H291" s="4">
        <v>0.5</v>
      </c>
      <c r="I291" s="4">
        <v>3.9</v>
      </c>
      <c r="J291" s="4">
        <v>1</v>
      </c>
    </row>
    <row r="292" spans="1:10" x14ac:dyDescent="0.35">
      <c r="A292" s="3" t="s">
        <v>622</v>
      </c>
      <c r="B292" s="3" t="s">
        <v>623</v>
      </c>
      <c r="C292" s="4" t="s">
        <v>65</v>
      </c>
      <c r="D292" s="4">
        <v>14.8</v>
      </c>
      <c r="E292" s="4">
        <v>15.4</v>
      </c>
      <c r="F292" s="4">
        <v>0</v>
      </c>
      <c r="G292" s="4">
        <v>0</v>
      </c>
      <c r="H292" s="4">
        <v>0.6</v>
      </c>
      <c r="I292" s="4">
        <v>3.8</v>
      </c>
      <c r="J292" s="4">
        <v>1.2</v>
      </c>
    </row>
    <row r="293" spans="1:10" x14ac:dyDescent="0.35">
      <c r="A293" s="3" t="s">
        <v>624</v>
      </c>
      <c r="B293" s="3" t="s">
        <v>625</v>
      </c>
      <c r="C293" s="4" t="s">
        <v>65</v>
      </c>
      <c r="D293" s="4">
        <v>4.0999999999999996</v>
      </c>
      <c r="E293" s="4">
        <v>4.3</v>
      </c>
      <c r="F293" s="4">
        <v>0</v>
      </c>
      <c r="G293" s="4">
        <v>0</v>
      </c>
      <c r="H293" s="4">
        <v>0.2</v>
      </c>
      <c r="I293" s="4">
        <v>4.4000000000000004</v>
      </c>
      <c r="J293" s="4">
        <v>0.3</v>
      </c>
    </row>
    <row r="294" spans="1:10" x14ac:dyDescent="0.35">
      <c r="A294" s="3" t="s">
        <v>626</v>
      </c>
      <c r="B294" s="3" t="s">
        <v>627</v>
      </c>
      <c r="C294" s="4" t="s">
        <v>65</v>
      </c>
      <c r="D294" s="4">
        <v>19.3</v>
      </c>
      <c r="E294" s="4">
        <v>20</v>
      </c>
      <c r="F294" s="4">
        <v>0</v>
      </c>
      <c r="G294" s="4">
        <v>0</v>
      </c>
      <c r="H294" s="4">
        <v>0.7</v>
      </c>
      <c r="I294" s="4">
        <v>3.7</v>
      </c>
      <c r="J294" s="4">
        <v>1.6</v>
      </c>
    </row>
    <row r="295" spans="1:10" x14ac:dyDescent="0.35">
      <c r="A295" s="3" t="s">
        <v>628</v>
      </c>
      <c r="B295" s="3" t="s">
        <v>629</v>
      </c>
      <c r="C295" s="4" t="s">
        <v>65</v>
      </c>
      <c r="D295" s="4">
        <v>50.9</v>
      </c>
      <c r="E295" s="4">
        <v>53.6</v>
      </c>
      <c r="F295" s="4">
        <v>0</v>
      </c>
      <c r="G295" s="4">
        <v>0</v>
      </c>
      <c r="H295" s="4">
        <v>2.7</v>
      </c>
      <c r="I295" s="4">
        <v>5.2</v>
      </c>
      <c r="J295" s="4">
        <v>4.3</v>
      </c>
    </row>
    <row r="296" spans="1:10" x14ac:dyDescent="0.35">
      <c r="A296" s="3" t="s">
        <v>630</v>
      </c>
      <c r="B296" s="3" t="s">
        <v>631</v>
      </c>
      <c r="C296" s="4" t="s">
        <v>65</v>
      </c>
      <c r="D296" s="4">
        <v>15</v>
      </c>
      <c r="E296" s="4">
        <v>15.5</v>
      </c>
      <c r="F296" s="4">
        <v>0</v>
      </c>
      <c r="G296" s="4">
        <v>0</v>
      </c>
      <c r="H296" s="4">
        <v>0.6</v>
      </c>
      <c r="I296" s="4">
        <v>3.7</v>
      </c>
      <c r="J296" s="4">
        <v>1.2</v>
      </c>
    </row>
    <row r="297" spans="1:10" x14ac:dyDescent="0.35">
      <c r="A297" s="3" t="s">
        <v>632</v>
      </c>
      <c r="B297" s="3" t="s">
        <v>633</v>
      </c>
      <c r="C297" s="4" t="s">
        <v>65</v>
      </c>
      <c r="D297" s="4">
        <v>19.2</v>
      </c>
      <c r="E297" s="4">
        <v>19.7</v>
      </c>
      <c r="F297" s="4">
        <v>0</v>
      </c>
      <c r="G297" s="4">
        <v>0</v>
      </c>
      <c r="H297" s="4">
        <v>0.5</v>
      </c>
      <c r="I297" s="4">
        <v>2.6</v>
      </c>
      <c r="J297" s="4">
        <v>1.6</v>
      </c>
    </row>
    <row r="298" spans="1:10" x14ac:dyDescent="0.35">
      <c r="A298" s="3" t="s">
        <v>634</v>
      </c>
      <c r="B298" s="3" t="s">
        <v>635</v>
      </c>
      <c r="C298" s="4" t="s">
        <v>60</v>
      </c>
      <c r="D298" s="4">
        <v>348.7</v>
      </c>
      <c r="E298" s="4">
        <v>414.5</v>
      </c>
      <c r="F298" s="4">
        <v>0.2</v>
      </c>
      <c r="G298" s="4">
        <v>0.2</v>
      </c>
      <c r="H298" s="4">
        <v>65.8</v>
      </c>
      <c r="I298" s="4">
        <v>18.899999999999999</v>
      </c>
      <c r="J298" s="4">
        <v>36.299999999999997</v>
      </c>
    </row>
    <row r="299" spans="1:10" x14ac:dyDescent="0.35">
      <c r="A299" s="3" t="s">
        <v>636</v>
      </c>
      <c r="B299" s="3" t="s">
        <v>637</v>
      </c>
      <c r="C299" s="4" t="s">
        <v>65</v>
      </c>
      <c r="D299" s="4">
        <v>262.8</v>
      </c>
      <c r="E299" s="4">
        <v>313</v>
      </c>
      <c r="F299" s="4">
        <v>0.2</v>
      </c>
      <c r="G299" s="4">
        <v>0.2</v>
      </c>
      <c r="H299" s="4">
        <v>50.2</v>
      </c>
      <c r="I299" s="4">
        <v>19.100000000000001</v>
      </c>
      <c r="J299" s="4">
        <v>27.4</v>
      </c>
    </row>
    <row r="300" spans="1:10" x14ac:dyDescent="0.35">
      <c r="A300" s="3" t="s">
        <v>638</v>
      </c>
      <c r="B300" s="3" t="s">
        <v>639</v>
      </c>
      <c r="C300" s="4" t="s">
        <v>65</v>
      </c>
      <c r="D300" s="4">
        <v>85.9</v>
      </c>
      <c r="E300" s="4">
        <v>101.5</v>
      </c>
      <c r="F300" s="4">
        <v>0.1</v>
      </c>
      <c r="G300" s="4">
        <v>0.1</v>
      </c>
      <c r="H300" s="4">
        <v>15.6</v>
      </c>
      <c r="I300" s="4">
        <v>18.2</v>
      </c>
      <c r="J300" s="4">
        <v>8.8000000000000007</v>
      </c>
    </row>
    <row r="301" spans="1:10" x14ac:dyDescent="0.35">
      <c r="A301" s="3" t="s">
        <v>640</v>
      </c>
      <c r="B301" s="3" t="s">
        <v>641</v>
      </c>
      <c r="C301" s="4" t="s">
        <v>60</v>
      </c>
      <c r="D301" s="4">
        <v>79.7</v>
      </c>
      <c r="E301" s="4">
        <v>82.7</v>
      </c>
      <c r="F301" s="4">
        <v>0</v>
      </c>
      <c r="G301" s="4">
        <v>0</v>
      </c>
      <c r="H301" s="4">
        <v>3</v>
      </c>
      <c r="I301" s="4">
        <v>3.8</v>
      </c>
      <c r="J301" s="4">
        <v>6.6</v>
      </c>
    </row>
    <row r="302" spans="1:10" x14ac:dyDescent="0.35">
      <c r="A302" s="3" t="s">
        <v>642</v>
      </c>
      <c r="B302" s="3" t="s">
        <v>643</v>
      </c>
      <c r="C302" s="4" t="s">
        <v>65</v>
      </c>
      <c r="D302" s="4">
        <v>74.3</v>
      </c>
      <c r="E302" s="4">
        <v>77.099999999999994</v>
      </c>
      <c r="F302" s="4">
        <v>0</v>
      </c>
      <c r="G302" s="4">
        <v>0</v>
      </c>
      <c r="H302" s="4">
        <v>2.8</v>
      </c>
      <c r="I302" s="4">
        <v>3.7</v>
      </c>
      <c r="J302" s="4">
        <v>6.2</v>
      </c>
    </row>
    <row r="303" spans="1:10" x14ac:dyDescent="0.35">
      <c r="A303" s="3" t="s">
        <v>644</v>
      </c>
      <c r="B303" s="3" t="s">
        <v>645</v>
      </c>
      <c r="C303" s="4" t="s">
        <v>65</v>
      </c>
      <c r="D303" s="4">
        <v>5.4</v>
      </c>
      <c r="E303" s="4">
        <v>5.6</v>
      </c>
      <c r="F303" s="4">
        <v>0</v>
      </c>
      <c r="G303" s="4">
        <v>0</v>
      </c>
      <c r="H303" s="4">
        <v>0.2</v>
      </c>
      <c r="I303" s="4">
        <v>4.0999999999999996</v>
      </c>
      <c r="J303" s="4">
        <v>0.4</v>
      </c>
    </row>
    <row r="304" spans="1:10" x14ac:dyDescent="0.35">
      <c r="A304" s="3" t="s">
        <v>646</v>
      </c>
      <c r="B304" s="3" t="s">
        <v>647</v>
      </c>
      <c r="C304" s="4" t="s">
        <v>60</v>
      </c>
      <c r="D304" s="4">
        <v>51.7</v>
      </c>
      <c r="E304" s="4">
        <v>53.4</v>
      </c>
      <c r="F304" s="4">
        <v>0</v>
      </c>
      <c r="G304" s="4">
        <v>0</v>
      </c>
      <c r="H304" s="4">
        <v>1.7</v>
      </c>
      <c r="I304" s="4">
        <v>3.2</v>
      </c>
      <c r="J304" s="4">
        <v>4.3</v>
      </c>
    </row>
    <row r="305" spans="1:10" x14ac:dyDescent="0.35">
      <c r="A305" s="3" t="s">
        <v>648</v>
      </c>
      <c r="B305" s="3" t="s">
        <v>649</v>
      </c>
      <c r="C305" s="4" t="s">
        <v>65</v>
      </c>
      <c r="D305" s="4">
        <v>16.5</v>
      </c>
      <c r="E305" s="4">
        <v>16.899999999999999</v>
      </c>
      <c r="F305" s="4">
        <v>0</v>
      </c>
      <c r="G305" s="4">
        <v>0</v>
      </c>
      <c r="H305" s="4">
        <v>0.4</v>
      </c>
      <c r="I305" s="4">
        <v>2.7</v>
      </c>
      <c r="J305" s="4">
        <v>1.3</v>
      </c>
    </row>
    <row r="306" spans="1:10" x14ac:dyDescent="0.35">
      <c r="A306" s="3" t="s">
        <v>650</v>
      </c>
      <c r="B306" s="3" t="s">
        <v>651</v>
      </c>
      <c r="C306" s="4" t="s">
        <v>65</v>
      </c>
      <c r="D306" s="4">
        <v>19.8</v>
      </c>
      <c r="E306" s="4">
        <v>20.399999999999999</v>
      </c>
      <c r="F306" s="4">
        <v>0</v>
      </c>
      <c r="G306" s="4">
        <v>0</v>
      </c>
      <c r="H306" s="4">
        <v>0.6</v>
      </c>
      <c r="I306" s="4">
        <v>3</v>
      </c>
      <c r="J306" s="4">
        <v>1.6</v>
      </c>
    </row>
    <row r="307" spans="1:10" x14ac:dyDescent="0.35">
      <c r="A307" s="3" t="s">
        <v>652</v>
      </c>
      <c r="B307" s="3" t="s">
        <v>653</v>
      </c>
      <c r="C307" s="4" t="s">
        <v>65</v>
      </c>
      <c r="D307" s="4">
        <v>15.5</v>
      </c>
      <c r="E307" s="4">
        <v>16.100000000000001</v>
      </c>
      <c r="F307" s="4">
        <v>0</v>
      </c>
      <c r="G307" s="4">
        <v>0</v>
      </c>
      <c r="H307" s="4">
        <v>0.6</v>
      </c>
      <c r="I307" s="4">
        <v>4</v>
      </c>
      <c r="J307" s="4">
        <v>1.3</v>
      </c>
    </row>
    <row r="308" spans="1:10" x14ac:dyDescent="0.35">
      <c r="A308" s="3" t="s">
        <v>654</v>
      </c>
      <c r="B308" s="3" t="s">
        <v>655</v>
      </c>
      <c r="C308" s="4" t="s">
        <v>60</v>
      </c>
      <c r="D308" s="4">
        <v>304.10000000000002</v>
      </c>
      <c r="E308" s="4">
        <v>311.39999999999998</v>
      </c>
      <c r="F308" s="4">
        <v>0.2</v>
      </c>
      <c r="G308" s="4">
        <v>0.2</v>
      </c>
      <c r="H308" s="4">
        <v>7.4</v>
      </c>
      <c r="I308" s="4">
        <v>2.4</v>
      </c>
      <c r="J308" s="4">
        <v>24.7</v>
      </c>
    </row>
    <row r="309" spans="1:10" x14ac:dyDescent="0.35">
      <c r="A309" s="3" t="s">
        <v>656</v>
      </c>
      <c r="B309" s="3" t="s">
        <v>657</v>
      </c>
      <c r="C309" s="4" t="s">
        <v>65</v>
      </c>
      <c r="D309" s="4">
        <v>123.9</v>
      </c>
      <c r="E309" s="4">
        <v>127.8</v>
      </c>
      <c r="F309" s="4">
        <v>0.1</v>
      </c>
      <c r="G309" s="4">
        <v>0.1</v>
      </c>
      <c r="H309" s="4">
        <v>3.9</v>
      </c>
      <c r="I309" s="4">
        <v>3.2</v>
      </c>
      <c r="J309" s="4">
        <v>10.199999999999999</v>
      </c>
    </row>
    <row r="310" spans="1:10" x14ac:dyDescent="0.35">
      <c r="A310" s="3" t="s">
        <v>658</v>
      </c>
      <c r="B310" s="3" t="s">
        <v>659</v>
      </c>
      <c r="C310" s="4" t="s">
        <v>65</v>
      </c>
      <c r="D310" s="4">
        <v>33.6</v>
      </c>
      <c r="E310" s="4">
        <v>34.799999999999997</v>
      </c>
      <c r="F310" s="4">
        <v>0</v>
      </c>
      <c r="G310" s="4">
        <v>0</v>
      </c>
      <c r="H310" s="4">
        <v>1.2</v>
      </c>
      <c r="I310" s="4">
        <v>3.4</v>
      </c>
      <c r="J310" s="4">
        <v>2.8</v>
      </c>
    </row>
    <row r="311" spans="1:10" x14ac:dyDescent="0.35">
      <c r="A311" s="3" t="s">
        <v>660</v>
      </c>
      <c r="B311" s="3" t="s">
        <v>661</v>
      </c>
      <c r="C311" s="4" t="s">
        <v>65</v>
      </c>
      <c r="D311" s="4">
        <v>70.099999999999994</v>
      </c>
      <c r="E311" s="4">
        <v>70.900000000000006</v>
      </c>
      <c r="F311" s="4">
        <v>0</v>
      </c>
      <c r="G311" s="4">
        <v>0</v>
      </c>
      <c r="H311" s="4">
        <v>0.9</v>
      </c>
      <c r="I311" s="4">
        <v>1.2</v>
      </c>
      <c r="J311" s="4">
        <v>5.6</v>
      </c>
    </row>
    <row r="312" spans="1:10" x14ac:dyDescent="0.35">
      <c r="A312" s="3" t="s">
        <v>662</v>
      </c>
      <c r="B312" s="3" t="s">
        <v>663</v>
      </c>
      <c r="C312" s="4" t="s">
        <v>65</v>
      </c>
      <c r="D312" s="4">
        <v>24.7</v>
      </c>
      <c r="E312" s="4">
        <v>25</v>
      </c>
      <c r="F312" s="4">
        <v>0</v>
      </c>
      <c r="G312" s="4">
        <v>0</v>
      </c>
      <c r="H312" s="4">
        <v>0.3</v>
      </c>
      <c r="I312" s="4">
        <v>1.4</v>
      </c>
      <c r="J312" s="4">
        <v>2</v>
      </c>
    </row>
    <row r="313" spans="1:10" x14ac:dyDescent="0.35">
      <c r="A313" s="3" t="s">
        <v>664</v>
      </c>
      <c r="B313" s="3" t="s">
        <v>665</v>
      </c>
      <c r="C313" s="4" t="s">
        <v>65</v>
      </c>
      <c r="D313" s="4">
        <v>22.8</v>
      </c>
      <c r="E313" s="4">
        <v>23.1</v>
      </c>
      <c r="F313" s="4">
        <v>0</v>
      </c>
      <c r="G313" s="4">
        <v>0</v>
      </c>
      <c r="H313" s="4">
        <v>0.3</v>
      </c>
      <c r="I313" s="4">
        <v>1.3</v>
      </c>
      <c r="J313" s="4">
        <v>1.8</v>
      </c>
    </row>
    <row r="314" spans="1:10" x14ac:dyDescent="0.35">
      <c r="A314" s="3" t="s">
        <v>666</v>
      </c>
      <c r="B314" s="3" t="s">
        <v>667</v>
      </c>
      <c r="C314" s="4" t="s">
        <v>65</v>
      </c>
      <c r="D314" s="4">
        <v>29.1</v>
      </c>
      <c r="E314" s="4">
        <v>29.9</v>
      </c>
      <c r="F314" s="4">
        <v>0</v>
      </c>
      <c r="G314" s="4">
        <v>0</v>
      </c>
      <c r="H314" s="4">
        <v>0.8</v>
      </c>
      <c r="I314" s="4">
        <v>2.7</v>
      </c>
      <c r="J314" s="4">
        <v>2.4</v>
      </c>
    </row>
    <row r="315" spans="1:10" x14ac:dyDescent="0.35">
      <c r="A315" s="3" t="s">
        <v>668</v>
      </c>
      <c r="B315" s="3" t="s">
        <v>669</v>
      </c>
      <c r="C315" s="4" t="s">
        <v>60</v>
      </c>
      <c r="D315" s="4">
        <v>395.1</v>
      </c>
      <c r="E315" s="4">
        <v>404.6</v>
      </c>
      <c r="F315" s="4">
        <v>0.2</v>
      </c>
      <c r="G315" s="4">
        <v>0.2</v>
      </c>
      <c r="H315" s="4">
        <v>9.5</v>
      </c>
      <c r="I315" s="4">
        <v>2.4</v>
      </c>
      <c r="J315" s="4">
        <v>32.1</v>
      </c>
    </row>
    <row r="316" spans="1:10" x14ac:dyDescent="0.35">
      <c r="A316" s="3" t="s">
        <v>670</v>
      </c>
      <c r="B316" s="3" t="s">
        <v>671</v>
      </c>
      <c r="C316" s="4" t="s">
        <v>65</v>
      </c>
      <c r="D316" s="4">
        <v>2.9</v>
      </c>
      <c r="E316" s="4">
        <v>3</v>
      </c>
      <c r="F316" s="4">
        <v>0</v>
      </c>
      <c r="G316" s="4">
        <v>0</v>
      </c>
      <c r="H316" s="4">
        <v>0.1</v>
      </c>
      <c r="I316" s="4">
        <v>3.9</v>
      </c>
      <c r="J316" s="4">
        <v>0.2</v>
      </c>
    </row>
    <row r="317" spans="1:10" x14ac:dyDescent="0.35">
      <c r="A317" s="3" t="s">
        <v>672</v>
      </c>
      <c r="B317" s="3" t="s">
        <v>673</v>
      </c>
      <c r="C317" s="4" t="s">
        <v>65</v>
      </c>
      <c r="D317" s="4">
        <v>16.3</v>
      </c>
      <c r="E317" s="4">
        <v>16.8</v>
      </c>
      <c r="F317" s="4">
        <v>0</v>
      </c>
      <c r="G317" s="4">
        <v>0</v>
      </c>
      <c r="H317" s="4">
        <v>0.5</v>
      </c>
      <c r="I317" s="4">
        <v>3.3</v>
      </c>
      <c r="J317" s="4">
        <v>1.3</v>
      </c>
    </row>
    <row r="318" spans="1:10" x14ac:dyDescent="0.35">
      <c r="A318" s="3" t="s">
        <v>674</v>
      </c>
      <c r="B318" s="3" t="s">
        <v>675</v>
      </c>
      <c r="C318" s="4" t="s">
        <v>65</v>
      </c>
      <c r="D318" s="4">
        <v>113</v>
      </c>
      <c r="E318" s="4">
        <v>112.5</v>
      </c>
      <c r="F318" s="4">
        <v>0.1</v>
      </c>
      <c r="G318" s="4">
        <v>0.1</v>
      </c>
      <c r="H318" s="4">
        <v>-0.6</v>
      </c>
      <c r="I318" s="4">
        <v>-0.5</v>
      </c>
      <c r="J318" s="4">
        <v>8.6999999999999993</v>
      </c>
    </row>
    <row r="319" spans="1:10" x14ac:dyDescent="0.35">
      <c r="A319" s="3" t="s">
        <v>676</v>
      </c>
      <c r="B319" s="3" t="s">
        <v>677</v>
      </c>
      <c r="C319" s="4" t="s">
        <v>65</v>
      </c>
      <c r="D319" s="4">
        <v>262.8</v>
      </c>
      <c r="E319" s="4">
        <v>272.3</v>
      </c>
      <c r="F319" s="4">
        <v>0.2</v>
      </c>
      <c r="G319" s="4">
        <v>0.2</v>
      </c>
      <c r="H319" s="4">
        <v>9.4</v>
      </c>
      <c r="I319" s="4">
        <v>3.6</v>
      </c>
      <c r="J319" s="4">
        <v>21.8</v>
      </c>
    </row>
    <row r="320" spans="1:10" x14ac:dyDescent="0.35">
      <c r="A320" s="3" t="s">
        <v>678</v>
      </c>
      <c r="B320" s="3" t="s">
        <v>679</v>
      </c>
      <c r="C320" s="4" t="s">
        <v>60</v>
      </c>
      <c r="D320" s="4">
        <v>4355.8999999999996</v>
      </c>
      <c r="E320" s="4">
        <v>4402.1000000000004</v>
      </c>
      <c r="F320" s="4">
        <v>2.6</v>
      </c>
      <c r="G320" s="4">
        <v>2.6</v>
      </c>
      <c r="H320" s="4">
        <v>46.1</v>
      </c>
      <c r="I320" s="4">
        <v>1.1000000000000001</v>
      </c>
      <c r="J320" s="4">
        <v>314.3</v>
      </c>
    </row>
    <row r="321" spans="1:10" x14ac:dyDescent="0.35">
      <c r="A321" s="3" t="s">
        <v>680</v>
      </c>
      <c r="B321" s="3" t="s">
        <v>681</v>
      </c>
      <c r="C321" s="4" t="s">
        <v>60</v>
      </c>
      <c r="D321" s="4">
        <v>635.70000000000005</v>
      </c>
      <c r="E321" s="4">
        <v>653.6</v>
      </c>
      <c r="F321" s="4">
        <v>0.4</v>
      </c>
      <c r="G321" s="4">
        <v>0.4</v>
      </c>
      <c r="H321" s="4">
        <v>17.899999999999999</v>
      </c>
      <c r="I321" s="4">
        <v>2.8</v>
      </c>
      <c r="J321" s="4">
        <v>69.3</v>
      </c>
    </row>
    <row r="322" spans="1:10" x14ac:dyDescent="0.35">
      <c r="A322" s="3" t="s">
        <v>682</v>
      </c>
      <c r="B322" s="3" t="s">
        <v>683</v>
      </c>
      <c r="C322" s="4" t="s">
        <v>65</v>
      </c>
      <c r="D322" s="4">
        <v>512.29999999999995</v>
      </c>
      <c r="E322" s="4">
        <v>529.6</v>
      </c>
      <c r="F322" s="4">
        <v>0.3</v>
      </c>
      <c r="G322" s="4">
        <v>0.3</v>
      </c>
      <c r="H322" s="4">
        <v>17.2</v>
      </c>
      <c r="I322" s="4">
        <v>3.4</v>
      </c>
      <c r="J322" s="4">
        <v>56.3</v>
      </c>
    </row>
    <row r="323" spans="1:10" x14ac:dyDescent="0.35">
      <c r="A323" s="3" t="s">
        <v>684</v>
      </c>
      <c r="B323" s="3" t="s">
        <v>685</v>
      </c>
      <c r="C323" s="4" t="s">
        <v>65</v>
      </c>
      <c r="D323" s="4">
        <v>123.4</v>
      </c>
      <c r="E323" s="4">
        <v>124.1</v>
      </c>
      <c r="F323" s="4">
        <v>0.1</v>
      </c>
      <c r="G323" s="4">
        <v>0.1</v>
      </c>
      <c r="H323" s="4">
        <v>0.7</v>
      </c>
      <c r="I323" s="4">
        <v>0.5</v>
      </c>
      <c r="J323" s="4">
        <v>13</v>
      </c>
    </row>
    <row r="324" spans="1:10" x14ac:dyDescent="0.35">
      <c r="A324" s="3" t="s">
        <v>686</v>
      </c>
      <c r="B324" s="3" t="s">
        <v>687</v>
      </c>
      <c r="C324" s="4" t="s">
        <v>60</v>
      </c>
      <c r="D324" s="4">
        <v>2061.6</v>
      </c>
      <c r="E324" s="4">
        <v>2076.6999999999998</v>
      </c>
      <c r="F324" s="4">
        <v>1.3</v>
      </c>
      <c r="G324" s="4">
        <v>1.2</v>
      </c>
      <c r="H324" s="4">
        <v>15.1</v>
      </c>
      <c r="I324" s="4">
        <v>0.7</v>
      </c>
      <c r="J324" s="4">
        <v>139</v>
      </c>
    </row>
    <row r="325" spans="1:10" x14ac:dyDescent="0.35">
      <c r="A325" s="3" t="s">
        <v>688</v>
      </c>
      <c r="B325" s="3" t="s">
        <v>689</v>
      </c>
      <c r="C325" s="4" t="s">
        <v>65</v>
      </c>
      <c r="D325" s="4">
        <v>1425</v>
      </c>
      <c r="E325" s="4">
        <v>1435</v>
      </c>
      <c r="F325" s="4">
        <v>0.9</v>
      </c>
      <c r="G325" s="4">
        <v>0.8</v>
      </c>
      <c r="H325" s="4">
        <v>10</v>
      </c>
      <c r="I325" s="4">
        <v>0.7</v>
      </c>
      <c r="J325" s="4">
        <v>96</v>
      </c>
    </row>
    <row r="326" spans="1:10" x14ac:dyDescent="0.35">
      <c r="A326" s="3" t="s">
        <v>690</v>
      </c>
      <c r="B326" s="3" t="s">
        <v>691</v>
      </c>
      <c r="C326" s="4" t="s">
        <v>65</v>
      </c>
      <c r="D326" s="4">
        <v>625.5</v>
      </c>
      <c r="E326" s="4">
        <v>630.6</v>
      </c>
      <c r="F326" s="4">
        <v>0.4</v>
      </c>
      <c r="G326" s="4">
        <v>0.4</v>
      </c>
      <c r="H326" s="4">
        <v>5.0999999999999996</v>
      </c>
      <c r="I326" s="4">
        <v>0.8</v>
      </c>
      <c r="J326" s="4">
        <v>42.2</v>
      </c>
    </row>
    <row r="327" spans="1:10" x14ac:dyDescent="0.35">
      <c r="A327" s="3" t="s">
        <v>692</v>
      </c>
      <c r="B327" s="3" t="s">
        <v>693</v>
      </c>
      <c r="C327" s="4" t="s">
        <v>65</v>
      </c>
      <c r="D327" s="4">
        <v>11.1</v>
      </c>
      <c r="E327" s="4">
        <v>11.1</v>
      </c>
      <c r="F327" s="4">
        <v>0</v>
      </c>
      <c r="G327" s="4">
        <v>0</v>
      </c>
      <c r="H327" s="4">
        <v>0</v>
      </c>
      <c r="I327" s="4">
        <v>0</v>
      </c>
      <c r="J327" s="4">
        <v>0.7</v>
      </c>
    </row>
    <row r="328" spans="1:10" x14ac:dyDescent="0.35">
      <c r="A328" s="3" t="s">
        <v>694</v>
      </c>
      <c r="B328" s="3" t="s">
        <v>695</v>
      </c>
      <c r="C328" s="4" t="s">
        <v>60</v>
      </c>
      <c r="D328" s="4">
        <v>1160.2</v>
      </c>
      <c r="E328" s="4">
        <v>1171.0999999999999</v>
      </c>
      <c r="F328" s="4">
        <v>0.7</v>
      </c>
      <c r="G328" s="4">
        <v>0.7</v>
      </c>
      <c r="H328" s="4">
        <v>10.9</v>
      </c>
      <c r="I328" s="4">
        <v>0.9</v>
      </c>
      <c r="J328" s="4">
        <v>72.5</v>
      </c>
    </row>
    <row r="329" spans="1:10" x14ac:dyDescent="0.35">
      <c r="A329" s="3" t="s">
        <v>696</v>
      </c>
      <c r="B329" s="3" t="s">
        <v>697</v>
      </c>
      <c r="C329" s="4" t="s">
        <v>65</v>
      </c>
      <c r="D329" s="4">
        <v>1072.3</v>
      </c>
      <c r="E329" s="4">
        <v>1083.4000000000001</v>
      </c>
      <c r="F329" s="4">
        <v>0.7</v>
      </c>
      <c r="G329" s="4">
        <v>0.6</v>
      </c>
      <c r="H329" s="4">
        <v>11.1</v>
      </c>
      <c r="I329" s="4">
        <v>1</v>
      </c>
      <c r="J329" s="4">
        <v>67.099999999999994</v>
      </c>
    </row>
    <row r="330" spans="1:10" x14ac:dyDescent="0.35">
      <c r="A330" s="3" t="s">
        <v>698</v>
      </c>
      <c r="B330" s="3" t="s">
        <v>699</v>
      </c>
      <c r="C330" s="4" t="s">
        <v>65</v>
      </c>
      <c r="D330" s="4">
        <v>88</v>
      </c>
      <c r="E330" s="4">
        <v>87.7</v>
      </c>
      <c r="F330" s="4">
        <v>0.1</v>
      </c>
      <c r="G330" s="4">
        <v>0.1</v>
      </c>
      <c r="H330" s="4">
        <v>-0.2</v>
      </c>
      <c r="I330" s="4">
        <v>-0.2</v>
      </c>
      <c r="J330" s="4">
        <v>5.4</v>
      </c>
    </row>
    <row r="331" spans="1:10" x14ac:dyDescent="0.35">
      <c r="A331" s="3" t="s">
        <v>700</v>
      </c>
      <c r="B331" s="3" t="s">
        <v>701</v>
      </c>
      <c r="C331" s="4" t="s">
        <v>60</v>
      </c>
      <c r="D331" s="4">
        <v>498.4</v>
      </c>
      <c r="E331" s="4">
        <v>500.7</v>
      </c>
      <c r="F331" s="4">
        <v>0.3</v>
      </c>
      <c r="G331" s="4">
        <v>0.3</v>
      </c>
      <c r="H331" s="4">
        <v>2.2000000000000002</v>
      </c>
      <c r="I331" s="4">
        <v>0.4</v>
      </c>
      <c r="J331" s="4">
        <v>33.5</v>
      </c>
    </row>
    <row r="332" spans="1:10" x14ac:dyDescent="0.35">
      <c r="A332" s="3" t="s">
        <v>702</v>
      </c>
      <c r="B332" s="3" t="s">
        <v>703</v>
      </c>
      <c r="C332" s="4" t="s">
        <v>65</v>
      </c>
      <c r="D332" s="4">
        <v>23.8</v>
      </c>
      <c r="E332" s="4">
        <v>24.3</v>
      </c>
      <c r="F332" s="4">
        <v>0</v>
      </c>
      <c r="G332" s="4">
        <v>0</v>
      </c>
      <c r="H332" s="4">
        <v>0.5</v>
      </c>
      <c r="I332" s="4">
        <v>1.9</v>
      </c>
      <c r="J332" s="4">
        <v>1.6</v>
      </c>
    </row>
    <row r="333" spans="1:10" x14ac:dyDescent="0.35">
      <c r="A333" s="3" t="s">
        <v>704</v>
      </c>
      <c r="B333" s="3" t="s">
        <v>705</v>
      </c>
      <c r="C333" s="4" t="s">
        <v>65</v>
      </c>
      <c r="D333" s="4">
        <v>194.7</v>
      </c>
      <c r="E333" s="4">
        <v>194.6</v>
      </c>
      <c r="F333" s="4">
        <v>0.1</v>
      </c>
      <c r="G333" s="4">
        <v>0.1</v>
      </c>
      <c r="H333" s="4">
        <v>-0.1</v>
      </c>
      <c r="I333" s="4">
        <v>0</v>
      </c>
      <c r="J333" s="4">
        <v>12.9</v>
      </c>
    </row>
    <row r="334" spans="1:10" x14ac:dyDescent="0.35">
      <c r="A334" s="3" t="s">
        <v>706</v>
      </c>
      <c r="B334" s="3" t="s">
        <v>707</v>
      </c>
      <c r="C334" s="4" t="s">
        <v>65</v>
      </c>
      <c r="D334" s="4">
        <v>82.8</v>
      </c>
      <c r="E334" s="4">
        <v>82.6</v>
      </c>
      <c r="F334" s="4">
        <v>0.1</v>
      </c>
      <c r="G334" s="4">
        <v>0</v>
      </c>
      <c r="H334" s="4">
        <v>-0.1</v>
      </c>
      <c r="I334" s="4">
        <v>-0.2</v>
      </c>
      <c r="J334" s="4">
        <v>5.5</v>
      </c>
    </row>
    <row r="335" spans="1:10" x14ac:dyDescent="0.35">
      <c r="A335" s="3" t="s">
        <v>708</v>
      </c>
      <c r="B335" s="3" t="s">
        <v>709</v>
      </c>
      <c r="C335" s="4" t="s">
        <v>65</v>
      </c>
      <c r="D335" s="4">
        <v>153.19999999999999</v>
      </c>
      <c r="E335" s="4">
        <v>154</v>
      </c>
      <c r="F335" s="4">
        <v>0.1</v>
      </c>
      <c r="G335" s="4">
        <v>0.1</v>
      </c>
      <c r="H335" s="4">
        <v>0.7</v>
      </c>
      <c r="I335" s="4">
        <v>0.5</v>
      </c>
      <c r="J335" s="4">
        <v>10.3</v>
      </c>
    </row>
    <row r="336" spans="1:10" x14ac:dyDescent="0.35">
      <c r="A336" s="3" t="s">
        <v>710</v>
      </c>
      <c r="B336" s="3" t="s">
        <v>711</v>
      </c>
      <c r="C336" s="4" t="s">
        <v>65</v>
      </c>
      <c r="D336" s="4">
        <v>43.9</v>
      </c>
      <c r="E336" s="4">
        <v>45.2</v>
      </c>
      <c r="F336" s="4">
        <v>0</v>
      </c>
      <c r="G336" s="4">
        <v>0</v>
      </c>
      <c r="H336" s="4">
        <v>1.3</v>
      </c>
      <c r="I336" s="4">
        <v>2.9</v>
      </c>
      <c r="J336" s="4">
        <v>3.1</v>
      </c>
    </row>
    <row r="337" spans="1:10" x14ac:dyDescent="0.35">
      <c r="A337" s="3" t="s">
        <v>712</v>
      </c>
      <c r="B337" s="3" t="s">
        <v>713</v>
      </c>
      <c r="C337" s="4" t="s">
        <v>60</v>
      </c>
      <c r="D337" s="4">
        <v>1190.0999999999999</v>
      </c>
      <c r="E337" s="4">
        <v>1223.8</v>
      </c>
      <c r="F337" s="4">
        <v>0.7</v>
      </c>
      <c r="G337" s="4">
        <v>0.7</v>
      </c>
      <c r="H337" s="4">
        <v>33.700000000000003</v>
      </c>
      <c r="I337" s="4">
        <v>2.8</v>
      </c>
      <c r="J337" s="4">
        <v>158.4</v>
      </c>
    </row>
    <row r="338" spans="1:10" x14ac:dyDescent="0.35">
      <c r="A338" s="3" t="s">
        <v>714</v>
      </c>
      <c r="B338" s="3" t="s">
        <v>715</v>
      </c>
      <c r="C338" s="4" t="s">
        <v>65</v>
      </c>
      <c r="D338" s="4">
        <v>42.2</v>
      </c>
      <c r="E338" s="4">
        <v>36.9</v>
      </c>
      <c r="F338" s="4">
        <v>0</v>
      </c>
      <c r="G338" s="4">
        <v>0</v>
      </c>
      <c r="H338" s="4">
        <v>-5.3</v>
      </c>
      <c r="I338" s="4">
        <v>-12.6</v>
      </c>
      <c r="J338" s="4">
        <v>4.2</v>
      </c>
    </row>
    <row r="339" spans="1:10" x14ac:dyDescent="0.35">
      <c r="A339" s="3" t="s">
        <v>716</v>
      </c>
      <c r="B339" s="3" t="s">
        <v>717</v>
      </c>
      <c r="C339" s="4" t="s">
        <v>65</v>
      </c>
      <c r="D339" s="4">
        <v>354.7</v>
      </c>
      <c r="E339" s="4">
        <v>366.1</v>
      </c>
      <c r="F339" s="4">
        <v>0.2</v>
      </c>
      <c r="G339" s="4">
        <v>0.2</v>
      </c>
      <c r="H339" s="4">
        <v>11.4</v>
      </c>
      <c r="I339" s="4">
        <v>3.2</v>
      </c>
      <c r="J339" s="4">
        <v>44.1</v>
      </c>
    </row>
    <row r="340" spans="1:10" x14ac:dyDescent="0.35">
      <c r="A340" s="3" t="s">
        <v>718</v>
      </c>
      <c r="B340" s="3" t="s">
        <v>719</v>
      </c>
      <c r="C340" s="4" t="s">
        <v>65</v>
      </c>
      <c r="D340" s="4">
        <v>421.6</v>
      </c>
      <c r="E340" s="4">
        <v>438.9</v>
      </c>
      <c r="F340" s="4">
        <v>0.3</v>
      </c>
      <c r="G340" s="4">
        <v>0.3</v>
      </c>
      <c r="H340" s="4">
        <v>17.399999999999999</v>
      </c>
      <c r="I340" s="4">
        <v>4.0999999999999996</v>
      </c>
      <c r="J340" s="4">
        <v>53</v>
      </c>
    </row>
    <row r="341" spans="1:10" x14ac:dyDescent="0.35">
      <c r="A341" s="3" t="s">
        <v>720</v>
      </c>
      <c r="B341" s="3" t="s">
        <v>721</v>
      </c>
      <c r="C341" s="4" t="s">
        <v>65</v>
      </c>
      <c r="D341" s="4">
        <v>223.7</v>
      </c>
      <c r="E341" s="4">
        <v>231.1</v>
      </c>
      <c r="F341" s="4">
        <v>0.1</v>
      </c>
      <c r="G341" s="4">
        <v>0.1</v>
      </c>
      <c r="H341" s="4">
        <v>7.4</v>
      </c>
      <c r="I341" s="4">
        <v>3.3</v>
      </c>
      <c r="J341" s="4">
        <v>39.1</v>
      </c>
    </row>
    <row r="342" spans="1:10" x14ac:dyDescent="0.35">
      <c r="A342" s="3" t="s">
        <v>722</v>
      </c>
      <c r="B342" s="3" t="s">
        <v>723</v>
      </c>
      <c r="C342" s="4" t="s">
        <v>65</v>
      </c>
      <c r="D342" s="4">
        <v>148</v>
      </c>
      <c r="E342" s="4">
        <v>150.9</v>
      </c>
      <c r="F342" s="4">
        <v>0.1</v>
      </c>
      <c r="G342" s="4">
        <v>0.1</v>
      </c>
      <c r="H342" s="4">
        <v>2.9</v>
      </c>
      <c r="I342" s="4">
        <v>1.9</v>
      </c>
      <c r="J342" s="4">
        <v>18.100000000000001</v>
      </c>
    </row>
    <row r="343" spans="1:10" x14ac:dyDescent="0.35">
      <c r="A343" s="3" t="s">
        <v>724</v>
      </c>
      <c r="B343" s="3" t="s">
        <v>725</v>
      </c>
      <c r="C343" s="4" t="s">
        <v>60</v>
      </c>
      <c r="D343" s="4">
        <v>257.60000000000002</v>
      </c>
      <c r="E343" s="4">
        <v>260.8</v>
      </c>
      <c r="F343" s="4">
        <v>0.2</v>
      </c>
      <c r="G343" s="4">
        <v>0.2</v>
      </c>
      <c r="H343" s="4">
        <v>3.2</v>
      </c>
      <c r="I343" s="4">
        <v>1.2</v>
      </c>
      <c r="J343" s="4">
        <v>30.9</v>
      </c>
    </row>
    <row r="344" spans="1:10" x14ac:dyDescent="0.35">
      <c r="A344" s="3" t="s">
        <v>726</v>
      </c>
      <c r="B344" s="3" t="s">
        <v>727</v>
      </c>
      <c r="C344" s="4" t="s">
        <v>60</v>
      </c>
      <c r="D344" s="4">
        <v>37.700000000000003</v>
      </c>
      <c r="E344" s="4">
        <v>41.5</v>
      </c>
      <c r="F344" s="4">
        <v>0</v>
      </c>
      <c r="G344" s="4">
        <v>0</v>
      </c>
      <c r="H344" s="4">
        <v>3.7</v>
      </c>
      <c r="I344" s="4">
        <v>9.9</v>
      </c>
      <c r="J344" s="4">
        <v>5</v>
      </c>
    </row>
    <row r="345" spans="1:10" x14ac:dyDescent="0.35">
      <c r="A345" s="3" t="s">
        <v>728</v>
      </c>
      <c r="B345" s="3" t="s">
        <v>729</v>
      </c>
      <c r="C345" s="4" t="s">
        <v>65</v>
      </c>
      <c r="D345" s="4">
        <v>9.4</v>
      </c>
      <c r="E345" s="4">
        <v>10.199999999999999</v>
      </c>
      <c r="F345" s="4">
        <v>0</v>
      </c>
      <c r="G345" s="4">
        <v>0</v>
      </c>
      <c r="H345" s="4">
        <v>0.8</v>
      </c>
      <c r="I345" s="4">
        <v>8.1999999999999993</v>
      </c>
      <c r="J345" s="4">
        <v>1.2</v>
      </c>
    </row>
    <row r="346" spans="1:10" x14ac:dyDescent="0.35">
      <c r="A346" s="3" t="s">
        <v>730</v>
      </c>
      <c r="B346" s="3" t="s">
        <v>731</v>
      </c>
      <c r="C346" s="4" t="s">
        <v>65</v>
      </c>
      <c r="D346" s="4">
        <v>13.9</v>
      </c>
      <c r="E346" s="4">
        <v>15.4</v>
      </c>
      <c r="F346" s="4">
        <v>0</v>
      </c>
      <c r="G346" s="4">
        <v>0</v>
      </c>
      <c r="H346" s="4">
        <v>1.5</v>
      </c>
      <c r="I346" s="4">
        <v>11.1</v>
      </c>
      <c r="J346" s="4">
        <v>1.9</v>
      </c>
    </row>
    <row r="347" spans="1:10" x14ac:dyDescent="0.35">
      <c r="A347" s="3" t="s">
        <v>732</v>
      </c>
      <c r="B347" s="3" t="s">
        <v>733</v>
      </c>
      <c r="C347" s="4" t="s">
        <v>65</v>
      </c>
      <c r="D347" s="4">
        <v>14.4</v>
      </c>
      <c r="E347" s="4">
        <v>15.9</v>
      </c>
      <c r="F347" s="4">
        <v>0</v>
      </c>
      <c r="G347" s="4">
        <v>0</v>
      </c>
      <c r="H347" s="4">
        <v>1.4</v>
      </c>
      <c r="I347" s="4">
        <v>9.9</v>
      </c>
      <c r="J347" s="4">
        <v>1.9</v>
      </c>
    </row>
    <row r="348" spans="1:10" x14ac:dyDescent="0.35">
      <c r="A348" s="3" t="s">
        <v>734</v>
      </c>
      <c r="B348" s="3" t="s">
        <v>735</v>
      </c>
      <c r="C348" s="4" t="s">
        <v>65</v>
      </c>
      <c r="D348" s="4">
        <v>141.19999999999999</v>
      </c>
      <c r="E348" s="4">
        <v>145.5</v>
      </c>
      <c r="F348" s="4">
        <v>0.1</v>
      </c>
      <c r="G348" s="4">
        <v>0.1</v>
      </c>
      <c r="H348" s="4">
        <v>4.3</v>
      </c>
      <c r="I348" s="4">
        <v>3</v>
      </c>
      <c r="J348" s="4">
        <v>13.7</v>
      </c>
    </row>
    <row r="349" spans="1:10" x14ac:dyDescent="0.35">
      <c r="A349" s="3" t="s">
        <v>736</v>
      </c>
      <c r="B349" s="3" t="s">
        <v>737</v>
      </c>
      <c r="C349" s="4" t="s">
        <v>65</v>
      </c>
      <c r="D349" s="4">
        <v>78.599999999999994</v>
      </c>
      <c r="E349" s="4">
        <v>73.8</v>
      </c>
      <c r="F349" s="4">
        <v>0</v>
      </c>
      <c r="G349" s="4">
        <v>0</v>
      </c>
      <c r="H349" s="4">
        <v>-4.8</v>
      </c>
      <c r="I349" s="4">
        <v>-6.1</v>
      </c>
      <c r="J349" s="4">
        <v>12.2</v>
      </c>
    </row>
    <row r="350" spans="1:10" x14ac:dyDescent="0.35">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35">
      <c r="A351" s="3" t="s">
        <v>740</v>
      </c>
      <c r="B351" s="3" t="s">
        <v>741</v>
      </c>
      <c r="C351" s="4" t="s">
        <v>65</v>
      </c>
      <c r="D351" s="4">
        <v>9.6999999999999993</v>
      </c>
      <c r="E351" s="4">
        <v>9.5</v>
      </c>
      <c r="F351" s="4">
        <v>0</v>
      </c>
      <c r="G351" s="4">
        <v>0</v>
      </c>
      <c r="H351" s="4">
        <v>-0.2</v>
      </c>
      <c r="I351" s="4">
        <v>-2</v>
      </c>
      <c r="J351" s="4">
        <v>0.8</v>
      </c>
    </row>
    <row r="352" spans="1:10" x14ac:dyDescent="0.35">
      <c r="A352" s="3" t="s">
        <v>742</v>
      </c>
      <c r="B352" s="3" t="s">
        <v>743</v>
      </c>
      <c r="C352" s="4" t="s">
        <v>65</v>
      </c>
      <c r="D352" s="4">
        <v>216.6</v>
      </c>
      <c r="E352" s="4">
        <v>222</v>
      </c>
      <c r="F352" s="4">
        <v>0.1</v>
      </c>
      <c r="G352" s="4">
        <v>0.1</v>
      </c>
      <c r="H352" s="4">
        <v>5.3</v>
      </c>
      <c r="I352" s="4">
        <v>2.5</v>
      </c>
      <c r="J352" s="4">
        <v>19.2</v>
      </c>
    </row>
    <row r="353" spans="1:10" x14ac:dyDescent="0.35">
      <c r="A353" s="3" t="s">
        <v>744</v>
      </c>
      <c r="B353" s="3" t="s">
        <v>745</v>
      </c>
      <c r="C353" s="4" t="s">
        <v>60</v>
      </c>
      <c r="D353" s="4">
        <v>1469.1</v>
      </c>
      <c r="E353" s="4">
        <v>1477.1</v>
      </c>
      <c r="F353" s="4">
        <v>0.9</v>
      </c>
      <c r="G353" s="4">
        <v>0.9</v>
      </c>
      <c r="H353" s="4">
        <v>8</v>
      </c>
      <c r="I353" s="4">
        <v>0.5</v>
      </c>
      <c r="J353" s="4">
        <v>171.9</v>
      </c>
    </row>
    <row r="354" spans="1:10" x14ac:dyDescent="0.35">
      <c r="A354" s="3" t="s">
        <v>746</v>
      </c>
      <c r="B354" s="3" t="s">
        <v>747</v>
      </c>
      <c r="C354" s="4" t="s">
        <v>65</v>
      </c>
      <c r="D354" s="4">
        <v>170.2</v>
      </c>
      <c r="E354" s="4">
        <v>177.3</v>
      </c>
      <c r="F354" s="4">
        <v>0.1</v>
      </c>
      <c r="G354" s="4">
        <v>0.1</v>
      </c>
      <c r="H354" s="4">
        <v>7.1</v>
      </c>
      <c r="I354" s="4">
        <v>4.2</v>
      </c>
      <c r="J354" s="4">
        <v>20.9</v>
      </c>
    </row>
    <row r="355" spans="1:10" x14ac:dyDescent="0.35">
      <c r="A355" s="3" t="s">
        <v>748</v>
      </c>
      <c r="B355" s="3" t="s">
        <v>749</v>
      </c>
      <c r="C355" s="4" t="s">
        <v>65</v>
      </c>
      <c r="D355" s="4">
        <v>1298.9000000000001</v>
      </c>
      <c r="E355" s="4">
        <v>1299.8</v>
      </c>
      <c r="F355" s="4">
        <v>0.8</v>
      </c>
      <c r="G355" s="4">
        <v>0.8</v>
      </c>
      <c r="H355" s="4">
        <v>0.9</v>
      </c>
      <c r="I355" s="4">
        <v>0.1</v>
      </c>
      <c r="J355" s="4">
        <v>151</v>
      </c>
    </row>
    <row r="356" spans="1:10" x14ac:dyDescent="0.35">
      <c r="A356" s="3" t="s">
        <v>750</v>
      </c>
      <c r="B356" s="3" t="s">
        <v>751</v>
      </c>
      <c r="C356" s="4" t="s">
        <v>65</v>
      </c>
      <c r="D356" s="4">
        <v>145.30000000000001</v>
      </c>
      <c r="E356" s="4">
        <v>148.6</v>
      </c>
      <c r="F356" s="4">
        <v>0.1</v>
      </c>
      <c r="G356" s="4">
        <v>0.1</v>
      </c>
      <c r="H356" s="4">
        <v>3.3</v>
      </c>
      <c r="I356" s="4">
        <v>2.2999999999999998</v>
      </c>
      <c r="J356" s="4">
        <v>12.9</v>
      </c>
    </row>
    <row r="357" spans="1:10" x14ac:dyDescent="0.35">
      <c r="A357" s="3" t="s">
        <v>24</v>
      </c>
      <c r="B357" s="3" t="s">
        <v>25</v>
      </c>
      <c r="C357" s="4" t="s">
        <v>60</v>
      </c>
      <c r="D357" s="4">
        <v>3071.1</v>
      </c>
      <c r="E357" s="4">
        <v>3187</v>
      </c>
      <c r="F357" s="4">
        <v>1.9</v>
      </c>
      <c r="G357" s="4">
        <v>1.9</v>
      </c>
      <c r="H357" s="4">
        <v>115.9</v>
      </c>
      <c r="I357" s="4">
        <v>3.8</v>
      </c>
      <c r="J357" s="4">
        <v>316.89999999999998</v>
      </c>
    </row>
    <row r="358" spans="1:10" x14ac:dyDescent="0.35">
      <c r="A358" s="3" t="s">
        <v>752</v>
      </c>
      <c r="B358" s="3" t="s">
        <v>753</v>
      </c>
      <c r="C358" s="4" t="s">
        <v>60</v>
      </c>
      <c r="D358" s="4">
        <v>991.2</v>
      </c>
      <c r="E358" s="4">
        <v>1020.7</v>
      </c>
      <c r="F358" s="4">
        <v>0.6</v>
      </c>
      <c r="G358" s="4">
        <v>0.6</v>
      </c>
      <c r="H358" s="4">
        <v>29.4</v>
      </c>
      <c r="I358" s="4">
        <v>3</v>
      </c>
      <c r="J358" s="4">
        <v>95.8</v>
      </c>
    </row>
    <row r="359" spans="1:10" x14ac:dyDescent="0.35">
      <c r="A359" s="3" t="s">
        <v>754</v>
      </c>
      <c r="B359" s="3" t="s">
        <v>755</v>
      </c>
      <c r="C359" s="4" t="s">
        <v>60</v>
      </c>
      <c r="D359" s="4">
        <v>278.89999999999998</v>
      </c>
      <c r="E359" s="4">
        <v>296.89999999999998</v>
      </c>
      <c r="F359" s="4">
        <v>0.2</v>
      </c>
      <c r="G359" s="4">
        <v>0.2</v>
      </c>
      <c r="H359" s="4">
        <v>18</v>
      </c>
      <c r="I359" s="4">
        <v>6.5</v>
      </c>
      <c r="J359" s="4">
        <v>28.7</v>
      </c>
    </row>
    <row r="360" spans="1:10" x14ac:dyDescent="0.35">
      <c r="A360" s="3" t="s">
        <v>756</v>
      </c>
      <c r="B360" s="3" t="s">
        <v>757</v>
      </c>
      <c r="C360" s="4" t="s">
        <v>65</v>
      </c>
      <c r="D360" s="4">
        <v>135.1</v>
      </c>
      <c r="E360" s="4">
        <v>143.19999999999999</v>
      </c>
      <c r="F360" s="4">
        <v>0.1</v>
      </c>
      <c r="G360" s="4">
        <v>0.1</v>
      </c>
      <c r="H360" s="4">
        <v>8.1999999999999993</v>
      </c>
      <c r="I360" s="4">
        <v>6.1</v>
      </c>
      <c r="J360" s="4">
        <v>13.8</v>
      </c>
    </row>
    <row r="361" spans="1:10" x14ac:dyDescent="0.35">
      <c r="A361" s="3" t="s">
        <v>758</v>
      </c>
      <c r="B361" s="3" t="s">
        <v>759</v>
      </c>
      <c r="C361" s="4" t="s">
        <v>65</v>
      </c>
      <c r="D361" s="4">
        <v>11.5</v>
      </c>
      <c r="E361" s="4">
        <v>12</v>
      </c>
      <c r="F361" s="4">
        <v>0</v>
      </c>
      <c r="G361" s="4">
        <v>0</v>
      </c>
      <c r="H361" s="4">
        <v>0.4</v>
      </c>
      <c r="I361" s="4">
        <v>3.9</v>
      </c>
      <c r="J361" s="4">
        <v>1.1000000000000001</v>
      </c>
    </row>
    <row r="362" spans="1:10" x14ac:dyDescent="0.35">
      <c r="A362" s="3" t="s">
        <v>760</v>
      </c>
      <c r="B362" s="3" t="s">
        <v>761</v>
      </c>
      <c r="C362" s="4" t="s">
        <v>65</v>
      </c>
      <c r="D362" s="4">
        <v>29.1</v>
      </c>
      <c r="E362" s="4">
        <v>30.6</v>
      </c>
      <c r="F362" s="4">
        <v>0</v>
      </c>
      <c r="G362" s="4">
        <v>0</v>
      </c>
      <c r="H362" s="4">
        <v>1.5</v>
      </c>
      <c r="I362" s="4">
        <v>5.2</v>
      </c>
      <c r="J362" s="4">
        <v>2.9</v>
      </c>
    </row>
    <row r="363" spans="1:10" x14ac:dyDescent="0.35">
      <c r="A363" s="3" t="s">
        <v>762</v>
      </c>
      <c r="B363" s="3" t="s">
        <v>763</v>
      </c>
      <c r="C363" s="4" t="s">
        <v>65</v>
      </c>
      <c r="D363" s="4">
        <v>89.3</v>
      </c>
      <c r="E363" s="4">
        <v>96.6</v>
      </c>
      <c r="F363" s="4">
        <v>0.1</v>
      </c>
      <c r="G363" s="4">
        <v>0.1</v>
      </c>
      <c r="H363" s="4">
        <v>7.4</v>
      </c>
      <c r="I363" s="4">
        <v>8.1999999999999993</v>
      </c>
      <c r="J363" s="4">
        <v>9.4</v>
      </c>
    </row>
    <row r="364" spans="1:10" x14ac:dyDescent="0.35">
      <c r="A364" s="3" t="s">
        <v>764</v>
      </c>
      <c r="B364" s="3" t="s">
        <v>765</v>
      </c>
      <c r="C364" s="4" t="s">
        <v>65</v>
      </c>
      <c r="D364" s="4">
        <v>14</v>
      </c>
      <c r="E364" s="4">
        <v>14.5</v>
      </c>
      <c r="F364" s="4">
        <v>0</v>
      </c>
      <c r="G364" s="4">
        <v>0</v>
      </c>
      <c r="H364" s="4">
        <v>0.5</v>
      </c>
      <c r="I364" s="4">
        <v>3.4</v>
      </c>
      <c r="J364" s="4">
        <v>1.4</v>
      </c>
    </row>
    <row r="365" spans="1:10" x14ac:dyDescent="0.35">
      <c r="A365" s="3" t="s">
        <v>766</v>
      </c>
      <c r="B365" s="3" t="s">
        <v>767</v>
      </c>
      <c r="C365" s="4" t="s">
        <v>60</v>
      </c>
      <c r="D365" s="4">
        <v>712.3</v>
      </c>
      <c r="E365" s="4">
        <v>723.8</v>
      </c>
      <c r="F365" s="4">
        <v>0.4</v>
      </c>
      <c r="G365" s="4">
        <v>0.4</v>
      </c>
      <c r="H365" s="4">
        <v>11.4</v>
      </c>
      <c r="I365" s="4">
        <v>1.6</v>
      </c>
      <c r="J365" s="4">
        <v>67.099999999999994</v>
      </c>
    </row>
    <row r="366" spans="1:10" x14ac:dyDescent="0.35">
      <c r="A366" s="3" t="s">
        <v>768</v>
      </c>
      <c r="B366" s="3" t="s">
        <v>769</v>
      </c>
      <c r="C366" s="4" t="s">
        <v>65</v>
      </c>
      <c r="D366" s="4">
        <v>32.4</v>
      </c>
      <c r="E366" s="4">
        <v>33</v>
      </c>
      <c r="F366" s="4">
        <v>0</v>
      </c>
      <c r="G366" s="4">
        <v>0</v>
      </c>
      <c r="H366" s="4">
        <v>0.7</v>
      </c>
      <c r="I366" s="4">
        <v>2</v>
      </c>
      <c r="J366" s="4">
        <v>2.2000000000000002</v>
      </c>
    </row>
    <row r="367" spans="1:10" x14ac:dyDescent="0.35">
      <c r="A367" s="3" t="s">
        <v>770</v>
      </c>
      <c r="B367" s="3" t="s">
        <v>771</v>
      </c>
      <c r="C367" s="4" t="s">
        <v>65</v>
      </c>
      <c r="D367" s="4">
        <v>24.9</v>
      </c>
      <c r="E367" s="4">
        <v>25.7</v>
      </c>
      <c r="F367" s="4">
        <v>0</v>
      </c>
      <c r="G367" s="4">
        <v>0</v>
      </c>
      <c r="H367" s="4">
        <v>0.8</v>
      </c>
      <c r="I367" s="4">
        <v>3.3</v>
      </c>
      <c r="J367" s="4">
        <v>2.2999999999999998</v>
      </c>
    </row>
    <row r="368" spans="1:10" x14ac:dyDescent="0.35">
      <c r="A368" s="3" t="s">
        <v>772</v>
      </c>
      <c r="B368" s="3" t="s">
        <v>773</v>
      </c>
      <c r="C368" s="4" t="s">
        <v>65</v>
      </c>
      <c r="D368" s="4">
        <v>54.5</v>
      </c>
      <c r="E368" s="4">
        <v>44.7</v>
      </c>
      <c r="F368" s="4">
        <v>0</v>
      </c>
      <c r="G368" s="4">
        <v>0</v>
      </c>
      <c r="H368" s="4">
        <v>-9.8000000000000007</v>
      </c>
      <c r="I368" s="4">
        <v>-18</v>
      </c>
      <c r="J368" s="4">
        <v>4.7</v>
      </c>
    </row>
    <row r="369" spans="1:10" x14ac:dyDescent="0.35">
      <c r="A369" s="3" t="s">
        <v>774</v>
      </c>
      <c r="B369" s="3" t="s">
        <v>775</v>
      </c>
      <c r="C369" s="4" t="s">
        <v>65</v>
      </c>
      <c r="D369" s="4">
        <v>270.89999999999998</v>
      </c>
      <c r="E369" s="4">
        <v>279.8</v>
      </c>
      <c r="F369" s="4">
        <v>0.2</v>
      </c>
      <c r="G369" s="4">
        <v>0.2</v>
      </c>
      <c r="H369" s="4">
        <v>8.9</v>
      </c>
      <c r="I369" s="4">
        <v>3.3</v>
      </c>
      <c r="J369" s="4">
        <v>22.8</v>
      </c>
    </row>
    <row r="370" spans="1:10" x14ac:dyDescent="0.35">
      <c r="A370" s="3" t="s">
        <v>776</v>
      </c>
      <c r="B370" s="3" t="s">
        <v>777</v>
      </c>
      <c r="C370" s="4" t="s">
        <v>65</v>
      </c>
      <c r="D370" s="4">
        <v>94.9</v>
      </c>
      <c r="E370" s="4">
        <v>98.7</v>
      </c>
      <c r="F370" s="4">
        <v>0.1</v>
      </c>
      <c r="G370" s="4">
        <v>0.1</v>
      </c>
      <c r="H370" s="4">
        <v>3.7</v>
      </c>
      <c r="I370" s="4">
        <v>3.9</v>
      </c>
      <c r="J370" s="4">
        <v>9</v>
      </c>
    </row>
    <row r="371" spans="1:10" x14ac:dyDescent="0.35">
      <c r="A371" s="3" t="s">
        <v>778</v>
      </c>
      <c r="B371" s="3" t="s">
        <v>779</v>
      </c>
      <c r="C371" s="4" t="s">
        <v>65</v>
      </c>
      <c r="D371" s="4">
        <v>173.4</v>
      </c>
      <c r="E371" s="4">
        <v>177.5</v>
      </c>
      <c r="F371" s="4">
        <v>0.1</v>
      </c>
      <c r="G371" s="4">
        <v>0.1</v>
      </c>
      <c r="H371" s="4">
        <v>4.0999999999999996</v>
      </c>
      <c r="I371" s="4">
        <v>2.4</v>
      </c>
      <c r="J371" s="4">
        <v>20.8</v>
      </c>
    </row>
    <row r="372" spans="1:10" x14ac:dyDescent="0.35">
      <c r="A372" s="3" t="s">
        <v>780</v>
      </c>
      <c r="B372" s="3" t="s">
        <v>781</v>
      </c>
      <c r="C372" s="4" t="s">
        <v>65</v>
      </c>
      <c r="D372" s="4">
        <v>27.8</v>
      </c>
      <c r="E372" s="4">
        <v>29.8</v>
      </c>
      <c r="F372" s="4">
        <v>0</v>
      </c>
      <c r="G372" s="4">
        <v>0</v>
      </c>
      <c r="H372" s="4">
        <v>2</v>
      </c>
      <c r="I372" s="4">
        <v>7.3</v>
      </c>
      <c r="J372" s="4">
        <v>2.5</v>
      </c>
    </row>
    <row r="373" spans="1:10" x14ac:dyDescent="0.35">
      <c r="A373" s="3" t="s">
        <v>782</v>
      </c>
      <c r="B373" s="3" t="s">
        <v>783</v>
      </c>
      <c r="C373" s="4" t="s">
        <v>65</v>
      </c>
      <c r="D373" s="4">
        <v>33.5</v>
      </c>
      <c r="E373" s="4">
        <v>34.6</v>
      </c>
      <c r="F373" s="4">
        <v>0</v>
      </c>
      <c r="G373" s="4">
        <v>0</v>
      </c>
      <c r="H373" s="4">
        <v>1.1000000000000001</v>
      </c>
      <c r="I373" s="4">
        <v>3.1</v>
      </c>
      <c r="J373" s="4">
        <v>2.8</v>
      </c>
    </row>
    <row r="374" spans="1:10" x14ac:dyDescent="0.35">
      <c r="A374" s="3" t="s">
        <v>784</v>
      </c>
      <c r="B374" s="3" t="s">
        <v>785</v>
      </c>
      <c r="C374" s="4" t="s">
        <v>60</v>
      </c>
      <c r="D374" s="4">
        <v>857.1</v>
      </c>
      <c r="E374" s="4">
        <v>906.7</v>
      </c>
      <c r="F374" s="4">
        <v>0.5</v>
      </c>
      <c r="G374" s="4">
        <v>0.5</v>
      </c>
      <c r="H374" s="4">
        <v>49.6</v>
      </c>
      <c r="I374" s="4">
        <v>5.8</v>
      </c>
      <c r="J374" s="4">
        <v>106.8</v>
      </c>
    </row>
    <row r="375" spans="1:10" x14ac:dyDescent="0.35">
      <c r="A375" s="3" t="s">
        <v>786</v>
      </c>
      <c r="B375" s="3" t="s">
        <v>787</v>
      </c>
      <c r="C375" s="4" t="s">
        <v>60</v>
      </c>
      <c r="D375" s="4">
        <v>253.4</v>
      </c>
      <c r="E375" s="4">
        <v>267.60000000000002</v>
      </c>
      <c r="F375" s="4">
        <v>0.2</v>
      </c>
      <c r="G375" s="4">
        <v>0.2</v>
      </c>
      <c r="H375" s="4">
        <v>14.2</v>
      </c>
      <c r="I375" s="4">
        <v>5.6</v>
      </c>
      <c r="J375" s="4">
        <v>25.2</v>
      </c>
    </row>
    <row r="376" spans="1:10" x14ac:dyDescent="0.35">
      <c r="A376" s="3" t="s">
        <v>788</v>
      </c>
      <c r="B376" s="3" t="s">
        <v>789</v>
      </c>
      <c r="C376" s="4" t="s">
        <v>65</v>
      </c>
      <c r="D376" s="4">
        <v>78.099999999999994</v>
      </c>
      <c r="E376" s="4">
        <v>80.599999999999994</v>
      </c>
      <c r="F376" s="4">
        <v>0</v>
      </c>
      <c r="G376" s="4">
        <v>0</v>
      </c>
      <c r="H376" s="4">
        <v>2.5</v>
      </c>
      <c r="I376" s="4">
        <v>3.2</v>
      </c>
      <c r="J376" s="4">
        <v>9.3000000000000007</v>
      </c>
    </row>
    <row r="377" spans="1:10" x14ac:dyDescent="0.35">
      <c r="A377" s="3" t="s">
        <v>790</v>
      </c>
      <c r="B377" s="3" t="s">
        <v>791</v>
      </c>
      <c r="C377" s="4" t="s">
        <v>65</v>
      </c>
      <c r="D377" s="4">
        <v>175.3</v>
      </c>
      <c r="E377" s="4">
        <v>187</v>
      </c>
      <c r="F377" s="4">
        <v>0.1</v>
      </c>
      <c r="G377" s="4">
        <v>0.1</v>
      </c>
      <c r="H377" s="4">
        <v>11.7</v>
      </c>
      <c r="I377" s="4">
        <v>6.7</v>
      </c>
      <c r="J377" s="4">
        <v>16</v>
      </c>
    </row>
    <row r="378" spans="1:10" x14ac:dyDescent="0.35">
      <c r="A378" s="3" t="s">
        <v>792</v>
      </c>
      <c r="B378" s="3" t="s">
        <v>793</v>
      </c>
      <c r="C378" s="4" t="s">
        <v>60</v>
      </c>
      <c r="D378" s="4">
        <v>309.60000000000002</v>
      </c>
      <c r="E378" s="4">
        <v>338.2</v>
      </c>
      <c r="F378" s="4">
        <v>0.2</v>
      </c>
      <c r="G378" s="4">
        <v>0.2</v>
      </c>
      <c r="H378" s="4">
        <v>28.6</v>
      </c>
      <c r="I378" s="4">
        <v>9.1999999999999993</v>
      </c>
      <c r="J378" s="4">
        <v>45.4</v>
      </c>
    </row>
    <row r="379" spans="1:10" x14ac:dyDescent="0.35">
      <c r="A379" s="3" t="s">
        <v>794</v>
      </c>
      <c r="B379" s="3" t="s">
        <v>795</v>
      </c>
      <c r="C379" s="4" t="s">
        <v>65</v>
      </c>
      <c r="D379" s="4">
        <v>14</v>
      </c>
      <c r="E379" s="4">
        <v>15.2</v>
      </c>
      <c r="F379" s="4">
        <v>0</v>
      </c>
      <c r="G379" s="4">
        <v>0</v>
      </c>
      <c r="H379" s="4">
        <v>1.3</v>
      </c>
      <c r="I379" s="4">
        <v>9.1</v>
      </c>
      <c r="J379" s="4">
        <v>1.9</v>
      </c>
    </row>
    <row r="380" spans="1:10" x14ac:dyDescent="0.35">
      <c r="A380" s="3" t="s">
        <v>796</v>
      </c>
      <c r="B380" s="3" t="s">
        <v>797</v>
      </c>
      <c r="C380" s="4" t="s">
        <v>65</v>
      </c>
      <c r="D380" s="4">
        <v>275.2</v>
      </c>
      <c r="E380" s="4">
        <v>300.5</v>
      </c>
      <c r="F380" s="4">
        <v>0.2</v>
      </c>
      <c r="G380" s="4">
        <v>0.2</v>
      </c>
      <c r="H380" s="4">
        <v>25.3</v>
      </c>
      <c r="I380" s="4">
        <v>9.1999999999999993</v>
      </c>
      <c r="J380" s="4">
        <v>38.4</v>
      </c>
    </row>
    <row r="381" spans="1:10" x14ac:dyDescent="0.35">
      <c r="A381" s="3" t="s">
        <v>798</v>
      </c>
      <c r="B381" s="3" t="s">
        <v>799</v>
      </c>
      <c r="C381" s="4" t="s">
        <v>65</v>
      </c>
      <c r="D381" s="4">
        <v>20.399999999999999</v>
      </c>
      <c r="E381" s="4">
        <v>22.4</v>
      </c>
      <c r="F381" s="4">
        <v>0</v>
      </c>
      <c r="G381" s="4">
        <v>0</v>
      </c>
      <c r="H381" s="4">
        <v>2</v>
      </c>
      <c r="I381" s="4">
        <v>9.6999999999999993</v>
      </c>
      <c r="J381" s="4">
        <v>5</v>
      </c>
    </row>
    <row r="382" spans="1:10" x14ac:dyDescent="0.35">
      <c r="A382" s="3" t="s">
        <v>800</v>
      </c>
      <c r="B382" s="3" t="s">
        <v>801</v>
      </c>
      <c r="C382" s="4" t="s">
        <v>60</v>
      </c>
      <c r="D382" s="4">
        <v>18.399999999999999</v>
      </c>
      <c r="E382" s="4">
        <v>19.399999999999999</v>
      </c>
      <c r="F382" s="4">
        <v>0</v>
      </c>
      <c r="G382" s="4">
        <v>0</v>
      </c>
      <c r="H382" s="4">
        <v>1</v>
      </c>
      <c r="I382" s="4">
        <v>5.2</v>
      </c>
      <c r="J382" s="4">
        <v>3</v>
      </c>
    </row>
    <row r="383" spans="1:10" x14ac:dyDescent="0.35">
      <c r="A383" s="3" t="s">
        <v>802</v>
      </c>
      <c r="B383" s="3" t="s">
        <v>803</v>
      </c>
      <c r="C383" s="4" t="s">
        <v>65</v>
      </c>
      <c r="D383" s="4">
        <v>11.5</v>
      </c>
      <c r="E383" s="4">
        <v>12.2</v>
      </c>
      <c r="F383" s="4">
        <v>0</v>
      </c>
      <c r="G383" s="4">
        <v>0</v>
      </c>
      <c r="H383" s="4">
        <v>0.6</v>
      </c>
      <c r="I383" s="4">
        <v>5.3</v>
      </c>
      <c r="J383" s="4">
        <v>1.9</v>
      </c>
    </row>
    <row r="384" spans="1:10" x14ac:dyDescent="0.35">
      <c r="A384" s="3" t="s">
        <v>804</v>
      </c>
      <c r="B384" s="3" t="s">
        <v>805</v>
      </c>
      <c r="C384" s="4" t="s">
        <v>65</v>
      </c>
      <c r="D384" s="4">
        <v>6.9</v>
      </c>
      <c r="E384" s="4">
        <v>7.3</v>
      </c>
      <c r="F384" s="4">
        <v>0</v>
      </c>
      <c r="G384" s="4">
        <v>0</v>
      </c>
      <c r="H384" s="4">
        <v>0.3</v>
      </c>
      <c r="I384" s="4">
        <v>5</v>
      </c>
      <c r="J384" s="4">
        <v>1.1000000000000001</v>
      </c>
    </row>
    <row r="385" spans="1:10" x14ac:dyDescent="0.35">
      <c r="A385" s="3" t="s">
        <v>806</v>
      </c>
      <c r="B385" s="3" t="s">
        <v>807</v>
      </c>
      <c r="C385" s="4" t="s">
        <v>60</v>
      </c>
      <c r="D385" s="4">
        <v>225.3</v>
      </c>
      <c r="E385" s="4">
        <v>228</v>
      </c>
      <c r="F385" s="4">
        <v>0.1</v>
      </c>
      <c r="G385" s="4">
        <v>0.1</v>
      </c>
      <c r="H385" s="4">
        <v>2.7</v>
      </c>
      <c r="I385" s="4">
        <v>1.2</v>
      </c>
      <c r="J385" s="4">
        <v>27.7</v>
      </c>
    </row>
    <row r="386" spans="1:10" x14ac:dyDescent="0.35">
      <c r="A386" s="3" t="s">
        <v>808</v>
      </c>
      <c r="B386" s="3" t="s">
        <v>809</v>
      </c>
      <c r="C386" s="4" t="s">
        <v>65</v>
      </c>
      <c r="D386" s="4">
        <v>51.8</v>
      </c>
      <c r="E386" s="4">
        <v>52.4</v>
      </c>
      <c r="F386" s="4">
        <v>0</v>
      </c>
      <c r="G386" s="4">
        <v>0</v>
      </c>
      <c r="H386" s="4">
        <v>0.6</v>
      </c>
      <c r="I386" s="4">
        <v>1.1000000000000001</v>
      </c>
      <c r="J386" s="4">
        <v>5.0999999999999996</v>
      </c>
    </row>
    <row r="387" spans="1:10" x14ac:dyDescent="0.35">
      <c r="A387" s="3" t="s">
        <v>810</v>
      </c>
      <c r="B387" s="3" t="s">
        <v>811</v>
      </c>
      <c r="C387" s="4" t="s">
        <v>65</v>
      </c>
      <c r="D387" s="4">
        <v>173.5</v>
      </c>
      <c r="E387" s="4">
        <v>175.6</v>
      </c>
      <c r="F387" s="4">
        <v>0.1</v>
      </c>
      <c r="G387" s="4">
        <v>0.1</v>
      </c>
      <c r="H387" s="4">
        <v>2.1</v>
      </c>
      <c r="I387" s="4">
        <v>1.2</v>
      </c>
      <c r="J387" s="4">
        <v>22.6</v>
      </c>
    </row>
    <row r="388" spans="1:10" x14ac:dyDescent="0.35">
      <c r="A388" s="3" t="s">
        <v>812</v>
      </c>
      <c r="B388" s="3" t="s">
        <v>813</v>
      </c>
      <c r="C388" s="4" t="s">
        <v>60</v>
      </c>
      <c r="D388" s="4">
        <v>50.3</v>
      </c>
      <c r="E388" s="4">
        <v>53.5</v>
      </c>
      <c r="F388" s="4">
        <v>0</v>
      </c>
      <c r="G388" s="4">
        <v>0</v>
      </c>
      <c r="H388" s="4">
        <v>3.2</v>
      </c>
      <c r="I388" s="4">
        <v>6.3</v>
      </c>
      <c r="J388" s="4">
        <v>5.5</v>
      </c>
    </row>
    <row r="389" spans="1:10" x14ac:dyDescent="0.35">
      <c r="A389" s="3" t="s">
        <v>814</v>
      </c>
      <c r="B389" s="3" t="s">
        <v>815</v>
      </c>
      <c r="C389" s="4" t="s">
        <v>65</v>
      </c>
      <c r="D389" s="4">
        <v>23.8</v>
      </c>
      <c r="E389" s="4">
        <v>24.8</v>
      </c>
      <c r="F389" s="4">
        <v>0</v>
      </c>
      <c r="G389" s="4">
        <v>0</v>
      </c>
      <c r="H389" s="4">
        <v>1</v>
      </c>
      <c r="I389" s="4">
        <v>4.2</v>
      </c>
      <c r="J389" s="4">
        <v>2</v>
      </c>
    </row>
    <row r="390" spans="1:10" x14ac:dyDescent="0.35">
      <c r="A390" s="3" t="s">
        <v>816</v>
      </c>
      <c r="B390" s="3" t="s">
        <v>817</v>
      </c>
      <c r="C390" s="4" t="s">
        <v>65</v>
      </c>
      <c r="D390" s="4">
        <v>26.5</v>
      </c>
      <c r="E390" s="4">
        <v>28.7</v>
      </c>
      <c r="F390" s="4">
        <v>0</v>
      </c>
      <c r="G390" s="4">
        <v>0</v>
      </c>
      <c r="H390" s="4">
        <v>2.2000000000000002</v>
      </c>
      <c r="I390" s="4">
        <v>8.1999999999999993</v>
      </c>
      <c r="J390" s="4">
        <v>3.4</v>
      </c>
    </row>
    <row r="391" spans="1:10" x14ac:dyDescent="0.35">
      <c r="A391" s="3" t="s">
        <v>818</v>
      </c>
      <c r="B391" s="3" t="s">
        <v>819</v>
      </c>
      <c r="C391" s="4" t="s">
        <v>60</v>
      </c>
      <c r="D391" s="4">
        <v>826.2</v>
      </c>
      <c r="E391" s="4">
        <v>848.1</v>
      </c>
      <c r="F391" s="4">
        <v>0.5</v>
      </c>
      <c r="G391" s="4">
        <v>0.5</v>
      </c>
      <c r="H391" s="4">
        <v>21.9</v>
      </c>
      <c r="I391" s="4">
        <v>2.6</v>
      </c>
      <c r="J391" s="4">
        <v>77.599999999999994</v>
      </c>
    </row>
    <row r="392" spans="1:10" x14ac:dyDescent="0.35">
      <c r="A392" s="3" t="s">
        <v>820</v>
      </c>
      <c r="B392" s="3" t="s">
        <v>821</v>
      </c>
      <c r="C392" s="4" t="s">
        <v>65</v>
      </c>
      <c r="D392" s="4">
        <v>28</v>
      </c>
      <c r="E392" s="4">
        <v>24.8</v>
      </c>
      <c r="F392" s="4">
        <v>0</v>
      </c>
      <c r="G392" s="4">
        <v>0</v>
      </c>
      <c r="H392" s="4">
        <v>-3.2</v>
      </c>
      <c r="I392" s="4">
        <v>-11.4</v>
      </c>
      <c r="J392" s="4">
        <v>2.4</v>
      </c>
    </row>
    <row r="393" spans="1:10" x14ac:dyDescent="0.35">
      <c r="A393" s="3" t="s">
        <v>822</v>
      </c>
      <c r="B393" s="3" t="s">
        <v>823</v>
      </c>
      <c r="C393" s="4" t="s">
        <v>65</v>
      </c>
      <c r="D393" s="4">
        <v>58.5</v>
      </c>
      <c r="E393" s="4">
        <v>56.6</v>
      </c>
      <c r="F393" s="4">
        <v>0</v>
      </c>
      <c r="G393" s="4">
        <v>0</v>
      </c>
      <c r="H393" s="4">
        <v>-1.9</v>
      </c>
      <c r="I393" s="4">
        <v>-3.3</v>
      </c>
      <c r="J393" s="4">
        <v>6</v>
      </c>
    </row>
    <row r="394" spans="1:10" x14ac:dyDescent="0.35">
      <c r="A394" s="3" t="s">
        <v>824</v>
      </c>
      <c r="B394" s="3" t="s">
        <v>825</v>
      </c>
      <c r="C394" s="4" t="s">
        <v>65</v>
      </c>
      <c r="D394" s="4">
        <v>297.10000000000002</v>
      </c>
      <c r="E394" s="4">
        <v>315.10000000000002</v>
      </c>
      <c r="F394" s="4">
        <v>0.2</v>
      </c>
      <c r="G394" s="4">
        <v>0.2</v>
      </c>
      <c r="H394" s="4">
        <v>18</v>
      </c>
      <c r="I394" s="4">
        <v>6.1</v>
      </c>
      <c r="J394" s="4">
        <v>25.8</v>
      </c>
    </row>
    <row r="395" spans="1:10" x14ac:dyDescent="0.35">
      <c r="A395" s="3" t="s">
        <v>826</v>
      </c>
      <c r="B395" s="3" t="s">
        <v>827</v>
      </c>
      <c r="C395" s="4" t="s">
        <v>60</v>
      </c>
      <c r="D395" s="4">
        <v>326.7</v>
      </c>
      <c r="E395" s="4">
        <v>331</v>
      </c>
      <c r="F395" s="4">
        <v>0.2</v>
      </c>
      <c r="G395" s="4">
        <v>0.2</v>
      </c>
      <c r="H395" s="4">
        <v>4.3</v>
      </c>
      <c r="I395" s="4">
        <v>1.3</v>
      </c>
      <c r="J395" s="4">
        <v>31.8</v>
      </c>
    </row>
    <row r="396" spans="1:10" x14ac:dyDescent="0.35">
      <c r="A396" s="3" t="s">
        <v>828</v>
      </c>
      <c r="B396" s="3" t="s">
        <v>829</v>
      </c>
      <c r="C396" s="4" t="s">
        <v>65</v>
      </c>
      <c r="D396" s="4">
        <v>122.1</v>
      </c>
      <c r="E396" s="4">
        <v>117.3</v>
      </c>
      <c r="F396" s="4">
        <v>0.1</v>
      </c>
      <c r="G396" s="4">
        <v>0.1</v>
      </c>
      <c r="H396" s="4">
        <v>-4.9000000000000004</v>
      </c>
      <c r="I396" s="4">
        <v>-4</v>
      </c>
      <c r="J396" s="4">
        <v>11.6</v>
      </c>
    </row>
    <row r="397" spans="1:10" x14ac:dyDescent="0.35">
      <c r="A397" s="3" t="s">
        <v>830</v>
      </c>
      <c r="B397" s="3" t="s">
        <v>831</v>
      </c>
      <c r="C397" s="4" t="s">
        <v>65</v>
      </c>
      <c r="D397" s="4">
        <v>53.3</v>
      </c>
      <c r="E397" s="4">
        <v>57</v>
      </c>
      <c r="F397" s="4">
        <v>0</v>
      </c>
      <c r="G397" s="4">
        <v>0</v>
      </c>
      <c r="H397" s="4">
        <v>3.7</v>
      </c>
      <c r="I397" s="4">
        <v>6.9</v>
      </c>
      <c r="J397" s="4">
        <v>4.8</v>
      </c>
    </row>
    <row r="398" spans="1:10" x14ac:dyDescent="0.35">
      <c r="A398" s="3" t="s">
        <v>832</v>
      </c>
      <c r="B398" s="3" t="s">
        <v>833</v>
      </c>
      <c r="C398" s="4" t="s">
        <v>65</v>
      </c>
      <c r="D398" s="4">
        <v>151.19999999999999</v>
      </c>
      <c r="E398" s="4">
        <v>156.80000000000001</v>
      </c>
      <c r="F398" s="4">
        <v>0.1</v>
      </c>
      <c r="G398" s="4">
        <v>0.1</v>
      </c>
      <c r="H398" s="4">
        <v>5.6</v>
      </c>
      <c r="I398" s="4">
        <v>3.7</v>
      </c>
      <c r="J398" s="4">
        <v>15.5</v>
      </c>
    </row>
    <row r="399" spans="1:10" x14ac:dyDescent="0.35">
      <c r="A399" s="3" t="s">
        <v>834</v>
      </c>
      <c r="B399" s="3" t="s">
        <v>835</v>
      </c>
      <c r="C399" s="4" t="s">
        <v>60</v>
      </c>
      <c r="D399" s="4">
        <v>115.9</v>
      </c>
      <c r="E399" s="4">
        <v>120.6</v>
      </c>
      <c r="F399" s="4">
        <v>0.1</v>
      </c>
      <c r="G399" s="4">
        <v>0.1</v>
      </c>
      <c r="H399" s="4">
        <v>4.7</v>
      </c>
      <c r="I399" s="4">
        <v>4</v>
      </c>
      <c r="J399" s="4">
        <v>11.6</v>
      </c>
    </row>
    <row r="400" spans="1:10" x14ac:dyDescent="0.35">
      <c r="A400" s="3" t="s">
        <v>836</v>
      </c>
      <c r="B400" s="3" t="s">
        <v>837</v>
      </c>
      <c r="C400" s="4" t="s">
        <v>65</v>
      </c>
      <c r="D400" s="4">
        <v>68.7</v>
      </c>
      <c r="E400" s="4">
        <v>71.7</v>
      </c>
      <c r="F400" s="4">
        <v>0</v>
      </c>
      <c r="G400" s="4">
        <v>0</v>
      </c>
      <c r="H400" s="4">
        <v>3</v>
      </c>
      <c r="I400" s="4">
        <v>4.3</v>
      </c>
      <c r="J400" s="4">
        <v>7.2</v>
      </c>
    </row>
    <row r="401" spans="1:10" x14ac:dyDescent="0.35">
      <c r="A401" s="3" t="s">
        <v>838</v>
      </c>
      <c r="B401" s="3" t="s">
        <v>839</v>
      </c>
      <c r="C401" s="4" t="s">
        <v>65</v>
      </c>
      <c r="D401" s="4">
        <v>21.3</v>
      </c>
      <c r="E401" s="4">
        <v>21.9</v>
      </c>
      <c r="F401" s="4">
        <v>0</v>
      </c>
      <c r="G401" s="4">
        <v>0</v>
      </c>
      <c r="H401" s="4">
        <v>0.6</v>
      </c>
      <c r="I401" s="4">
        <v>2.8</v>
      </c>
      <c r="J401" s="4">
        <v>2.1</v>
      </c>
    </row>
    <row r="402" spans="1:10" x14ac:dyDescent="0.35">
      <c r="A402" s="3" t="s">
        <v>840</v>
      </c>
      <c r="B402" s="3" t="s">
        <v>841</v>
      </c>
      <c r="C402" s="4" t="s">
        <v>65</v>
      </c>
      <c r="D402" s="4">
        <v>25.8</v>
      </c>
      <c r="E402" s="4">
        <v>26.9</v>
      </c>
      <c r="F402" s="4">
        <v>0</v>
      </c>
      <c r="G402" s="4">
        <v>0</v>
      </c>
      <c r="H402" s="4">
        <v>1.1000000000000001</v>
      </c>
      <c r="I402" s="4">
        <v>4.3</v>
      </c>
      <c r="J402" s="4">
        <v>2.2999999999999998</v>
      </c>
    </row>
    <row r="403" spans="1:10" x14ac:dyDescent="0.35">
      <c r="A403" s="3" t="s">
        <v>842</v>
      </c>
      <c r="B403" s="3" t="s">
        <v>843</v>
      </c>
      <c r="C403" s="4" t="s">
        <v>60</v>
      </c>
      <c r="D403" s="4">
        <v>396.5</v>
      </c>
      <c r="E403" s="4">
        <v>411.5</v>
      </c>
      <c r="F403" s="4">
        <v>0.2</v>
      </c>
      <c r="G403" s="4">
        <v>0.2</v>
      </c>
      <c r="H403" s="4">
        <v>15</v>
      </c>
      <c r="I403" s="4">
        <v>3.8</v>
      </c>
      <c r="J403" s="4">
        <v>36.700000000000003</v>
      </c>
    </row>
    <row r="404" spans="1:10" x14ac:dyDescent="0.35">
      <c r="A404" s="3" t="s">
        <v>844</v>
      </c>
      <c r="B404" s="3" t="s">
        <v>845</v>
      </c>
      <c r="C404" s="4" t="s">
        <v>60</v>
      </c>
      <c r="D404" s="4">
        <v>142.80000000000001</v>
      </c>
      <c r="E404" s="4">
        <v>145.30000000000001</v>
      </c>
      <c r="F404" s="4">
        <v>0.1</v>
      </c>
      <c r="G404" s="4">
        <v>0.1</v>
      </c>
      <c r="H404" s="4">
        <v>2.5</v>
      </c>
      <c r="I404" s="4">
        <v>1.7</v>
      </c>
      <c r="J404" s="4">
        <v>12.9</v>
      </c>
    </row>
    <row r="405" spans="1:10" x14ac:dyDescent="0.35">
      <c r="A405" s="3" t="s">
        <v>846</v>
      </c>
      <c r="B405" s="3" t="s">
        <v>847</v>
      </c>
      <c r="C405" s="4" t="s">
        <v>65</v>
      </c>
      <c r="D405" s="4">
        <v>74.8</v>
      </c>
      <c r="E405" s="4">
        <v>78.3</v>
      </c>
      <c r="F405" s="4">
        <v>0</v>
      </c>
      <c r="G405" s="4">
        <v>0</v>
      </c>
      <c r="H405" s="4">
        <v>3.5</v>
      </c>
      <c r="I405" s="4">
        <v>4.7</v>
      </c>
      <c r="J405" s="4">
        <v>7.1</v>
      </c>
    </row>
    <row r="406" spans="1:10" x14ac:dyDescent="0.35">
      <c r="A406" s="3" t="s">
        <v>848</v>
      </c>
      <c r="B406" s="3" t="s">
        <v>849</v>
      </c>
      <c r="C406" s="4" t="s">
        <v>65</v>
      </c>
      <c r="D406" s="4">
        <v>39.9</v>
      </c>
      <c r="E406" s="4">
        <v>39.4</v>
      </c>
      <c r="F406" s="4">
        <v>0</v>
      </c>
      <c r="G406" s="4">
        <v>0</v>
      </c>
      <c r="H406" s="4">
        <v>-0.4</v>
      </c>
      <c r="I406" s="4">
        <v>-1.1000000000000001</v>
      </c>
      <c r="J406" s="4">
        <v>3.4</v>
      </c>
    </row>
    <row r="407" spans="1:10" x14ac:dyDescent="0.35">
      <c r="A407" s="3" t="s">
        <v>850</v>
      </c>
      <c r="B407" s="3" t="s">
        <v>851</v>
      </c>
      <c r="C407" s="4" t="s">
        <v>65</v>
      </c>
      <c r="D407" s="4">
        <v>17.600000000000001</v>
      </c>
      <c r="E407" s="4">
        <v>17.399999999999999</v>
      </c>
      <c r="F407" s="4">
        <v>0</v>
      </c>
      <c r="G407" s="4">
        <v>0</v>
      </c>
      <c r="H407" s="4">
        <v>-0.2</v>
      </c>
      <c r="I407" s="4">
        <v>-1.2</v>
      </c>
      <c r="J407" s="4">
        <v>1.5</v>
      </c>
    </row>
    <row r="408" spans="1:10" x14ac:dyDescent="0.35">
      <c r="A408" s="3" t="s">
        <v>852</v>
      </c>
      <c r="B408" s="3" t="s">
        <v>853</v>
      </c>
      <c r="C408" s="4" t="s">
        <v>65</v>
      </c>
      <c r="D408" s="4">
        <v>10.5</v>
      </c>
      <c r="E408" s="4">
        <v>10.199999999999999</v>
      </c>
      <c r="F408" s="4">
        <v>0</v>
      </c>
      <c r="G408" s="4">
        <v>0</v>
      </c>
      <c r="H408" s="4">
        <v>-0.4</v>
      </c>
      <c r="I408" s="4">
        <v>-3.4</v>
      </c>
      <c r="J408" s="4">
        <v>0.9</v>
      </c>
    </row>
    <row r="409" spans="1:10" x14ac:dyDescent="0.35">
      <c r="A409" s="3" t="s">
        <v>854</v>
      </c>
      <c r="B409" s="3" t="s">
        <v>855</v>
      </c>
      <c r="C409" s="4" t="s">
        <v>65</v>
      </c>
      <c r="D409" s="4">
        <v>148.9</v>
      </c>
      <c r="E409" s="4">
        <v>155</v>
      </c>
      <c r="F409" s="4">
        <v>0.1</v>
      </c>
      <c r="G409" s="4">
        <v>0.1</v>
      </c>
      <c r="H409" s="4">
        <v>6.1</v>
      </c>
      <c r="I409" s="4">
        <v>4.0999999999999996</v>
      </c>
      <c r="J409" s="4">
        <v>13.9</v>
      </c>
    </row>
    <row r="410" spans="1:10" x14ac:dyDescent="0.35">
      <c r="A410" s="3" t="s">
        <v>856</v>
      </c>
      <c r="B410" s="3" t="s">
        <v>857</v>
      </c>
      <c r="C410" s="4" t="s">
        <v>60</v>
      </c>
      <c r="D410" s="4">
        <v>87.5</v>
      </c>
      <c r="E410" s="4">
        <v>93.3</v>
      </c>
      <c r="F410" s="4">
        <v>0.1</v>
      </c>
      <c r="G410" s="4">
        <v>0.1</v>
      </c>
      <c r="H410" s="4">
        <v>5.8</v>
      </c>
      <c r="I410" s="4">
        <v>6.7</v>
      </c>
      <c r="J410" s="4">
        <v>8.1999999999999993</v>
      </c>
    </row>
    <row r="411" spans="1:10" x14ac:dyDescent="0.35">
      <c r="A411" s="3" t="s">
        <v>858</v>
      </c>
      <c r="B411" s="3" t="s">
        <v>859</v>
      </c>
      <c r="C411" s="4" t="s">
        <v>65</v>
      </c>
      <c r="D411" s="4">
        <v>36.5</v>
      </c>
      <c r="E411" s="4">
        <v>37.5</v>
      </c>
      <c r="F411" s="4">
        <v>0</v>
      </c>
      <c r="G411" s="4">
        <v>0</v>
      </c>
      <c r="H411" s="4">
        <v>1</v>
      </c>
      <c r="I411" s="4">
        <v>2.8</v>
      </c>
      <c r="J411" s="4">
        <v>3.2</v>
      </c>
    </row>
    <row r="412" spans="1:10" x14ac:dyDescent="0.35">
      <c r="A412" s="3" t="s">
        <v>860</v>
      </c>
      <c r="B412" s="3" t="s">
        <v>861</v>
      </c>
      <c r="C412" s="4" t="s">
        <v>65</v>
      </c>
      <c r="D412" s="4">
        <v>51</v>
      </c>
      <c r="E412" s="4">
        <v>55.8</v>
      </c>
      <c r="F412" s="4">
        <v>0</v>
      </c>
      <c r="G412" s="4">
        <v>0</v>
      </c>
      <c r="H412" s="4">
        <v>4.8</v>
      </c>
      <c r="I412" s="4">
        <v>9.4</v>
      </c>
      <c r="J412" s="4">
        <v>5</v>
      </c>
    </row>
    <row r="413" spans="1:10" x14ac:dyDescent="0.35">
      <c r="A413" s="3" t="s">
        <v>862</v>
      </c>
      <c r="B413" s="3" t="s">
        <v>863</v>
      </c>
      <c r="C413" s="4" t="s">
        <v>65</v>
      </c>
      <c r="D413" s="4">
        <v>17.3</v>
      </c>
      <c r="E413" s="4">
        <v>17.899999999999999</v>
      </c>
      <c r="F413" s="4">
        <v>0</v>
      </c>
      <c r="G413" s="4">
        <v>0</v>
      </c>
      <c r="H413" s="4">
        <v>0.6</v>
      </c>
      <c r="I413" s="4">
        <v>3.4</v>
      </c>
      <c r="J413" s="4">
        <v>1.6</v>
      </c>
    </row>
    <row r="414" spans="1:10" x14ac:dyDescent="0.35">
      <c r="A414" s="3" t="s">
        <v>26</v>
      </c>
      <c r="B414" s="3" t="s">
        <v>27</v>
      </c>
      <c r="C414" s="4" t="s">
        <v>60</v>
      </c>
      <c r="D414" s="4">
        <v>9481</v>
      </c>
      <c r="E414" s="4">
        <v>10243.700000000001</v>
      </c>
      <c r="F414" s="4">
        <v>5.8</v>
      </c>
      <c r="G414" s="4">
        <v>6.1</v>
      </c>
      <c r="H414" s="4">
        <v>762.7</v>
      </c>
      <c r="I414" s="4">
        <v>8</v>
      </c>
      <c r="J414" s="4">
        <v>621.6</v>
      </c>
    </row>
    <row r="415" spans="1:10" x14ac:dyDescent="0.35">
      <c r="A415" s="3" t="s">
        <v>864</v>
      </c>
      <c r="B415" s="3" t="s">
        <v>865</v>
      </c>
      <c r="C415" s="4" t="s">
        <v>60</v>
      </c>
      <c r="D415" s="4">
        <v>6305.6</v>
      </c>
      <c r="E415" s="4">
        <v>6848.4</v>
      </c>
      <c r="F415" s="4">
        <v>3.8</v>
      </c>
      <c r="G415" s="4">
        <v>4</v>
      </c>
      <c r="H415" s="4">
        <v>542.70000000000005</v>
      </c>
      <c r="I415" s="4">
        <v>8.6</v>
      </c>
      <c r="J415" s="4">
        <v>365.1</v>
      </c>
    </row>
    <row r="416" spans="1:10" x14ac:dyDescent="0.35">
      <c r="A416" s="3" t="s">
        <v>866</v>
      </c>
      <c r="B416" s="3" t="s">
        <v>867</v>
      </c>
      <c r="C416" s="4" t="s">
        <v>65</v>
      </c>
      <c r="D416" s="4">
        <v>55</v>
      </c>
      <c r="E416" s="4">
        <v>59.8</v>
      </c>
      <c r="F416" s="4">
        <v>0</v>
      </c>
      <c r="G416" s="4">
        <v>0</v>
      </c>
      <c r="H416" s="4">
        <v>4.9000000000000004</v>
      </c>
      <c r="I416" s="4">
        <v>8.8000000000000007</v>
      </c>
      <c r="J416" s="4">
        <v>2.6</v>
      </c>
    </row>
    <row r="417" spans="1:10" x14ac:dyDescent="0.35">
      <c r="A417" s="3" t="s">
        <v>868</v>
      </c>
      <c r="B417" s="3" t="s">
        <v>869</v>
      </c>
      <c r="C417" s="4" t="s">
        <v>60</v>
      </c>
      <c r="D417" s="4">
        <v>155</v>
      </c>
      <c r="E417" s="4">
        <v>161.80000000000001</v>
      </c>
      <c r="F417" s="4">
        <v>0.1</v>
      </c>
      <c r="G417" s="4">
        <v>0.1</v>
      </c>
      <c r="H417" s="4">
        <v>6.8</v>
      </c>
      <c r="I417" s="4">
        <v>4.4000000000000004</v>
      </c>
      <c r="J417" s="4">
        <v>5.0999999999999996</v>
      </c>
    </row>
    <row r="418" spans="1:10" x14ac:dyDescent="0.35">
      <c r="A418" s="3" t="s">
        <v>870</v>
      </c>
      <c r="B418" s="3" t="s">
        <v>871</v>
      </c>
      <c r="C418" s="4" t="s">
        <v>65</v>
      </c>
      <c r="D418" s="4">
        <v>136.69999999999999</v>
      </c>
      <c r="E418" s="4">
        <v>142.69999999999999</v>
      </c>
      <c r="F418" s="4">
        <v>0.1</v>
      </c>
      <c r="G418" s="4">
        <v>0.1</v>
      </c>
      <c r="H418" s="4">
        <v>6</v>
      </c>
      <c r="I418" s="4">
        <v>4.4000000000000004</v>
      </c>
      <c r="J418" s="4">
        <v>4.5</v>
      </c>
    </row>
    <row r="419" spans="1:10" x14ac:dyDescent="0.35">
      <c r="A419" s="3" t="s">
        <v>872</v>
      </c>
      <c r="B419" s="3" t="s">
        <v>873</v>
      </c>
      <c r="C419" s="4" t="s">
        <v>65</v>
      </c>
      <c r="D419" s="4">
        <v>4.9000000000000004</v>
      </c>
      <c r="E419" s="4">
        <v>5.0999999999999996</v>
      </c>
      <c r="F419" s="4">
        <v>0</v>
      </c>
      <c r="G419" s="4">
        <v>0</v>
      </c>
      <c r="H419" s="4">
        <v>0.2</v>
      </c>
      <c r="I419" s="4">
        <v>5</v>
      </c>
      <c r="J419" s="4">
        <v>0.2</v>
      </c>
    </row>
    <row r="420" spans="1:10" x14ac:dyDescent="0.35">
      <c r="A420" s="3" t="s">
        <v>874</v>
      </c>
      <c r="B420" s="3" t="s">
        <v>875</v>
      </c>
      <c r="C420" s="4" t="s">
        <v>65</v>
      </c>
      <c r="D420" s="4">
        <v>7.2</v>
      </c>
      <c r="E420" s="4">
        <v>7.5</v>
      </c>
      <c r="F420" s="4">
        <v>0</v>
      </c>
      <c r="G420" s="4">
        <v>0</v>
      </c>
      <c r="H420" s="4">
        <v>0.3</v>
      </c>
      <c r="I420" s="4">
        <v>4.5</v>
      </c>
      <c r="J420" s="4">
        <v>0.2</v>
      </c>
    </row>
    <row r="421" spans="1:10" x14ac:dyDescent="0.35">
      <c r="A421" s="3" t="s">
        <v>876</v>
      </c>
      <c r="B421" s="3" t="s">
        <v>877</v>
      </c>
      <c r="C421" s="4" t="s">
        <v>65</v>
      </c>
      <c r="D421" s="4">
        <v>0.4</v>
      </c>
      <c r="E421" s="4">
        <v>0.5</v>
      </c>
      <c r="F421" s="4">
        <v>0</v>
      </c>
      <c r="G421" s="4">
        <v>0</v>
      </c>
      <c r="H421" s="4">
        <v>0</v>
      </c>
      <c r="I421" s="4">
        <v>5.7</v>
      </c>
      <c r="J421" s="4">
        <v>0</v>
      </c>
    </row>
    <row r="422" spans="1:10" x14ac:dyDescent="0.35">
      <c r="A422" s="3" t="s">
        <v>878</v>
      </c>
      <c r="B422" s="3" t="s">
        <v>879</v>
      </c>
      <c r="C422" s="4" t="s">
        <v>65</v>
      </c>
      <c r="D422" s="4">
        <v>5.8</v>
      </c>
      <c r="E422" s="4">
        <v>6</v>
      </c>
      <c r="F422" s="4">
        <v>0</v>
      </c>
      <c r="G422" s="4">
        <v>0</v>
      </c>
      <c r="H422" s="4">
        <v>0.2</v>
      </c>
      <c r="I422" s="4">
        <v>2.7</v>
      </c>
      <c r="J422" s="4">
        <v>0.2</v>
      </c>
    </row>
    <row r="423" spans="1:10" x14ac:dyDescent="0.35">
      <c r="A423" s="3" t="s">
        <v>880</v>
      </c>
      <c r="B423" s="3" t="s">
        <v>881</v>
      </c>
      <c r="C423" s="4" t="s">
        <v>65</v>
      </c>
      <c r="D423" s="4">
        <v>78.599999999999994</v>
      </c>
      <c r="E423" s="4">
        <v>83.8</v>
      </c>
      <c r="F423" s="4">
        <v>0</v>
      </c>
      <c r="G423" s="4">
        <v>0</v>
      </c>
      <c r="H423" s="4">
        <v>5.2</v>
      </c>
      <c r="I423" s="4">
        <v>6.6</v>
      </c>
      <c r="J423" s="4">
        <v>5.6</v>
      </c>
    </row>
    <row r="424" spans="1:10" x14ac:dyDescent="0.35">
      <c r="A424" s="3" t="s">
        <v>882</v>
      </c>
      <c r="B424" s="3" t="s">
        <v>883</v>
      </c>
      <c r="C424" s="4" t="s">
        <v>65</v>
      </c>
      <c r="D424" s="4">
        <v>43.4</v>
      </c>
      <c r="E424" s="4">
        <v>47.3</v>
      </c>
      <c r="F424" s="4">
        <v>0</v>
      </c>
      <c r="G424" s="4">
        <v>0</v>
      </c>
      <c r="H424" s="4">
        <v>3.8</v>
      </c>
      <c r="I424" s="4">
        <v>8.8000000000000007</v>
      </c>
      <c r="J424" s="4">
        <v>1.7</v>
      </c>
    </row>
    <row r="425" spans="1:10" x14ac:dyDescent="0.35">
      <c r="A425" s="3" t="s">
        <v>884</v>
      </c>
      <c r="B425" s="3" t="s">
        <v>885</v>
      </c>
      <c r="C425" s="4" t="s">
        <v>65</v>
      </c>
      <c r="D425" s="4">
        <v>334.2</v>
      </c>
      <c r="E425" s="4">
        <v>342.9</v>
      </c>
      <c r="F425" s="4">
        <v>0.2</v>
      </c>
      <c r="G425" s="4">
        <v>0.2</v>
      </c>
      <c r="H425" s="4">
        <v>8.6999999999999993</v>
      </c>
      <c r="I425" s="4">
        <v>2.6</v>
      </c>
      <c r="J425" s="4">
        <v>13.4</v>
      </c>
    </row>
    <row r="426" spans="1:10" x14ac:dyDescent="0.35">
      <c r="A426" s="3" t="s">
        <v>886</v>
      </c>
      <c r="B426" s="3" t="s">
        <v>887</v>
      </c>
      <c r="C426" s="4" t="s">
        <v>65</v>
      </c>
      <c r="D426" s="4">
        <v>148</v>
      </c>
      <c r="E426" s="4">
        <v>187.3</v>
      </c>
      <c r="F426" s="4">
        <v>0.1</v>
      </c>
      <c r="G426" s="4">
        <v>0.1</v>
      </c>
      <c r="H426" s="4">
        <v>39.299999999999997</v>
      </c>
      <c r="I426" s="4">
        <v>26.5</v>
      </c>
      <c r="J426" s="4">
        <v>12.2</v>
      </c>
    </row>
    <row r="427" spans="1:10" x14ac:dyDescent="0.35">
      <c r="A427" s="3" t="s">
        <v>888</v>
      </c>
      <c r="B427" s="3" t="s">
        <v>889</v>
      </c>
      <c r="C427" s="4" t="s">
        <v>65</v>
      </c>
      <c r="D427" s="4">
        <v>10.6</v>
      </c>
      <c r="E427" s="4">
        <v>10.7</v>
      </c>
      <c r="F427" s="4">
        <v>0</v>
      </c>
      <c r="G427" s="4">
        <v>0</v>
      </c>
      <c r="H427" s="4">
        <v>0.1</v>
      </c>
      <c r="I427" s="4">
        <v>1</v>
      </c>
      <c r="J427" s="4">
        <v>0.3</v>
      </c>
    </row>
    <row r="428" spans="1:10" x14ac:dyDescent="0.35">
      <c r="A428" s="3" t="s">
        <v>890</v>
      </c>
      <c r="B428" s="3" t="s">
        <v>891</v>
      </c>
      <c r="C428" s="4" t="s">
        <v>60</v>
      </c>
      <c r="D428" s="4">
        <v>782.4</v>
      </c>
      <c r="E428" s="4">
        <v>893.3</v>
      </c>
      <c r="F428" s="4">
        <v>0.5</v>
      </c>
      <c r="G428" s="4">
        <v>0.5</v>
      </c>
      <c r="H428" s="4">
        <v>110.9</v>
      </c>
      <c r="I428" s="4">
        <v>14.2</v>
      </c>
      <c r="J428" s="4">
        <v>51.7</v>
      </c>
    </row>
    <row r="429" spans="1:10" x14ac:dyDescent="0.35">
      <c r="A429" s="3" t="s">
        <v>892</v>
      </c>
      <c r="B429" s="3" t="s">
        <v>893</v>
      </c>
      <c r="C429" s="4" t="s">
        <v>65</v>
      </c>
      <c r="D429" s="4">
        <v>139.6</v>
      </c>
      <c r="E429" s="4">
        <v>155.6</v>
      </c>
      <c r="F429" s="4">
        <v>0.1</v>
      </c>
      <c r="G429" s="4">
        <v>0.1</v>
      </c>
      <c r="H429" s="4">
        <v>16.100000000000001</v>
      </c>
      <c r="I429" s="4">
        <v>11.5</v>
      </c>
      <c r="J429" s="4">
        <v>9.6</v>
      </c>
    </row>
    <row r="430" spans="1:10" x14ac:dyDescent="0.35">
      <c r="A430" s="3" t="s">
        <v>894</v>
      </c>
      <c r="B430" s="3" t="s">
        <v>895</v>
      </c>
      <c r="C430" s="4" t="s">
        <v>65</v>
      </c>
      <c r="D430" s="4">
        <v>246.8</v>
      </c>
      <c r="E430" s="4">
        <v>284.10000000000002</v>
      </c>
      <c r="F430" s="4">
        <v>0.2</v>
      </c>
      <c r="G430" s="4">
        <v>0.2</v>
      </c>
      <c r="H430" s="4">
        <v>37.299999999999997</v>
      </c>
      <c r="I430" s="4">
        <v>15.1</v>
      </c>
      <c r="J430" s="4">
        <v>13.9</v>
      </c>
    </row>
    <row r="431" spans="1:10" x14ac:dyDescent="0.35">
      <c r="A431" s="3" t="s">
        <v>896</v>
      </c>
      <c r="B431" s="3" t="s">
        <v>897</v>
      </c>
      <c r="C431" s="4" t="s">
        <v>65</v>
      </c>
      <c r="D431" s="4">
        <v>15.9</v>
      </c>
      <c r="E431" s="4">
        <v>16.3</v>
      </c>
      <c r="F431" s="4">
        <v>0</v>
      </c>
      <c r="G431" s="4">
        <v>0</v>
      </c>
      <c r="H431" s="4">
        <v>0.4</v>
      </c>
      <c r="I431" s="4">
        <v>2.4</v>
      </c>
      <c r="J431" s="4">
        <v>0.7</v>
      </c>
    </row>
    <row r="432" spans="1:10" x14ac:dyDescent="0.35">
      <c r="A432" s="3" t="s">
        <v>898</v>
      </c>
      <c r="B432" s="3" t="s">
        <v>899</v>
      </c>
      <c r="C432" s="4" t="s">
        <v>65</v>
      </c>
      <c r="D432" s="4">
        <v>16.8</v>
      </c>
      <c r="E432" s="4">
        <v>17.399999999999999</v>
      </c>
      <c r="F432" s="4">
        <v>0</v>
      </c>
      <c r="G432" s="4">
        <v>0</v>
      </c>
      <c r="H432" s="4">
        <v>0.6</v>
      </c>
      <c r="I432" s="4">
        <v>3.6</v>
      </c>
      <c r="J432" s="4">
        <v>1.3</v>
      </c>
    </row>
    <row r="433" spans="1:10" x14ac:dyDescent="0.35">
      <c r="A433" s="3" t="s">
        <v>900</v>
      </c>
      <c r="B433" s="3" t="s">
        <v>901</v>
      </c>
      <c r="C433" s="4" t="s">
        <v>65</v>
      </c>
      <c r="D433" s="4">
        <v>133.1</v>
      </c>
      <c r="E433" s="4">
        <v>149.80000000000001</v>
      </c>
      <c r="F433" s="4">
        <v>0.1</v>
      </c>
      <c r="G433" s="4">
        <v>0.1</v>
      </c>
      <c r="H433" s="4">
        <v>16.7</v>
      </c>
      <c r="I433" s="4">
        <v>12.5</v>
      </c>
      <c r="J433" s="4">
        <v>8.6</v>
      </c>
    </row>
    <row r="434" spans="1:10" x14ac:dyDescent="0.35">
      <c r="A434" s="3" t="s">
        <v>902</v>
      </c>
      <c r="B434" s="3" t="s">
        <v>903</v>
      </c>
      <c r="C434" s="4" t="s">
        <v>65</v>
      </c>
      <c r="D434" s="4">
        <v>171.4</v>
      </c>
      <c r="E434" s="4">
        <v>204.5</v>
      </c>
      <c r="F434" s="4">
        <v>0.1</v>
      </c>
      <c r="G434" s="4">
        <v>0.1</v>
      </c>
      <c r="H434" s="4">
        <v>33.1</v>
      </c>
      <c r="I434" s="4">
        <v>19.3</v>
      </c>
      <c r="J434" s="4">
        <v>13.2</v>
      </c>
    </row>
    <row r="435" spans="1:10" x14ac:dyDescent="0.35">
      <c r="A435" s="3" t="s">
        <v>904</v>
      </c>
      <c r="B435" s="3" t="s">
        <v>905</v>
      </c>
      <c r="C435" s="4" t="s">
        <v>65</v>
      </c>
      <c r="D435" s="4">
        <v>16.5</v>
      </c>
      <c r="E435" s="4">
        <v>18.2</v>
      </c>
      <c r="F435" s="4">
        <v>0</v>
      </c>
      <c r="G435" s="4">
        <v>0</v>
      </c>
      <c r="H435" s="4">
        <v>1.7</v>
      </c>
      <c r="I435" s="4">
        <v>10.199999999999999</v>
      </c>
      <c r="J435" s="4">
        <v>1.2</v>
      </c>
    </row>
    <row r="436" spans="1:10" x14ac:dyDescent="0.35">
      <c r="A436" s="3" t="s">
        <v>906</v>
      </c>
      <c r="B436" s="3" t="s">
        <v>907</v>
      </c>
      <c r="C436" s="4" t="s">
        <v>65</v>
      </c>
      <c r="D436" s="4">
        <v>42.3</v>
      </c>
      <c r="E436" s="4">
        <v>47.5</v>
      </c>
      <c r="F436" s="4">
        <v>0</v>
      </c>
      <c r="G436" s="4">
        <v>0</v>
      </c>
      <c r="H436" s="4">
        <v>5.2</v>
      </c>
      <c r="I436" s="4">
        <v>12.2</v>
      </c>
      <c r="J436" s="4">
        <v>3.2</v>
      </c>
    </row>
    <row r="437" spans="1:10" x14ac:dyDescent="0.35">
      <c r="A437" s="3" t="s">
        <v>908</v>
      </c>
      <c r="B437" s="3" t="s">
        <v>909</v>
      </c>
      <c r="C437" s="4" t="s">
        <v>65</v>
      </c>
      <c r="D437" s="4">
        <v>89.5</v>
      </c>
      <c r="E437" s="4">
        <v>107.2</v>
      </c>
      <c r="F437" s="4">
        <v>0.1</v>
      </c>
      <c r="G437" s="4">
        <v>0.1</v>
      </c>
      <c r="H437" s="4">
        <v>17.7</v>
      </c>
      <c r="I437" s="4">
        <v>19.7</v>
      </c>
      <c r="J437" s="4">
        <v>5</v>
      </c>
    </row>
    <row r="438" spans="1:10" x14ac:dyDescent="0.35">
      <c r="A438" s="3" t="s">
        <v>910</v>
      </c>
      <c r="B438" s="3" t="s">
        <v>911</v>
      </c>
      <c r="C438" s="4" t="s">
        <v>65</v>
      </c>
      <c r="D438" s="4">
        <v>3172.5</v>
      </c>
      <c r="E438" s="4">
        <v>3349.9</v>
      </c>
      <c r="F438" s="4">
        <v>1.9</v>
      </c>
      <c r="G438" s="4">
        <v>2</v>
      </c>
      <c r="H438" s="4">
        <v>177.4</v>
      </c>
      <c r="I438" s="4">
        <v>5.6</v>
      </c>
      <c r="J438" s="4">
        <v>193.1</v>
      </c>
    </row>
    <row r="439" spans="1:10" x14ac:dyDescent="0.35">
      <c r="A439" s="3" t="s">
        <v>912</v>
      </c>
      <c r="B439" s="3" t="s">
        <v>913</v>
      </c>
      <c r="C439" s="4" t="s">
        <v>65</v>
      </c>
      <c r="D439" s="4">
        <v>49.4</v>
      </c>
      <c r="E439" s="4">
        <v>53.8</v>
      </c>
      <c r="F439" s="4">
        <v>0</v>
      </c>
      <c r="G439" s="4">
        <v>0</v>
      </c>
      <c r="H439" s="4">
        <v>4.5</v>
      </c>
      <c r="I439" s="4">
        <v>9</v>
      </c>
      <c r="J439" s="4">
        <v>2.5</v>
      </c>
    </row>
    <row r="440" spans="1:10" x14ac:dyDescent="0.35">
      <c r="A440" s="3" t="s">
        <v>914</v>
      </c>
      <c r="B440" s="3" t="s">
        <v>915</v>
      </c>
      <c r="C440" s="4" t="s">
        <v>65</v>
      </c>
      <c r="D440" s="4">
        <v>8.1999999999999993</v>
      </c>
      <c r="E440" s="4">
        <v>8.6999999999999993</v>
      </c>
      <c r="F440" s="4">
        <v>0</v>
      </c>
      <c r="G440" s="4">
        <v>0</v>
      </c>
      <c r="H440" s="4">
        <v>0.5</v>
      </c>
      <c r="I440" s="4">
        <v>6.4</v>
      </c>
      <c r="J440" s="4">
        <v>0.4</v>
      </c>
    </row>
    <row r="441" spans="1:10" x14ac:dyDescent="0.35">
      <c r="A441" s="3" t="s">
        <v>916</v>
      </c>
      <c r="B441" s="3" t="s">
        <v>917</v>
      </c>
      <c r="C441" s="4" t="s">
        <v>65</v>
      </c>
      <c r="D441" s="4">
        <v>266.3</v>
      </c>
      <c r="E441" s="4">
        <v>384.9</v>
      </c>
      <c r="F441" s="4">
        <v>0.2</v>
      </c>
      <c r="G441" s="4">
        <v>0.2</v>
      </c>
      <c r="H441" s="4">
        <v>118.6</v>
      </c>
      <c r="I441" s="4">
        <v>44.5</v>
      </c>
      <c r="J441" s="4">
        <v>26.3</v>
      </c>
    </row>
    <row r="442" spans="1:10" x14ac:dyDescent="0.35">
      <c r="A442" s="3" t="s">
        <v>918</v>
      </c>
      <c r="B442" s="3" t="s">
        <v>919</v>
      </c>
      <c r="C442" s="4" t="s">
        <v>65</v>
      </c>
      <c r="D442" s="4">
        <v>14.4</v>
      </c>
      <c r="E442" s="4">
        <v>15.9</v>
      </c>
      <c r="F442" s="4">
        <v>0</v>
      </c>
      <c r="G442" s="4">
        <v>0</v>
      </c>
      <c r="H442" s="4">
        <v>1.5</v>
      </c>
      <c r="I442" s="4">
        <v>10.6</v>
      </c>
      <c r="J442" s="4">
        <v>0.9</v>
      </c>
    </row>
    <row r="443" spans="1:10" x14ac:dyDescent="0.35">
      <c r="A443" s="3" t="s">
        <v>920</v>
      </c>
      <c r="B443" s="3" t="s">
        <v>921</v>
      </c>
      <c r="C443" s="4" t="s">
        <v>60</v>
      </c>
      <c r="D443" s="4">
        <v>757.4</v>
      </c>
      <c r="E443" s="4">
        <v>780.9</v>
      </c>
      <c r="F443" s="4">
        <v>0.5</v>
      </c>
      <c r="G443" s="4">
        <v>0.5</v>
      </c>
      <c r="H443" s="4">
        <v>23.6</v>
      </c>
      <c r="I443" s="4">
        <v>3.1</v>
      </c>
      <c r="J443" s="4">
        <v>22.7</v>
      </c>
    </row>
    <row r="444" spans="1:10" x14ac:dyDescent="0.35">
      <c r="A444" s="3" t="s">
        <v>922</v>
      </c>
      <c r="B444" s="3" t="s">
        <v>923</v>
      </c>
      <c r="C444" s="4" t="s">
        <v>65</v>
      </c>
      <c r="D444" s="4">
        <v>40</v>
      </c>
      <c r="E444" s="4">
        <v>41.1</v>
      </c>
      <c r="F444" s="4">
        <v>0</v>
      </c>
      <c r="G444" s="4">
        <v>0</v>
      </c>
      <c r="H444" s="4">
        <v>1</v>
      </c>
      <c r="I444" s="4">
        <v>2.6</v>
      </c>
      <c r="J444" s="4">
        <v>1.2</v>
      </c>
    </row>
    <row r="445" spans="1:10" x14ac:dyDescent="0.35">
      <c r="A445" s="3" t="s">
        <v>924</v>
      </c>
      <c r="B445" s="3" t="s">
        <v>925</v>
      </c>
      <c r="C445" s="4" t="s">
        <v>65</v>
      </c>
      <c r="D445" s="4">
        <v>18</v>
      </c>
      <c r="E445" s="4">
        <v>18.600000000000001</v>
      </c>
      <c r="F445" s="4">
        <v>0</v>
      </c>
      <c r="G445" s="4">
        <v>0</v>
      </c>
      <c r="H445" s="4">
        <v>0.6</v>
      </c>
      <c r="I445" s="4">
        <v>3.1</v>
      </c>
      <c r="J445" s="4">
        <v>0.5</v>
      </c>
    </row>
    <row r="446" spans="1:10" x14ac:dyDescent="0.35">
      <c r="A446" s="3" t="s">
        <v>926</v>
      </c>
      <c r="B446" s="3" t="s">
        <v>927</v>
      </c>
      <c r="C446" s="4" t="s">
        <v>65</v>
      </c>
      <c r="D446" s="4">
        <v>12.4</v>
      </c>
      <c r="E446" s="4">
        <v>12.8</v>
      </c>
      <c r="F446" s="4">
        <v>0</v>
      </c>
      <c r="G446" s="4">
        <v>0</v>
      </c>
      <c r="H446" s="4">
        <v>0.4</v>
      </c>
      <c r="I446" s="4">
        <v>3.1</v>
      </c>
      <c r="J446" s="4">
        <v>0.4</v>
      </c>
    </row>
    <row r="447" spans="1:10" x14ac:dyDescent="0.35">
      <c r="A447" s="3" t="s">
        <v>928</v>
      </c>
      <c r="B447" s="3" t="s">
        <v>929</v>
      </c>
      <c r="C447" s="4" t="s">
        <v>65</v>
      </c>
      <c r="D447" s="4">
        <v>31.3</v>
      </c>
      <c r="E447" s="4">
        <v>32.200000000000003</v>
      </c>
      <c r="F447" s="4">
        <v>0</v>
      </c>
      <c r="G447" s="4">
        <v>0</v>
      </c>
      <c r="H447" s="4">
        <v>0.9</v>
      </c>
      <c r="I447" s="4">
        <v>2.8</v>
      </c>
      <c r="J447" s="4">
        <v>0.9</v>
      </c>
    </row>
    <row r="448" spans="1:10" x14ac:dyDescent="0.35">
      <c r="A448" s="3" t="s">
        <v>930</v>
      </c>
      <c r="B448" s="3" t="s">
        <v>931</v>
      </c>
      <c r="C448" s="4" t="s">
        <v>65</v>
      </c>
      <c r="D448" s="4">
        <v>108</v>
      </c>
      <c r="E448" s="4">
        <v>112</v>
      </c>
      <c r="F448" s="4">
        <v>0.1</v>
      </c>
      <c r="G448" s="4">
        <v>0.1</v>
      </c>
      <c r="H448" s="4">
        <v>4</v>
      </c>
      <c r="I448" s="4">
        <v>3.7</v>
      </c>
      <c r="J448" s="4">
        <v>3.3</v>
      </c>
    </row>
    <row r="449" spans="1:10" x14ac:dyDescent="0.35">
      <c r="A449" s="3" t="s">
        <v>932</v>
      </c>
      <c r="B449" s="3" t="s">
        <v>933</v>
      </c>
      <c r="C449" s="4" t="s">
        <v>65</v>
      </c>
      <c r="D449" s="4">
        <v>72.599999999999994</v>
      </c>
      <c r="E449" s="4">
        <v>74.400000000000006</v>
      </c>
      <c r="F449" s="4">
        <v>0</v>
      </c>
      <c r="G449" s="4">
        <v>0</v>
      </c>
      <c r="H449" s="4">
        <v>1.8</v>
      </c>
      <c r="I449" s="4">
        <v>2.5</v>
      </c>
      <c r="J449" s="4">
        <v>2.1</v>
      </c>
    </row>
    <row r="450" spans="1:10" x14ac:dyDescent="0.35">
      <c r="A450" s="3" t="s">
        <v>934</v>
      </c>
      <c r="B450" s="3" t="s">
        <v>935</v>
      </c>
      <c r="C450" s="4" t="s">
        <v>65</v>
      </c>
      <c r="D450" s="4">
        <v>12.2</v>
      </c>
      <c r="E450" s="4">
        <v>12.5</v>
      </c>
      <c r="F450" s="4">
        <v>0</v>
      </c>
      <c r="G450" s="4">
        <v>0</v>
      </c>
      <c r="H450" s="4">
        <v>0.4</v>
      </c>
      <c r="I450" s="4">
        <v>3.2</v>
      </c>
      <c r="J450" s="4">
        <v>0.4</v>
      </c>
    </row>
    <row r="451" spans="1:10" x14ac:dyDescent="0.35">
      <c r="A451" s="3" t="s">
        <v>936</v>
      </c>
      <c r="B451" s="3" t="s">
        <v>937</v>
      </c>
      <c r="C451" s="4" t="s">
        <v>65</v>
      </c>
      <c r="D451" s="4">
        <v>22.9</v>
      </c>
      <c r="E451" s="4">
        <v>23.4</v>
      </c>
      <c r="F451" s="4">
        <v>0</v>
      </c>
      <c r="G451" s="4">
        <v>0</v>
      </c>
      <c r="H451" s="4">
        <v>0.5</v>
      </c>
      <c r="I451" s="4">
        <v>2.2000000000000002</v>
      </c>
      <c r="J451" s="4">
        <v>0.7</v>
      </c>
    </row>
    <row r="452" spans="1:10" x14ac:dyDescent="0.35">
      <c r="A452" s="3" t="s">
        <v>938</v>
      </c>
      <c r="B452" s="3" t="s">
        <v>939</v>
      </c>
      <c r="C452" s="4" t="s">
        <v>65</v>
      </c>
      <c r="D452" s="4">
        <v>35.9</v>
      </c>
      <c r="E452" s="4">
        <v>36.200000000000003</v>
      </c>
      <c r="F452" s="4">
        <v>0</v>
      </c>
      <c r="G452" s="4">
        <v>0</v>
      </c>
      <c r="H452" s="4">
        <v>0.3</v>
      </c>
      <c r="I452" s="4">
        <v>0.9</v>
      </c>
      <c r="J452" s="4">
        <v>1</v>
      </c>
    </row>
    <row r="453" spans="1:10" x14ac:dyDescent="0.35">
      <c r="A453" s="3" t="s">
        <v>940</v>
      </c>
      <c r="B453" s="3" t="s">
        <v>941</v>
      </c>
      <c r="C453" s="4" t="s">
        <v>65</v>
      </c>
      <c r="D453" s="4">
        <v>13.2</v>
      </c>
      <c r="E453" s="4">
        <v>13.9</v>
      </c>
      <c r="F453" s="4">
        <v>0</v>
      </c>
      <c r="G453" s="4">
        <v>0</v>
      </c>
      <c r="H453" s="4">
        <v>0.6</v>
      </c>
      <c r="I453" s="4">
        <v>4.5999999999999996</v>
      </c>
      <c r="J453" s="4">
        <v>0.4</v>
      </c>
    </row>
    <row r="454" spans="1:10" x14ac:dyDescent="0.35">
      <c r="A454" s="3" t="s">
        <v>942</v>
      </c>
      <c r="B454" s="3" t="s">
        <v>943</v>
      </c>
      <c r="C454" s="4" t="s">
        <v>65</v>
      </c>
      <c r="D454" s="4">
        <v>28.6</v>
      </c>
      <c r="E454" s="4">
        <v>30.5</v>
      </c>
      <c r="F454" s="4">
        <v>0</v>
      </c>
      <c r="G454" s="4">
        <v>0</v>
      </c>
      <c r="H454" s="4">
        <v>1.9</v>
      </c>
      <c r="I454" s="4">
        <v>6.7</v>
      </c>
      <c r="J454" s="4">
        <v>1</v>
      </c>
    </row>
    <row r="455" spans="1:10" x14ac:dyDescent="0.35">
      <c r="A455" s="3" t="s">
        <v>944</v>
      </c>
      <c r="B455" s="3" t="s">
        <v>945</v>
      </c>
      <c r="C455" s="4" t="s">
        <v>65</v>
      </c>
      <c r="D455" s="4">
        <v>31.2</v>
      </c>
      <c r="E455" s="4">
        <v>32.4</v>
      </c>
      <c r="F455" s="4">
        <v>0</v>
      </c>
      <c r="G455" s="4">
        <v>0</v>
      </c>
      <c r="H455" s="4">
        <v>1.1000000000000001</v>
      </c>
      <c r="I455" s="4">
        <v>3.6</v>
      </c>
      <c r="J455" s="4">
        <v>1</v>
      </c>
    </row>
    <row r="456" spans="1:10" x14ac:dyDescent="0.35">
      <c r="A456" s="3" t="s">
        <v>946</v>
      </c>
      <c r="B456" s="3" t="s">
        <v>947</v>
      </c>
      <c r="C456" s="4" t="s">
        <v>65</v>
      </c>
      <c r="D456" s="4">
        <v>330.9</v>
      </c>
      <c r="E456" s="4">
        <v>341</v>
      </c>
      <c r="F456" s="4">
        <v>0.2</v>
      </c>
      <c r="G456" s="4">
        <v>0.2</v>
      </c>
      <c r="H456" s="4">
        <v>10</v>
      </c>
      <c r="I456" s="4">
        <v>3</v>
      </c>
      <c r="J456" s="4">
        <v>9.9</v>
      </c>
    </row>
    <row r="457" spans="1:10" x14ac:dyDescent="0.35">
      <c r="A457" s="3" t="s">
        <v>948</v>
      </c>
      <c r="B457" s="3" t="s">
        <v>949</v>
      </c>
      <c r="C457" s="4" t="s">
        <v>60</v>
      </c>
      <c r="D457" s="4">
        <v>59.6</v>
      </c>
      <c r="E457" s="4">
        <v>60.6</v>
      </c>
      <c r="F457" s="4">
        <v>0</v>
      </c>
      <c r="G457" s="4">
        <v>0</v>
      </c>
      <c r="H457" s="4">
        <v>1</v>
      </c>
      <c r="I457" s="4">
        <v>1.7</v>
      </c>
      <c r="J457" s="4">
        <v>1.5</v>
      </c>
    </row>
    <row r="458" spans="1:10" x14ac:dyDescent="0.35">
      <c r="A458" s="3" t="s">
        <v>950</v>
      </c>
      <c r="B458" s="3" t="s">
        <v>951</v>
      </c>
      <c r="C458" s="4" t="s">
        <v>65</v>
      </c>
      <c r="D458" s="4">
        <v>12.8</v>
      </c>
      <c r="E458" s="4">
        <v>13.3</v>
      </c>
      <c r="F458" s="4">
        <v>0</v>
      </c>
      <c r="G458" s="4">
        <v>0</v>
      </c>
      <c r="H458" s="4">
        <v>0.5</v>
      </c>
      <c r="I458" s="4">
        <v>3.6</v>
      </c>
      <c r="J458" s="4">
        <v>0.3</v>
      </c>
    </row>
    <row r="459" spans="1:10" x14ac:dyDescent="0.35">
      <c r="A459" s="3" t="s">
        <v>952</v>
      </c>
      <c r="B459" s="3" t="s">
        <v>953</v>
      </c>
      <c r="C459" s="4" t="s">
        <v>65</v>
      </c>
      <c r="D459" s="4">
        <v>19.399999999999999</v>
      </c>
      <c r="E459" s="4">
        <v>19.7</v>
      </c>
      <c r="F459" s="4">
        <v>0</v>
      </c>
      <c r="G459" s="4">
        <v>0</v>
      </c>
      <c r="H459" s="4">
        <v>0.3</v>
      </c>
      <c r="I459" s="4">
        <v>1.6</v>
      </c>
      <c r="J459" s="4">
        <v>0.5</v>
      </c>
    </row>
    <row r="460" spans="1:10" x14ac:dyDescent="0.35">
      <c r="A460" s="3" t="s">
        <v>954</v>
      </c>
      <c r="B460" s="3" t="s">
        <v>955</v>
      </c>
      <c r="C460" s="4" t="s">
        <v>65</v>
      </c>
      <c r="D460" s="4">
        <v>0.8</v>
      </c>
      <c r="E460" s="4">
        <v>0.8</v>
      </c>
      <c r="F460" s="4">
        <v>0</v>
      </c>
      <c r="G460" s="4">
        <v>0</v>
      </c>
      <c r="H460" s="4">
        <v>0</v>
      </c>
      <c r="I460" s="4">
        <v>1</v>
      </c>
      <c r="J460" s="4">
        <v>0</v>
      </c>
    </row>
    <row r="461" spans="1:10" x14ac:dyDescent="0.35">
      <c r="A461" s="3" t="s">
        <v>956</v>
      </c>
      <c r="B461" s="3" t="s">
        <v>957</v>
      </c>
      <c r="C461" s="4" t="s">
        <v>65</v>
      </c>
      <c r="D461" s="4">
        <v>26.5</v>
      </c>
      <c r="E461" s="4">
        <v>26.8</v>
      </c>
      <c r="F461" s="4">
        <v>0</v>
      </c>
      <c r="G461" s="4">
        <v>0</v>
      </c>
      <c r="H461" s="4">
        <v>0.2</v>
      </c>
      <c r="I461" s="4">
        <v>0.8</v>
      </c>
      <c r="J461" s="4">
        <v>0.6</v>
      </c>
    </row>
    <row r="462" spans="1:10" x14ac:dyDescent="0.35">
      <c r="A462" s="3" t="s">
        <v>958</v>
      </c>
      <c r="B462" s="3" t="s">
        <v>959</v>
      </c>
      <c r="C462" s="4" t="s">
        <v>60</v>
      </c>
      <c r="D462" s="4">
        <v>281.3</v>
      </c>
      <c r="E462" s="4">
        <v>299.60000000000002</v>
      </c>
      <c r="F462" s="4">
        <v>0.2</v>
      </c>
      <c r="G462" s="4">
        <v>0.2</v>
      </c>
      <c r="H462" s="4">
        <v>18.399999999999999</v>
      </c>
      <c r="I462" s="4">
        <v>6.5</v>
      </c>
      <c r="J462" s="4">
        <v>20.2</v>
      </c>
    </row>
    <row r="463" spans="1:10" x14ac:dyDescent="0.35">
      <c r="A463" s="3" t="s">
        <v>960</v>
      </c>
      <c r="B463" s="3" t="s">
        <v>961</v>
      </c>
      <c r="C463" s="4" t="s">
        <v>65</v>
      </c>
      <c r="D463" s="4">
        <v>26.6</v>
      </c>
      <c r="E463" s="4">
        <v>28</v>
      </c>
      <c r="F463" s="4">
        <v>0</v>
      </c>
      <c r="G463" s="4">
        <v>0</v>
      </c>
      <c r="H463" s="4">
        <v>1.4</v>
      </c>
      <c r="I463" s="4">
        <v>5.3</v>
      </c>
      <c r="J463" s="4">
        <v>1.8</v>
      </c>
    </row>
    <row r="464" spans="1:10" x14ac:dyDescent="0.35">
      <c r="A464" s="3" t="s">
        <v>962</v>
      </c>
      <c r="B464" s="3" t="s">
        <v>963</v>
      </c>
      <c r="C464" s="4" t="s">
        <v>65</v>
      </c>
      <c r="D464" s="4">
        <v>219.4</v>
      </c>
      <c r="E464" s="4">
        <v>235.7</v>
      </c>
      <c r="F464" s="4">
        <v>0.1</v>
      </c>
      <c r="G464" s="4">
        <v>0.1</v>
      </c>
      <c r="H464" s="4">
        <v>16.3</v>
      </c>
      <c r="I464" s="4">
        <v>7.4</v>
      </c>
      <c r="J464" s="4">
        <v>16.399999999999999</v>
      </c>
    </row>
    <row r="465" spans="1:10" x14ac:dyDescent="0.35">
      <c r="A465" s="3" t="s">
        <v>964</v>
      </c>
      <c r="B465" s="3" t="s">
        <v>965</v>
      </c>
      <c r="C465" s="4" t="s">
        <v>65</v>
      </c>
      <c r="D465" s="4">
        <v>35.200000000000003</v>
      </c>
      <c r="E465" s="4">
        <v>35.9</v>
      </c>
      <c r="F465" s="4">
        <v>0</v>
      </c>
      <c r="G465" s="4">
        <v>0</v>
      </c>
      <c r="H465" s="4">
        <v>0.7</v>
      </c>
      <c r="I465" s="4">
        <v>2</v>
      </c>
      <c r="J465" s="4">
        <v>2</v>
      </c>
    </row>
    <row r="466" spans="1:10" x14ac:dyDescent="0.35">
      <c r="A466" s="3" t="s">
        <v>966</v>
      </c>
      <c r="B466" s="3" t="s">
        <v>967</v>
      </c>
      <c r="C466" s="4" t="s">
        <v>60</v>
      </c>
      <c r="D466" s="4">
        <v>3036.2</v>
      </c>
      <c r="E466" s="4">
        <v>3241.3</v>
      </c>
      <c r="F466" s="4">
        <v>1.8</v>
      </c>
      <c r="G466" s="4">
        <v>1.9</v>
      </c>
      <c r="H466" s="4">
        <v>205.1</v>
      </c>
      <c r="I466" s="4">
        <v>6.8</v>
      </c>
      <c r="J466" s="4">
        <v>246.2</v>
      </c>
    </row>
    <row r="467" spans="1:10" x14ac:dyDescent="0.35">
      <c r="A467" s="3" t="s">
        <v>968</v>
      </c>
      <c r="B467" s="3" t="s">
        <v>969</v>
      </c>
      <c r="C467" s="4" t="s">
        <v>65</v>
      </c>
      <c r="D467" s="4">
        <v>342.9</v>
      </c>
      <c r="E467" s="4">
        <v>359.7</v>
      </c>
      <c r="F467" s="4">
        <v>0.2</v>
      </c>
      <c r="G467" s="4">
        <v>0.2</v>
      </c>
      <c r="H467" s="4">
        <v>16.8</v>
      </c>
      <c r="I467" s="4">
        <v>4.9000000000000004</v>
      </c>
      <c r="J467" s="4">
        <v>24</v>
      </c>
    </row>
    <row r="468" spans="1:10" x14ac:dyDescent="0.35">
      <c r="A468" s="3" t="s">
        <v>970</v>
      </c>
      <c r="B468" s="3" t="s">
        <v>971</v>
      </c>
      <c r="C468" s="4" t="s">
        <v>60</v>
      </c>
      <c r="D468" s="4">
        <v>428.5</v>
      </c>
      <c r="E468" s="4">
        <v>458.2</v>
      </c>
      <c r="F468" s="4">
        <v>0.3</v>
      </c>
      <c r="G468" s="4">
        <v>0.3</v>
      </c>
      <c r="H468" s="4">
        <v>29.8</v>
      </c>
      <c r="I468" s="4">
        <v>6.9</v>
      </c>
      <c r="J468" s="4">
        <v>26.3</v>
      </c>
    </row>
    <row r="469" spans="1:10" x14ac:dyDescent="0.35">
      <c r="A469" s="3" t="s">
        <v>972</v>
      </c>
      <c r="B469" s="3" t="s">
        <v>973</v>
      </c>
      <c r="C469" s="4" t="s">
        <v>65</v>
      </c>
      <c r="D469" s="4">
        <v>58.9</v>
      </c>
      <c r="E469" s="4">
        <v>61.1</v>
      </c>
      <c r="F469" s="4">
        <v>0</v>
      </c>
      <c r="G469" s="4">
        <v>0</v>
      </c>
      <c r="H469" s="4">
        <v>2.2000000000000002</v>
      </c>
      <c r="I469" s="4">
        <v>3.7</v>
      </c>
      <c r="J469" s="4">
        <v>3.9</v>
      </c>
    </row>
    <row r="470" spans="1:10" x14ac:dyDescent="0.35">
      <c r="A470" s="3" t="s">
        <v>974</v>
      </c>
      <c r="B470" s="3" t="s">
        <v>975</v>
      </c>
      <c r="C470" s="4" t="s">
        <v>65</v>
      </c>
      <c r="D470" s="4">
        <v>83.8</v>
      </c>
      <c r="E470" s="4">
        <v>95.8</v>
      </c>
      <c r="F470" s="4">
        <v>0.1</v>
      </c>
      <c r="G470" s="4">
        <v>0.1</v>
      </c>
      <c r="H470" s="4">
        <v>12</v>
      </c>
      <c r="I470" s="4">
        <v>14.3</v>
      </c>
      <c r="J470" s="4">
        <v>5.7</v>
      </c>
    </row>
    <row r="471" spans="1:10" x14ac:dyDescent="0.35">
      <c r="A471" s="3" t="s">
        <v>976</v>
      </c>
      <c r="B471" s="3" t="s">
        <v>977</v>
      </c>
      <c r="C471" s="4" t="s">
        <v>65</v>
      </c>
      <c r="D471" s="4">
        <v>18.100000000000001</v>
      </c>
      <c r="E471" s="4">
        <v>18.2</v>
      </c>
      <c r="F471" s="4">
        <v>0</v>
      </c>
      <c r="G471" s="4">
        <v>0</v>
      </c>
      <c r="H471" s="4">
        <v>0.1</v>
      </c>
      <c r="I471" s="4">
        <v>0.4</v>
      </c>
      <c r="J471" s="4">
        <v>0.8</v>
      </c>
    </row>
    <row r="472" spans="1:10" x14ac:dyDescent="0.35">
      <c r="A472" s="3" t="s">
        <v>978</v>
      </c>
      <c r="B472" s="3" t="s">
        <v>979</v>
      </c>
      <c r="C472" s="4" t="s">
        <v>65</v>
      </c>
      <c r="D472" s="4">
        <v>222.8</v>
      </c>
      <c r="E472" s="4">
        <v>235</v>
      </c>
      <c r="F472" s="4">
        <v>0.1</v>
      </c>
      <c r="G472" s="4">
        <v>0.1</v>
      </c>
      <c r="H472" s="4">
        <v>12.2</v>
      </c>
      <c r="I472" s="4">
        <v>5.5</v>
      </c>
      <c r="J472" s="4">
        <v>13.1</v>
      </c>
    </row>
    <row r="473" spans="1:10" x14ac:dyDescent="0.35">
      <c r="A473" s="3" t="s">
        <v>980</v>
      </c>
      <c r="B473" s="3" t="s">
        <v>981</v>
      </c>
      <c r="C473" s="4" t="s">
        <v>65</v>
      </c>
      <c r="D473" s="4">
        <v>41.4</v>
      </c>
      <c r="E473" s="4">
        <v>44.6</v>
      </c>
      <c r="F473" s="4">
        <v>0</v>
      </c>
      <c r="G473" s="4">
        <v>0</v>
      </c>
      <c r="H473" s="4">
        <v>3.2</v>
      </c>
      <c r="I473" s="4">
        <v>7.7</v>
      </c>
      <c r="J473" s="4">
        <v>2.6</v>
      </c>
    </row>
    <row r="474" spans="1:10" x14ac:dyDescent="0.35">
      <c r="A474" s="3" t="s">
        <v>982</v>
      </c>
      <c r="B474" s="3" t="s">
        <v>983</v>
      </c>
      <c r="C474" s="4" t="s">
        <v>65</v>
      </c>
      <c r="D474" s="4">
        <v>3.5</v>
      </c>
      <c r="E474" s="4">
        <v>3.6</v>
      </c>
      <c r="F474" s="4">
        <v>0</v>
      </c>
      <c r="G474" s="4">
        <v>0</v>
      </c>
      <c r="H474" s="4">
        <v>0.1</v>
      </c>
      <c r="I474" s="4">
        <v>3.4</v>
      </c>
      <c r="J474" s="4">
        <v>0.2</v>
      </c>
    </row>
    <row r="475" spans="1:10" x14ac:dyDescent="0.35">
      <c r="A475" s="3" t="s">
        <v>984</v>
      </c>
      <c r="B475" s="3" t="s">
        <v>985</v>
      </c>
      <c r="C475" s="4" t="s">
        <v>60</v>
      </c>
      <c r="D475" s="4">
        <v>269</v>
      </c>
      <c r="E475" s="4">
        <v>283.60000000000002</v>
      </c>
      <c r="F475" s="4">
        <v>0.2</v>
      </c>
      <c r="G475" s="4">
        <v>0.2</v>
      </c>
      <c r="H475" s="4">
        <v>14.6</v>
      </c>
      <c r="I475" s="4">
        <v>5.4</v>
      </c>
      <c r="J475" s="4">
        <v>18.100000000000001</v>
      </c>
    </row>
    <row r="476" spans="1:10" x14ac:dyDescent="0.35">
      <c r="A476" s="3" t="s">
        <v>986</v>
      </c>
      <c r="B476" s="3" t="s">
        <v>987</v>
      </c>
      <c r="C476" s="4" t="s">
        <v>65</v>
      </c>
      <c r="D476" s="4">
        <v>170.7</v>
      </c>
      <c r="E476" s="4">
        <v>180</v>
      </c>
      <c r="F476" s="4">
        <v>0.1</v>
      </c>
      <c r="G476" s="4">
        <v>0.1</v>
      </c>
      <c r="H476" s="4">
        <v>9.3000000000000007</v>
      </c>
      <c r="I476" s="4">
        <v>5.4</v>
      </c>
      <c r="J476" s="4">
        <v>13.1</v>
      </c>
    </row>
    <row r="477" spans="1:10" x14ac:dyDescent="0.35">
      <c r="A477" s="3" t="s">
        <v>988</v>
      </c>
      <c r="B477" s="3" t="s">
        <v>989</v>
      </c>
      <c r="C477" s="4" t="s">
        <v>65</v>
      </c>
      <c r="D477" s="4">
        <v>98.3</v>
      </c>
      <c r="E477" s="4">
        <v>103.6</v>
      </c>
      <c r="F477" s="4">
        <v>0.1</v>
      </c>
      <c r="G477" s="4">
        <v>0.1</v>
      </c>
      <c r="H477" s="4">
        <v>5.3</v>
      </c>
      <c r="I477" s="4">
        <v>5.4</v>
      </c>
      <c r="J477" s="4">
        <v>5.0999999999999996</v>
      </c>
    </row>
    <row r="478" spans="1:10" x14ac:dyDescent="0.35">
      <c r="A478" s="3" t="s">
        <v>990</v>
      </c>
      <c r="B478" s="3" t="s">
        <v>991</v>
      </c>
      <c r="C478" s="4" t="s">
        <v>60</v>
      </c>
      <c r="D478" s="4">
        <v>885.6</v>
      </c>
      <c r="E478" s="4">
        <v>962.1</v>
      </c>
      <c r="F478" s="4">
        <v>0.5</v>
      </c>
      <c r="G478" s="4">
        <v>0.6</v>
      </c>
      <c r="H478" s="4">
        <v>76.599999999999994</v>
      </c>
      <c r="I478" s="4">
        <v>8.6</v>
      </c>
      <c r="J478" s="4">
        <v>87.7</v>
      </c>
    </row>
    <row r="479" spans="1:10" x14ac:dyDescent="0.35">
      <c r="A479" s="3" t="s">
        <v>992</v>
      </c>
      <c r="B479" s="3" t="s">
        <v>993</v>
      </c>
      <c r="C479" s="4" t="s">
        <v>65</v>
      </c>
      <c r="D479" s="4">
        <v>20.2</v>
      </c>
      <c r="E479" s="4">
        <v>20.9</v>
      </c>
      <c r="F479" s="4">
        <v>0</v>
      </c>
      <c r="G479" s="4">
        <v>0</v>
      </c>
      <c r="H479" s="4">
        <v>0.7</v>
      </c>
      <c r="I479" s="4">
        <v>3.5</v>
      </c>
      <c r="J479" s="4">
        <v>2.2999999999999998</v>
      </c>
    </row>
    <row r="480" spans="1:10" x14ac:dyDescent="0.35">
      <c r="A480" s="3" t="s">
        <v>994</v>
      </c>
      <c r="B480" s="3" t="s">
        <v>995</v>
      </c>
      <c r="C480" s="4" t="s">
        <v>65</v>
      </c>
      <c r="D480" s="4">
        <v>459.6</v>
      </c>
      <c r="E480" s="4">
        <v>485.5</v>
      </c>
      <c r="F480" s="4">
        <v>0.3</v>
      </c>
      <c r="G480" s="4">
        <v>0.3</v>
      </c>
      <c r="H480" s="4">
        <v>25.9</v>
      </c>
      <c r="I480" s="4">
        <v>5.6</v>
      </c>
      <c r="J480" s="4">
        <v>44.9</v>
      </c>
    </row>
    <row r="481" spans="1:10" x14ac:dyDescent="0.35">
      <c r="A481" s="3" t="s">
        <v>996</v>
      </c>
      <c r="B481" s="3" t="s">
        <v>997</v>
      </c>
      <c r="C481" s="4" t="s">
        <v>65</v>
      </c>
      <c r="D481" s="4">
        <v>107.1</v>
      </c>
      <c r="E481" s="4">
        <v>117.5</v>
      </c>
      <c r="F481" s="4">
        <v>0.1</v>
      </c>
      <c r="G481" s="4">
        <v>0.1</v>
      </c>
      <c r="H481" s="4">
        <v>10.4</v>
      </c>
      <c r="I481" s="4">
        <v>9.6999999999999993</v>
      </c>
      <c r="J481" s="4">
        <v>10.199999999999999</v>
      </c>
    </row>
    <row r="482" spans="1:10" x14ac:dyDescent="0.35">
      <c r="A482" s="3" t="s">
        <v>998</v>
      </c>
      <c r="B482" s="3" t="s">
        <v>999</v>
      </c>
      <c r="C482" s="4" t="s">
        <v>65</v>
      </c>
      <c r="D482" s="4">
        <v>109.2</v>
      </c>
      <c r="E482" s="4">
        <v>115.2</v>
      </c>
      <c r="F482" s="4">
        <v>0.1</v>
      </c>
      <c r="G482" s="4">
        <v>0.1</v>
      </c>
      <c r="H482" s="4">
        <v>5.9</v>
      </c>
      <c r="I482" s="4">
        <v>5.4</v>
      </c>
      <c r="J482" s="4">
        <v>7.2</v>
      </c>
    </row>
    <row r="483" spans="1:10" x14ac:dyDescent="0.35">
      <c r="A483" s="3" t="s">
        <v>1000</v>
      </c>
      <c r="B483" s="3" t="s">
        <v>1001</v>
      </c>
      <c r="C483" s="4" t="s">
        <v>65</v>
      </c>
      <c r="D483" s="4">
        <v>122.9</v>
      </c>
      <c r="E483" s="4">
        <v>148.1</v>
      </c>
      <c r="F483" s="4">
        <v>0.1</v>
      </c>
      <c r="G483" s="4">
        <v>0.1</v>
      </c>
      <c r="H483" s="4">
        <v>25.2</v>
      </c>
      <c r="I483" s="4">
        <v>20.5</v>
      </c>
      <c r="J483" s="4">
        <v>14.8</v>
      </c>
    </row>
    <row r="484" spans="1:10" x14ac:dyDescent="0.35">
      <c r="A484" s="3" t="s">
        <v>1002</v>
      </c>
      <c r="B484" s="3" t="s">
        <v>1003</v>
      </c>
      <c r="C484" s="4" t="s">
        <v>65</v>
      </c>
      <c r="D484" s="4">
        <v>66.5</v>
      </c>
      <c r="E484" s="4">
        <v>74.900000000000006</v>
      </c>
      <c r="F484" s="4">
        <v>0</v>
      </c>
      <c r="G484" s="4">
        <v>0</v>
      </c>
      <c r="H484" s="4">
        <v>8.4</v>
      </c>
      <c r="I484" s="4">
        <v>12.7</v>
      </c>
      <c r="J484" s="4">
        <v>8.4</v>
      </c>
    </row>
    <row r="485" spans="1:10" x14ac:dyDescent="0.35">
      <c r="A485" s="3" t="s">
        <v>1004</v>
      </c>
      <c r="B485" s="3" t="s">
        <v>1005</v>
      </c>
      <c r="C485" s="4" t="s">
        <v>65</v>
      </c>
      <c r="D485" s="4">
        <v>655</v>
      </c>
      <c r="E485" s="4">
        <v>689.9</v>
      </c>
      <c r="F485" s="4">
        <v>0.4</v>
      </c>
      <c r="G485" s="4">
        <v>0.4</v>
      </c>
      <c r="H485" s="4">
        <v>34.9</v>
      </c>
      <c r="I485" s="4">
        <v>5.3</v>
      </c>
      <c r="J485" s="4">
        <v>54.4</v>
      </c>
    </row>
    <row r="486" spans="1:10" x14ac:dyDescent="0.35">
      <c r="A486" s="3" t="s">
        <v>1006</v>
      </c>
      <c r="B486" s="3" t="s">
        <v>1007</v>
      </c>
      <c r="C486" s="4" t="s">
        <v>65</v>
      </c>
      <c r="D486" s="4">
        <v>194.3</v>
      </c>
      <c r="E486" s="4">
        <v>210.9</v>
      </c>
      <c r="F486" s="4">
        <v>0.1</v>
      </c>
      <c r="G486" s="4">
        <v>0.1</v>
      </c>
      <c r="H486" s="4">
        <v>16.5</v>
      </c>
      <c r="I486" s="4">
        <v>8.5</v>
      </c>
      <c r="J486" s="4">
        <v>15</v>
      </c>
    </row>
    <row r="487" spans="1:10" x14ac:dyDescent="0.35">
      <c r="A487" s="3" t="s">
        <v>1008</v>
      </c>
      <c r="B487" s="3" t="s">
        <v>1009</v>
      </c>
      <c r="C487" s="4" t="s">
        <v>65</v>
      </c>
      <c r="D487" s="4">
        <v>73.3</v>
      </c>
      <c r="E487" s="4">
        <v>75.2</v>
      </c>
      <c r="F487" s="4">
        <v>0</v>
      </c>
      <c r="G487" s="4">
        <v>0</v>
      </c>
      <c r="H487" s="4">
        <v>2</v>
      </c>
      <c r="I487" s="4">
        <v>2.7</v>
      </c>
      <c r="J487" s="4">
        <v>6.4</v>
      </c>
    </row>
    <row r="488" spans="1:10" x14ac:dyDescent="0.35">
      <c r="A488" s="3" t="s">
        <v>1010</v>
      </c>
      <c r="B488" s="3" t="s">
        <v>1011</v>
      </c>
      <c r="C488" s="4" t="s">
        <v>60</v>
      </c>
      <c r="D488" s="4">
        <v>187.7</v>
      </c>
      <c r="E488" s="4">
        <v>201.7</v>
      </c>
      <c r="F488" s="4">
        <v>0.1</v>
      </c>
      <c r="G488" s="4">
        <v>0.1</v>
      </c>
      <c r="H488" s="4">
        <v>14</v>
      </c>
      <c r="I488" s="4">
        <v>7.5</v>
      </c>
      <c r="J488" s="4">
        <v>14.3</v>
      </c>
    </row>
    <row r="489" spans="1:10" x14ac:dyDescent="0.35">
      <c r="A489" s="3" t="s">
        <v>1012</v>
      </c>
      <c r="B489" s="3" t="s">
        <v>1013</v>
      </c>
      <c r="C489" s="4" t="s">
        <v>65</v>
      </c>
      <c r="D489" s="4">
        <v>9.5</v>
      </c>
      <c r="E489" s="4">
        <v>10.9</v>
      </c>
      <c r="F489" s="4">
        <v>0</v>
      </c>
      <c r="G489" s="4">
        <v>0</v>
      </c>
      <c r="H489" s="4">
        <v>1.5</v>
      </c>
      <c r="I489" s="4">
        <v>15.4</v>
      </c>
      <c r="J489" s="4">
        <v>0.8</v>
      </c>
    </row>
    <row r="490" spans="1:10" x14ac:dyDescent="0.35">
      <c r="A490" s="3" t="s">
        <v>1014</v>
      </c>
      <c r="B490" s="3" t="s">
        <v>1015</v>
      </c>
      <c r="C490" s="4" t="s">
        <v>65</v>
      </c>
      <c r="D490" s="4">
        <v>10.199999999999999</v>
      </c>
      <c r="E490" s="4">
        <v>11.7</v>
      </c>
      <c r="F490" s="4">
        <v>0</v>
      </c>
      <c r="G490" s="4">
        <v>0</v>
      </c>
      <c r="H490" s="4">
        <v>1.5</v>
      </c>
      <c r="I490" s="4">
        <v>14.5</v>
      </c>
      <c r="J490" s="4">
        <v>0.9</v>
      </c>
    </row>
    <row r="491" spans="1:10" x14ac:dyDescent="0.35">
      <c r="A491" s="3" t="s">
        <v>1016</v>
      </c>
      <c r="B491" s="3" t="s">
        <v>1017</v>
      </c>
      <c r="C491" s="4" t="s">
        <v>65</v>
      </c>
      <c r="D491" s="4">
        <v>168</v>
      </c>
      <c r="E491" s="4">
        <v>179.1</v>
      </c>
      <c r="F491" s="4">
        <v>0.1</v>
      </c>
      <c r="G491" s="4">
        <v>0.1</v>
      </c>
      <c r="H491" s="4">
        <v>11.1</v>
      </c>
      <c r="I491" s="4">
        <v>6.6</v>
      </c>
      <c r="J491" s="4">
        <v>12.6</v>
      </c>
    </row>
    <row r="492" spans="1:10" x14ac:dyDescent="0.35">
      <c r="A492" s="3" t="s">
        <v>1018</v>
      </c>
      <c r="B492" s="3" t="s">
        <v>1019</v>
      </c>
      <c r="C492" s="4" t="s">
        <v>60</v>
      </c>
      <c r="D492" s="4">
        <v>139.19999999999999</v>
      </c>
      <c r="E492" s="4">
        <v>154.1</v>
      </c>
      <c r="F492" s="4">
        <v>0.1</v>
      </c>
      <c r="G492" s="4">
        <v>0.1</v>
      </c>
      <c r="H492" s="4">
        <v>14.9</v>
      </c>
      <c r="I492" s="4">
        <v>10.7</v>
      </c>
      <c r="J492" s="4">
        <v>10.3</v>
      </c>
    </row>
    <row r="493" spans="1:10" x14ac:dyDescent="0.35">
      <c r="A493" s="3" t="s">
        <v>1020</v>
      </c>
      <c r="B493" s="3" t="s">
        <v>1021</v>
      </c>
      <c r="C493" s="4" t="s">
        <v>65</v>
      </c>
      <c r="D493" s="4">
        <v>37.9</v>
      </c>
      <c r="E493" s="4">
        <v>44.1</v>
      </c>
      <c r="F493" s="4">
        <v>0</v>
      </c>
      <c r="G493" s="4">
        <v>0</v>
      </c>
      <c r="H493" s="4">
        <v>6.2</v>
      </c>
      <c r="I493" s="4">
        <v>16.5</v>
      </c>
      <c r="J493" s="4">
        <v>3.1</v>
      </c>
    </row>
    <row r="494" spans="1:10" x14ac:dyDescent="0.35">
      <c r="A494" s="3" t="s">
        <v>1022</v>
      </c>
      <c r="B494" s="3" t="s">
        <v>1023</v>
      </c>
      <c r="C494" s="4" t="s">
        <v>60</v>
      </c>
      <c r="D494" s="4">
        <v>101.3</v>
      </c>
      <c r="E494" s="4">
        <v>110</v>
      </c>
      <c r="F494" s="4">
        <v>0.1</v>
      </c>
      <c r="G494" s="4">
        <v>0.1</v>
      </c>
      <c r="H494" s="4">
        <v>8.6</v>
      </c>
      <c r="I494" s="4">
        <v>8.5</v>
      </c>
      <c r="J494" s="4">
        <v>7.2</v>
      </c>
    </row>
    <row r="495" spans="1:10" x14ac:dyDescent="0.35">
      <c r="A495" s="3" t="s">
        <v>1024</v>
      </c>
      <c r="B495" s="3" t="s">
        <v>1025</v>
      </c>
      <c r="C495" s="4" t="s">
        <v>65</v>
      </c>
      <c r="D495" s="4">
        <v>33.799999999999997</v>
      </c>
      <c r="E495" s="4">
        <v>38.5</v>
      </c>
      <c r="F495" s="4">
        <v>0</v>
      </c>
      <c r="G495" s="4">
        <v>0</v>
      </c>
      <c r="H495" s="4">
        <v>4.8</v>
      </c>
      <c r="I495" s="4">
        <v>14.1</v>
      </c>
      <c r="J495" s="4">
        <v>2.7</v>
      </c>
    </row>
    <row r="496" spans="1:10" x14ac:dyDescent="0.35">
      <c r="A496" s="3" t="s">
        <v>1026</v>
      </c>
      <c r="B496" s="3" t="s">
        <v>1027</v>
      </c>
      <c r="C496" s="4" t="s">
        <v>65</v>
      </c>
      <c r="D496" s="4">
        <v>3.5</v>
      </c>
      <c r="E496" s="4">
        <v>4</v>
      </c>
      <c r="F496" s="4">
        <v>0</v>
      </c>
      <c r="G496" s="4">
        <v>0</v>
      </c>
      <c r="H496" s="4">
        <v>0.6</v>
      </c>
      <c r="I496" s="4">
        <v>16.100000000000001</v>
      </c>
      <c r="J496" s="4">
        <v>0.3</v>
      </c>
    </row>
    <row r="497" spans="1:10" x14ac:dyDescent="0.35">
      <c r="A497" s="3" t="s">
        <v>1028</v>
      </c>
      <c r="B497" s="3" t="s">
        <v>1029</v>
      </c>
      <c r="C497" s="4" t="s">
        <v>65</v>
      </c>
      <c r="D497" s="4">
        <v>19.7</v>
      </c>
      <c r="E497" s="4">
        <v>20.7</v>
      </c>
      <c r="F497" s="4">
        <v>0</v>
      </c>
      <c r="G497" s="4">
        <v>0</v>
      </c>
      <c r="H497" s="4">
        <v>1</v>
      </c>
      <c r="I497" s="4">
        <v>5.2</v>
      </c>
      <c r="J497" s="4">
        <v>1.3</v>
      </c>
    </row>
    <row r="498" spans="1:10" x14ac:dyDescent="0.35">
      <c r="A498" s="3" t="s">
        <v>1030</v>
      </c>
      <c r="B498" s="3" t="s">
        <v>1031</v>
      </c>
      <c r="C498" s="4" t="s">
        <v>65</v>
      </c>
      <c r="D498" s="4">
        <v>44.4</v>
      </c>
      <c r="E498" s="4">
        <v>46.7</v>
      </c>
      <c r="F498" s="4">
        <v>0</v>
      </c>
      <c r="G498" s="4">
        <v>0</v>
      </c>
      <c r="H498" s="4">
        <v>2.2999999999999998</v>
      </c>
      <c r="I498" s="4">
        <v>5.2</v>
      </c>
      <c r="J498" s="4">
        <v>3</v>
      </c>
    </row>
    <row r="499" spans="1:10" x14ac:dyDescent="0.35">
      <c r="A499" s="3" t="s">
        <v>28</v>
      </c>
      <c r="B499" s="3" t="s">
        <v>29</v>
      </c>
      <c r="C499" s="4" t="s">
        <v>60</v>
      </c>
      <c r="D499" s="4">
        <v>7144.9</v>
      </c>
      <c r="E499" s="4">
        <v>8245.5</v>
      </c>
      <c r="F499" s="4">
        <v>4.3</v>
      </c>
      <c r="G499" s="4">
        <v>4.9000000000000004</v>
      </c>
      <c r="H499" s="4">
        <v>1100.5999999999999</v>
      </c>
      <c r="I499" s="4">
        <v>15.4</v>
      </c>
      <c r="J499" s="4">
        <v>1211</v>
      </c>
    </row>
    <row r="500" spans="1:10" x14ac:dyDescent="0.35">
      <c r="A500" s="3" t="s">
        <v>1032</v>
      </c>
      <c r="B500" s="3" t="s">
        <v>1033</v>
      </c>
      <c r="C500" s="4" t="s">
        <v>60</v>
      </c>
      <c r="D500" s="4">
        <v>5154.8</v>
      </c>
      <c r="E500" s="4">
        <v>6019.3</v>
      </c>
      <c r="F500" s="4">
        <v>3.1</v>
      </c>
      <c r="G500" s="4">
        <v>3.6</v>
      </c>
      <c r="H500" s="4">
        <v>864.6</v>
      </c>
      <c r="I500" s="4">
        <v>16.8</v>
      </c>
      <c r="J500" s="4">
        <v>899</v>
      </c>
    </row>
    <row r="501" spans="1:10" x14ac:dyDescent="0.35">
      <c r="A501" s="3" t="s">
        <v>1034</v>
      </c>
      <c r="B501" s="3" t="s">
        <v>1035</v>
      </c>
      <c r="C501" s="4" t="s">
        <v>65</v>
      </c>
      <c r="D501" s="4">
        <v>3715.5</v>
      </c>
      <c r="E501" s="4">
        <v>4520.1000000000004</v>
      </c>
      <c r="F501" s="4">
        <v>2.2999999999999998</v>
      </c>
      <c r="G501" s="4">
        <v>2.7</v>
      </c>
      <c r="H501" s="4">
        <v>804.6</v>
      </c>
      <c r="I501" s="4">
        <v>21.7</v>
      </c>
      <c r="J501" s="4">
        <v>684.6</v>
      </c>
    </row>
    <row r="502" spans="1:10" x14ac:dyDescent="0.35">
      <c r="A502" s="3" t="s">
        <v>1036</v>
      </c>
      <c r="B502" s="3" t="s">
        <v>1037</v>
      </c>
      <c r="C502" s="4" t="s">
        <v>60</v>
      </c>
      <c r="D502" s="4">
        <v>1439.2</v>
      </c>
      <c r="E502" s="4">
        <v>1499.2</v>
      </c>
      <c r="F502" s="4">
        <v>0.9</v>
      </c>
      <c r="G502" s="4">
        <v>0.9</v>
      </c>
      <c r="H502" s="4">
        <v>60</v>
      </c>
      <c r="I502" s="4">
        <v>4.2</v>
      </c>
      <c r="J502" s="4">
        <v>214.4</v>
      </c>
    </row>
    <row r="503" spans="1:10" x14ac:dyDescent="0.35">
      <c r="A503" s="3" t="s">
        <v>1038</v>
      </c>
      <c r="B503" s="3" t="s">
        <v>1039</v>
      </c>
      <c r="C503" s="4" t="s">
        <v>65</v>
      </c>
      <c r="D503" s="4">
        <v>1361.3</v>
      </c>
      <c r="E503" s="4">
        <v>1417.8</v>
      </c>
      <c r="F503" s="4">
        <v>0.8</v>
      </c>
      <c r="G503" s="4">
        <v>0.8</v>
      </c>
      <c r="H503" s="4">
        <v>56.5</v>
      </c>
      <c r="I503" s="4">
        <v>4.0999999999999996</v>
      </c>
      <c r="J503" s="4">
        <v>202.4</v>
      </c>
    </row>
    <row r="504" spans="1:10" x14ac:dyDescent="0.35">
      <c r="A504" s="3" t="s">
        <v>1040</v>
      </c>
      <c r="B504" s="3" t="s">
        <v>1041</v>
      </c>
      <c r="C504" s="4" t="s">
        <v>65</v>
      </c>
      <c r="D504" s="4">
        <v>45.5</v>
      </c>
      <c r="E504" s="4">
        <v>47.4</v>
      </c>
      <c r="F504" s="4">
        <v>0</v>
      </c>
      <c r="G504" s="4">
        <v>0</v>
      </c>
      <c r="H504" s="4">
        <v>1.9</v>
      </c>
      <c r="I504" s="4">
        <v>4.2</v>
      </c>
      <c r="J504" s="4">
        <v>7</v>
      </c>
    </row>
    <row r="505" spans="1:10" x14ac:dyDescent="0.35">
      <c r="A505" s="3" t="s">
        <v>1042</v>
      </c>
      <c r="B505" s="3" t="s">
        <v>1043</v>
      </c>
      <c r="C505" s="4" t="s">
        <v>65</v>
      </c>
      <c r="D505" s="4">
        <v>32.4</v>
      </c>
      <c r="E505" s="4">
        <v>34</v>
      </c>
      <c r="F505" s="4">
        <v>0</v>
      </c>
      <c r="G505" s="4">
        <v>0</v>
      </c>
      <c r="H505" s="4">
        <v>1.6</v>
      </c>
      <c r="I505" s="4">
        <v>4.9000000000000004</v>
      </c>
      <c r="J505" s="4">
        <v>5</v>
      </c>
    </row>
    <row r="506" spans="1:10" x14ac:dyDescent="0.35">
      <c r="A506" s="3" t="s">
        <v>1044</v>
      </c>
      <c r="B506" s="3" t="s">
        <v>1045</v>
      </c>
      <c r="C506" s="4" t="s">
        <v>60</v>
      </c>
      <c r="D506" s="4">
        <v>194.1</v>
      </c>
      <c r="E506" s="4">
        <v>232.8</v>
      </c>
      <c r="F506" s="4">
        <v>0.1</v>
      </c>
      <c r="G506" s="4">
        <v>0.1</v>
      </c>
      <c r="H506" s="4">
        <v>38.6</v>
      </c>
      <c r="I506" s="4">
        <v>19.899999999999999</v>
      </c>
      <c r="J506" s="4">
        <v>32.9</v>
      </c>
    </row>
    <row r="507" spans="1:10" x14ac:dyDescent="0.35">
      <c r="A507" s="3" t="s">
        <v>1046</v>
      </c>
      <c r="B507" s="3" t="s">
        <v>1047</v>
      </c>
      <c r="C507" s="4" t="s">
        <v>60</v>
      </c>
      <c r="D507" s="4">
        <v>49</v>
      </c>
      <c r="E507" s="4">
        <v>60</v>
      </c>
      <c r="F507" s="4">
        <v>0</v>
      </c>
      <c r="G507" s="4">
        <v>0</v>
      </c>
      <c r="H507" s="4">
        <v>11</v>
      </c>
      <c r="I507" s="4">
        <v>22.5</v>
      </c>
      <c r="J507" s="4">
        <v>8.6</v>
      </c>
    </row>
    <row r="508" spans="1:10" x14ac:dyDescent="0.35">
      <c r="A508" s="3" t="s">
        <v>1048</v>
      </c>
      <c r="B508" s="3" t="s">
        <v>1049</v>
      </c>
      <c r="C508" s="4" t="s">
        <v>65</v>
      </c>
      <c r="D508" s="4">
        <v>45.1</v>
      </c>
      <c r="E508" s="4">
        <v>56</v>
      </c>
      <c r="F508" s="4">
        <v>0</v>
      </c>
      <c r="G508" s="4">
        <v>0</v>
      </c>
      <c r="H508" s="4">
        <v>10.8</v>
      </c>
      <c r="I508" s="4">
        <v>24</v>
      </c>
      <c r="J508" s="4">
        <v>8</v>
      </c>
    </row>
    <row r="509" spans="1:10" x14ac:dyDescent="0.35">
      <c r="A509" s="3" t="s">
        <v>1050</v>
      </c>
      <c r="B509" s="3" t="s">
        <v>1051</v>
      </c>
      <c r="C509" s="4" t="s">
        <v>65</v>
      </c>
      <c r="D509" s="4">
        <v>3.8</v>
      </c>
      <c r="E509" s="4">
        <v>4</v>
      </c>
      <c r="F509" s="4">
        <v>0</v>
      </c>
      <c r="G509" s="4">
        <v>0</v>
      </c>
      <c r="H509" s="4">
        <v>0.2</v>
      </c>
      <c r="I509" s="4">
        <v>4.9000000000000004</v>
      </c>
      <c r="J509" s="4">
        <v>0.6</v>
      </c>
    </row>
    <row r="510" spans="1:10" x14ac:dyDescent="0.35">
      <c r="A510" s="3" t="s">
        <v>1052</v>
      </c>
      <c r="B510" s="3" t="s">
        <v>1053</v>
      </c>
      <c r="C510" s="4" t="s">
        <v>60</v>
      </c>
      <c r="D510" s="4">
        <v>145.1</v>
      </c>
      <c r="E510" s="4">
        <v>172.7</v>
      </c>
      <c r="F510" s="4">
        <v>0.1</v>
      </c>
      <c r="G510" s="4">
        <v>0.1</v>
      </c>
      <c r="H510" s="4">
        <v>27.6</v>
      </c>
      <c r="I510" s="4">
        <v>19</v>
      </c>
      <c r="J510" s="4">
        <v>24.3</v>
      </c>
    </row>
    <row r="511" spans="1:10" x14ac:dyDescent="0.35">
      <c r="A511" s="3" t="s">
        <v>1054</v>
      </c>
      <c r="B511" s="3" t="s">
        <v>1055</v>
      </c>
      <c r="C511" s="4" t="s">
        <v>65</v>
      </c>
      <c r="D511" s="4">
        <v>100.7</v>
      </c>
      <c r="E511" s="4">
        <v>126.9</v>
      </c>
      <c r="F511" s="4">
        <v>0.1</v>
      </c>
      <c r="G511" s="4">
        <v>0.1</v>
      </c>
      <c r="H511" s="4">
        <v>26.3</v>
      </c>
      <c r="I511" s="4">
        <v>26.1</v>
      </c>
      <c r="J511" s="4">
        <v>18.100000000000001</v>
      </c>
    </row>
    <row r="512" spans="1:10" x14ac:dyDescent="0.35">
      <c r="A512" s="3" t="s">
        <v>1056</v>
      </c>
      <c r="B512" s="3" t="s">
        <v>1057</v>
      </c>
      <c r="C512" s="4" t="s">
        <v>65</v>
      </c>
      <c r="D512" s="4">
        <v>44.5</v>
      </c>
      <c r="E512" s="4">
        <v>45.8</v>
      </c>
      <c r="F512" s="4">
        <v>0</v>
      </c>
      <c r="G512" s="4">
        <v>0</v>
      </c>
      <c r="H512" s="4">
        <v>1.3</v>
      </c>
      <c r="I512" s="4">
        <v>3</v>
      </c>
      <c r="J512" s="4">
        <v>6.3</v>
      </c>
    </row>
    <row r="513" spans="1:10" x14ac:dyDescent="0.35">
      <c r="A513" s="3" t="s">
        <v>1058</v>
      </c>
      <c r="B513" s="3" t="s">
        <v>1059</v>
      </c>
      <c r="C513" s="4" t="s">
        <v>60</v>
      </c>
      <c r="D513" s="4">
        <v>1796.1</v>
      </c>
      <c r="E513" s="4">
        <v>1993.4</v>
      </c>
      <c r="F513" s="4">
        <v>1.1000000000000001</v>
      </c>
      <c r="G513" s="4">
        <v>1.2</v>
      </c>
      <c r="H513" s="4">
        <v>197.4</v>
      </c>
      <c r="I513" s="4">
        <v>11</v>
      </c>
      <c r="J513" s="4">
        <v>279.10000000000002</v>
      </c>
    </row>
    <row r="514" spans="1:10" x14ac:dyDescent="0.35">
      <c r="A514" s="3" t="s">
        <v>1060</v>
      </c>
      <c r="B514" s="3" t="s">
        <v>1061</v>
      </c>
      <c r="C514" s="4" t="s">
        <v>65</v>
      </c>
      <c r="D514" s="4">
        <v>134.30000000000001</v>
      </c>
      <c r="E514" s="4">
        <v>158.9</v>
      </c>
      <c r="F514" s="4">
        <v>0.1</v>
      </c>
      <c r="G514" s="4">
        <v>0.1</v>
      </c>
      <c r="H514" s="4">
        <v>24.6</v>
      </c>
      <c r="I514" s="4">
        <v>18.3</v>
      </c>
      <c r="J514" s="4">
        <v>22</v>
      </c>
    </row>
    <row r="515" spans="1:10" x14ac:dyDescent="0.35">
      <c r="A515" s="3" t="s">
        <v>1062</v>
      </c>
      <c r="B515" s="3" t="s">
        <v>1063</v>
      </c>
      <c r="C515" s="4" t="s">
        <v>60</v>
      </c>
      <c r="D515" s="4">
        <v>1661.7</v>
      </c>
      <c r="E515" s="4">
        <v>1834.5</v>
      </c>
      <c r="F515" s="4">
        <v>1</v>
      </c>
      <c r="G515" s="4">
        <v>1.1000000000000001</v>
      </c>
      <c r="H515" s="4">
        <v>172.8</v>
      </c>
      <c r="I515" s="4">
        <v>10.4</v>
      </c>
      <c r="J515" s="4">
        <v>257.10000000000002</v>
      </c>
    </row>
    <row r="516" spans="1:10" x14ac:dyDescent="0.35">
      <c r="A516" s="3" t="s">
        <v>1064</v>
      </c>
      <c r="B516" s="3" t="s">
        <v>1065</v>
      </c>
      <c r="C516" s="4" t="s">
        <v>65</v>
      </c>
      <c r="D516" s="4">
        <v>371</v>
      </c>
      <c r="E516" s="4">
        <v>396.7</v>
      </c>
      <c r="F516" s="4">
        <v>0.2</v>
      </c>
      <c r="G516" s="4">
        <v>0.2</v>
      </c>
      <c r="H516" s="4">
        <v>25.7</v>
      </c>
      <c r="I516" s="4">
        <v>6.9</v>
      </c>
      <c r="J516" s="4">
        <v>55.1</v>
      </c>
    </row>
    <row r="517" spans="1:10" x14ac:dyDescent="0.35">
      <c r="A517" s="3" t="s">
        <v>1066</v>
      </c>
      <c r="B517" s="3" t="s">
        <v>1067</v>
      </c>
      <c r="C517" s="4" t="s">
        <v>65</v>
      </c>
      <c r="D517" s="4">
        <v>764.4</v>
      </c>
      <c r="E517" s="4">
        <v>870.2</v>
      </c>
      <c r="F517" s="4">
        <v>0.5</v>
      </c>
      <c r="G517" s="4">
        <v>0.5</v>
      </c>
      <c r="H517" s="4">
        <v>105.9</v>
      </c>
      <c r="I517" s="4">
        <v>13.9</v>
      </c>
      <c r="J517" s="4">
        <v>114.6</v>
      </c>
    </row>
    <row r="518" spans="1:10" x14ac:dyDescent="0.35">
      <c r="A518" s="3" t="s">
        <v>1068</v>
      </c>
      <c r="B518" s="3" t="s">
        <v>1069</v>
      </c>
      <c r="C518" s="4" t="s">
        <v>65</v>
      </c>
      <c r="D518" s="4">
        <v>66.7</v>
      </c>
      <c r="E518" s="4">
        <v>70.3</v>
      </c>
      <c r="F518" s="4">
        <v>0</v>
      </c>
      <c r="G518" s="4">
        <v>0</v>
      </c>
      <c r="H518" s="4">
        <v>3.6</v>
      </c>
      <c r="I518" s="4">
        <v>5.4</v>
      </c>
      <c r="J518" s="4">
        <v>9.5</v>
      </c>
    </row>
    <row r="519" spans="1:10" x14ac:dyDescent="0.35">
      <c r="A519" s="3" t="s">
        <v>1070</v>
      </c>
      <c r="B519" s="3" t="s">
        <v>1071</v>
      </c>
      <c r="C519" s="4" t="s">
        <v>65</v>
      </c>
      <c r="D519" s="4">
        <v>49</v>
      </c>
      <c r="E519" s="4">
        <v>47.2</v>
      </c>
      <c r="F519" s="4">
        <v>0</v>
      </c>
      <c r="G519" s="4">
        <v>0</v>
      </c>
      <c r="H519" s="4">
        <v>-1.8</v>
      </c>
      <c r="I519" s="4">
        <v>-3.8</v>
      </c>
      <c r="J519" s="4">
        <v>8.1</v>
      </c>
    </row>
    <row r="520" spans="1:10" x14ac:dyDescent="0.35">
      <c r="A520" s="3" t="s">
        <v>1072</v>
      </c>
      <c r="B520" s="3" t="s">
        <v>1073</v>
      </c>
      <c r="C520" s="4" t="s">
        <v>65</v>
      </c>
      <c r="D520" s="4">
        <v>43.7</v>
      </c>
      <c r="E520" s="4">
        <v>42.4</v>
      </c>
      <c r="F520" s="4">
        <v>0</v>
      </c>
      <c r="G520" s="4">
        <v>0</v>
      </c>
      <c r="H520" s="4">
        <v>-1.2</v>
      </c>
      <c r="I520" s="4">
        <v>-2.8</v>
      </c>
      <c r="J520" s="4">
        <v>7.5</v>
      </c>
    </row>
    <row r="521" spans="1:10" x14ac:dyDescent="0.35">
      <c r="A521" s="3" t="s">
        <v>1074</v>
      </c>
      <c r="B521" s="3" t="s">
        <v>1075</v>
      </c>
      <c r="C521" s="4" t="s">
        <v>65</v>
      </c>
      <c r="D521" s="4">
        <v>114.8</v>
      </c>
      <c r="E521" s="4">
        <v>138.30000000000001</v>
      </c>
      <c r="F521" s="4">
        <v>0.1</v>
      </c>
      <c r="G521" s="4">
        <v>0.1</v>
      </c>
      <c r="H521" s="4">
        <v>23.5</v>
      </c>
      <c r="I521" s="4">
        <v>20.5</v>
      </c>
      <c r="J521" s="4">
        <v>26.8</v>
      </c>
    </row>
    <row r="522" spans="1:10" x14ac:dyDescent="0.35">
      <c r="A522" s="3" t="s">
        <v>1076</v>
      </c>
      <c r="B522" s="3" t="s">
        <v>1077</v>
      </c>
      <c r="C522" s="4" t="s">
        <v>65</v>
      </c>
      <c r="D522" s="4">
        <v>139.4</v>
      </c>
      <c r="E522" s="4">
        <v>150.19999999999999</v>
      </c>
      <c r="F522" s="4">
        <v>0.1</v>
      </c>
      <c r="G522" s="4">
        <v>0.1</v>
      </c>
      <c r="H522" s="4">
        <v>10.8</v>
      </c>
      <c r="I522" s="4">
        <v>7.7</v>
      </c>
      <c r="J522" s="4">
        <v>19.5</v>
      </c>
    </row>
    <row r="523" spans="1:10" x14ac:dyDescent="0.35">
      <c r="A523" s="3" t="s">
        <v>1078</v>
      </c>
      <c r="B523" s="3" t="s">
        <v>1079</v>
      </c>
      <c r="C523" s="4" t="s">
        <v>65</v>
      </c>
      <c r="D523" s="4">
        <v>112.7</v>
      </c>
      <c r="E523" s="4">
        <v>119.1</v>
      </c>
      <c r="F523" s="4">
        <v>0.1</v>
      </c>
      <c r="G523" s="4">
        <v>0.1</v>
      </c>
      <c r="H523" s="4">
        <v>6.4</v>
      </c>
      <c r="I523" s="4">
        <v>5.7</v>
      </c>
      <c r="J523" s="4">
        <v>16</v>
      </c>
    </row>
    <row r="524" spans="1:10" x14ac:dyDescent="0.35">
      <c r="A524" s="3" t="s">
        <v>30</v>
      </c>
      <c r="B524" s="3" t="s">
        <v>31</v>
      </c>
      <c r="C524" s="4" t="s">
        <v>60</v>
      </c>
      <c r="D524" s="4">
        <v>3568.4</v>
      </c>
      <c r="E524" s="4">
        <v>3579.8</v>
      </c>
      <c r="F524" s="4">
        <v>2.2000000000000002</v>
      </c>
      <c r="G524" s="4">
        <v>2.1</v>
      </c>
      <c r="H524" s="4">
        <v>11.4</v>
      </c>
      <c r="I524" s="4">
        <v>0.3</v>
      </c>
      <c r="J524" s="4">
        <v>409.5</v>
      </c>
    </row>
    <row r="525" spans="1:10" x14ac:dyDescent="0.35">
      <c r="A525" s="3" t="s">
        <v>1080</v>
      </c>
      <c r="B525" s="3" t="s">
        <v>1081</v>
      </c>
      <c r="C525" s="4" t="s">
        <v>60</v>
      </c>
      <c r="D525" s="4">
        <v>370.2</v>
      </c>
      <c r="E525" s="4">
        <v>374.5</v>
      </c>
      <c r="F525" s="4">
        <v>0.2</v>
      </c>
      <c r="G525" s="4">
        <v>0.2</v>
      </c>
      <c r="H525" s="4">
        <v>4.3</v>
      </c>
      <c r="I525" s="4">
        <v>1.1000000000000001</v>
      </c>
      <c r="J525" s="4">
        <v>27.2</v>
      </c>
    </row>
    <row r="526" spans="1:10" x14ac:dyDescent="0.35">
      <c r="A526" s="3" t="s">
        <v>1082</v>
      </c>
      <c r="B526" s="3" t="s">
        <v>1083</v>
      </c>
      <c r="C526" s="4" t="s">
        <v>60</v>
      </c>
      <c r="D526" s="4">
        <v>196.4</v>
      </c>
      <c r="E526" s="4">
        <v>199.1</v>
      </c>
      <c r="F526" s="4">
        <v>0.1</v>
      </c>
      <c r="G526" s="4">
        <v>0.1</v>
      </c>
      <c r="H526" s="4">
        <v>2.7</v>
      </c>
      <c r="I526" s="4">
        <v>1.4</v>
      </c>
      <c r="J526" s="4">
        <v>14</v>
      </c>
    </row>
    <row r="527" spans="1:10" x14ac:dyDescent="0.35">
      <c r="A527" s="3" t="s">
        <v>1084</v>
      </c>
      <c r="B527" s="3" t="s">
        <v>1085</v>
      </c>
      <c r="C527" s="4" t="s">
        <v>65</v>
      </c>
      <c r="D527" s="4">
        <v>58.5</v>
      </c>
      <c r="E527" s="4">
        <v>56.9</v>
      </c>
      <c r="F527" s="4">
        <v>0</v>
      </c>
      <c r="G527" s="4">
        <v>0</v>
      </c>
      <c r="H527" s="4">
        <v>-1.6</v>
      </c>
      <c r="I527" s="4">
        <v>-2.7</v>
      </c>
      <c r="J527" s="4">
        <v>4.4000000000000004</v>
      </c>
    </row>
    <row r="528" spans="1:10" x14ac:dyDescent="0.35">
      <c r="A528" s="3" t="s">
        <v>1086</v>
      </c>
      <c r="B528" s="3" t="s">
        <v>1087</v>
      </c>
      <c r="C528" s="4" t="s">
        <v>65</v>
      </c>
      <c r="D528" s="4">
        <v>137.9</v>
      </c>
      <c r="E528" s="4">
        <v>142.19999999999999</v>
      </c>
      <c r="F528" s="4">
        <v>0.1</v>
      </c>
      <c r="G528" s="4">
        <v>0.1</v>
      </c>
      <c r="H528" s="4">
        <v>4.3</v>
      </c>
      <c r="I528" s="4">
        <v>3.1</v>
      </c>
      <c r="J528" s="4">
        <v>9.5</v>
      </c>
    </row>
    <row r="529" spans="1:10" x14ac:dyDescent="0.35">
      <c r="A529" s="3" t="s">
        <v>1088</v>
      </c>
      <c r="B529" s="3" t="s">
        <v>1089</v>
      </c>
      <c r="C529" s="4" t="s">
        <v>65</v>
      </c>
      <c r="D529" s="4">
        <v>87.1</v>
      </c>
      <c r="E529" s="4">
        <v>90.2</v>
      </c>
      <c r="F529" s="4">
        <v>0.1</v>
      </c>
      <c r="G529" s="4">
        <v>0.1</v>
      </c>
      <c r="H529" s="4">
        <v>3.1</v>
      </c>
      <c r="I529" s="4">
        <v>3.6</v>
      </c>
      <c r="J529" s="4">
        <v>5.7</v>
      </c>
    </row>
    <row r="530" spans="1:10" x14ac:dyDescent="0.35">
      <c r="A530" s="3" t="s">
        <v>1090</v>
      </c>
      <c r="B530" s="3" t="s">
        <v>1091</v>
      </c>
      <c r="C530" s="4" t="s">
        <v>60</v>
      </c>
      <c r="D530" s="4">
        <v>86.7</v>
      </c>
      <c r="E530" s="4">
        <v>85.2</v>
      </c>
      <c r="F530" s="4">
        <v>0.1</v>
      </c>
      <c r="G530" s="4">
        <v>0.1</v>
      </c>
      <c r="H530" s="4">
        <v>-1.6</v>
      </c>
      <c r="I530" s="4">
        <v>-1.8</v>
      </c>
      <c r="J530" s="4">
        <v>7.6</v>
      </c>
    </row>
    <row r="531" spans="1:10" x14ac:dyDescent="0.35">
      <c r="A531" s="3" t="s">
        <v>1092</v>
      </c>
      <c r="B531" s="3" t="s">
        <v>1093</v>
      </c>
      <c r="C531" s="4" t="s">
        <v>65</v>
      </c>
      <c r="D531" s="4">
        <v>62.2</v>
      </c>
      <c r="E531" s="4">
        <v>59.8</v>
      </c>
      <c r="F531" s="4">
        <v>0</v>
      </c>
      <c r="G531" s="4">
        <v>0</v>
      </c>
      <c r="H531" s="4">
        <v>-2.4</v>
      </c>
      <c r="I531" s="4">
        <v>-3.9</v>
      </c>
      <c r="J531" s="4">
        <v>5.3</v>
      </c>
    </row>
    <row r="532" spans="1:10" x14ac:dyDescent="0.35">
      <c r="A532" s="3" t="s">
        <v>1094</v>
      </c>
      <c r="B532" s="3" t="s">
        <v>1095</v>
      </c>
      <c r="C532" s="4" t="s">
        <v>65</v>
      </c>
      <c r="D532" s="4">
        <v>24.5</v>
      </c>
      <c r="E532" s="4">
        <v>25.3</v>
      </c>
      <c r="F532" s="4">
        <v>0</v>
      </c>
      <c r="G532" s="4">
        <v>0</v>
      </c>
      <c r="H532" s="4">
        <v>0.8</v>
      </c>
      <c r="I532" s="4">
        <v>3.4</v>
      </c>
      <c r="J532" s="4">
        <v>2.2999999999999998</v>
      </c>
    </row>
    <row r="533" spans="1:10" x14ac:dyDescent="0.35">
      <c r="A533" s="3" t="s">
        <v>1096</v>
      </c>
      <c r="B533" s="3" t="s">
        <v>1097</v>
      </c>
      <c r="C533" s="4" t="s">
        <v>60</v>
      </c>
      <c r="D533" s="4">
        <v>351.6</v>
      </c>
      <c r="E533" s="4">
        <v>364.6</v>
      </c>
      <c r="F533" s="4">
        <v>0.2</v>
      </c>
      <c r="G533" s="4">
        <v>0.2</v>
      </c>
      <c r="H533" s="4">
        <v>12.9</v>
      </c>
      <c r="I533" s="4">
        <v>3.7</v>
      </c>
      <c r="J533" s="4">
        <v>28</v>
      </c>
    </row>
    <row r="534" spans="1:10" x14ac:dyDescent="0.35">
      <c r="A534" s="3" t="s">
        <v>1098</v>
      </c>
      <c r="B534" s="3" t="s">
        <v>1099</v>
      </c>
      <c r="C534" s="4" t="s">
        <v>65</v>
      </c>
      <c r="D534" s="4">
        <v>334.2</v>
      </c>
      <c r="E534" s="4">
        <v>346.2</v>
      </c>
      <c r="F534" s="4">
        <v>0.2</v>
      </c>
      <c r="G534" s="4">
        <v>0.2</v>
      </c>
      <c r="H534" s="4">
        <v>12</v>
      </c>
      <c r="I534" s="4">
        <v>3.6</v>
      </c>
      <c r="J534" s="4">
        <v>26.4</v>
      </c>
    </row>
    <row r="535" spans="1:10" x14ac:dyDescent="0.35">
      <c r="A535" s="3" t="s">
        <v>1100</v>
      </c>
      <c r="B535" s="3" t="s">
        <v>1101</v>
      </c>
      <c r="C535" s="4" t="s">
        <v>60</v>
      </c>
      <c r="D535" s="4">
        <v>17.399999999999999</v>
      </c>
      <c r="E535" s="4">
        <v>18.399999999999999</v>
      </c>
      <c r="F535" s="4">
        <v>0</v>
      </c>
      <c r="G535" s="4">
        <v>0</v>
      </c>
      <c r="H535" s="4">
        <v>0.9</v>
      </c>
      <c r="I535" s="4">
        <v>5.3</v>
      </c>
      <c r="J535" s="4">
        <v>1.6</v>
      </c>
    </row>
    <row r="536" spans="1:10" x14ac:dyDescent="0.35">
      <c r="A536" s="3" t="s">
        <v>1102</v>
      </c>
      <c r="B536" s="3" t="s">
        <v>1103</v>
      </c>
      <c r="C536" s="4" t="s">
        <v>65</v>
      </c>
      <c r="D536" s="4">
        <v>15</v>
      </c>
      <c r="E536" s="4">
        <v>15.6</v>
      </c>
      <c r="F536" s="4">
        <v>0</v>
      </c>
      <c r="G536" s="4">
        <v>0</v>
      </c>
      <c r="H536" s="4">
        <v>0.6</v>
      </c>
      <c r="I536" s="4">
        <v>3.7</v>
      </c>
      <c r="J536" s="4">
        <v>1.3</v>
      </c>
    </row>
    <row r="537" spans="1:10" x14ac:dyDescent="0.35">
      <c r="A537" s="3" t="s">
        <v>1104</v>
      </c>
      <c r="B537" s="3" t="s">
        <v>1105</v>
      </c>
      <c r="C537" s="4" t="s">
        <v>65</v>
      </c>
      <c r="D537" s="4">
        <v>2.4</v>
      </c>
      <c r="E537" s="4">
        <v>2.8</v>
      </c>
      <c r="F537" s="4">
        <v>0</v>
      </c>
      <c r="G537" s="4">
        <v>0</v>
      </c>
      <c r="H537" s="4">
        <v>0.4</v>
      </c>
      <c r="I537" s="4">
        <v>14.8</v>
      </c>
      <c r="J537" s="4">
        <v>0.3</v>
      </c>
    </row>
    <row r="538" spans="1:10" x14ac:dyDescent="0.35">
      <c r="A538" s="3" t="s">
        <v>1106</v>
      </c>
      <c r="B538" s="3" t="s">
        <v>1107</v>
      </c>
      <c r="C538" s="4" t="s">
        <v>60</v>
      </c>
      <c r="D538" s="4">
        <v>1213.4000000000001</v>
      </c>
      <c r="E538" s="4">
        <v>1208.0999999999999</v>
      </c>
      <c r="F538" s="4">
        <v>0.7</v>
      </c>
      <c r="G538" s="4">
        <v>0.7</v>
      </c>
      <c r="H538" s="4">
        <v>-5.3</v>
      </c>
      <c r="I538" s="4">
        <v>-0.4</v>
      </c>
      <c r="J538" s="4">
        <v>96.3</v>
      </c>
    </row>
    <row r="539" spans="1:10" x14ac:dyDescent="0.35">
      <c r="A539" s="3" t="s">
        <v>1108</v>
      </c>
      <c r="B539" s="3" t="s">
        <v>1109</v>
      </c>
      <c r="C539" s="4" t="s">
        <v>60</v>
      </c>
      <c r="D539" s="4">
        <v>395.7</v>
      </c>
      <c r="E539" s="4">
        <v>366.7</v>
      </c>
      <c r="F539" s="4">
        <v>0.2</v>
      </c>
      <c r="G539" s="4">
        <v>0.2</v>
      </c>
      <c r="H539" s="4">
        <v>-29</v>
      </c>
      <c r="I539" s="4">
        <v>-7.3</v>
      </c>
      <c r="J539" s="4">
        <v>30.9</v>
      </c>
    </row>
    <row r="540" spans="1:10" x14ac:dyDescent="0.35">
      <c r="A540" s="3" t="s">
        <v>1110</v>
      </c>
      <c r="B540" s="3" t="s">
        <v>1111</v>
      </c>
      <c r="C540" s="4" t="s">
        <v>65</v>
      </c>
      <c r="D540" s="4">
        <v>17.100000000000001</v>
      </c>
      <c r="E540" s="4">
        <v>16.8</v>
      </c>
      <c r="F540" s="4">
        <v>0</v>
      </c>
      <c r="G540" s="4">
        <v>0</v>
      </c>
      <c r="H540" s="4">
        <v>-0.4</v>
      </c>
      <c r="I540" s="4">
        <v>-2.2999999999999998</v>
      </c>
      <c r="J540" s="4">
        <v>2.2999999999999998</v>
      </c>
    </row>
    <row r="541" spans="1:10" x14ac:dyDescent="0.35">
      <c r="A541" s="3" t="s">
        <v>1112</v>
      </c>
      <c r="B541" s="3" t="s">
        <v>1113</v>
      </c>
      <c r="C541" s="4" t="s">
        <v>65</v>
      </c>
      <c r="D541" s="4">
        <v>378.5</v>
      </c>
      <c r="E541" s="4">
        <v>349.9</v>
      </c>
      <c r="F541" s="4">
        <v>0.2</v>
      </c>
      <c r="G541" s="4">
        <v>0.2</v>
      </c>
      <c r="H541" s="4">
        <v>-28.6</v>
      </c>
      <c r="I541" s="4">
        <v>-7.5</v>
      </c>
      <c r="J541" s="4">
        <v>28.6</v>
      </c>
    </row>
    <row r="542" spans="1:10" x14ac:dyDescent="0.35">
      <c r="A542" s="3" t="s">
        <v>1114</v>
      </c>
      <c r="B542" s="3" t="s">
        <v>1115</v>
      </c>
      <c r="C542" s="4" t="s">
        <v>65</v>
      </c>
      <c r="D542" s="4">
        <v>114.4</v>
      </c>
      <c r="E542" s="4">
        <v>116.1</v>
      </c>
      <c r="F542" s="4">
        <v>0.1</v>
      </c>
      <c r="G542" s="4">
        <v>0.1</v>
      </c>
      <c r="H542" s="4">
        <v>1.7</v>
      </c>
      <c r="I542" s="4">
        <v>1.5</v>
      </c>
      <c r="J542" s="4">
        <v>8.6</v>
      </c>
    </row>
    <row r="543" spans="1:10" x14ac:dyDescent="0.35">
      <c r="A543" s="3" t="s">
        <v>1116</v>
      </c>
      <c r="B543" s="3" t="s">
        <v>1117</v>
      </c>
      <c r="C543" s="4" t="s">
        <v>65</v>
      </c>
      <c r="D543" s="4">
        <v>6.9</v>
      </c>
      <c r="E543" s="4">
        <v>6.5</v>
      </c>
      <c r="F543" s="4">
        <v>0</v>
      </c>
      <c r="G543" s="4">
        <v>0</v>
      </c>
      <c r="H543" s="4">
        <v>-0.4</v>
      </c>
      <c r="I543" s="4">
        <v>-6.3</v>
      </c>
      <c r="J543" s="4">
        <v>0.7</v>
      </c>
    </row>
    <row r="544" spans="1:10" x14ac:dyDescent="0.35">
      <c r="A544" s="3" t="s">
        <v>1118</v>
      </c>
      <c r="B544" s="3" t="s">
        <v>1119</v>
      </c>
      <c r="C544" s="4" t="s">
        <v>65</v>
      </c>
      <c r="D544" s="4">
        <v>9</v>
      </c>
      <c r="E544" s="4">
        <v>8.9</v>
      </c>
      <c r="F544" s="4">
        <v>0</v>
      </c>
      <c r="G544" s="4">
        <v>0</v>
      </c>
      <c r="H544" s="4">
        <v>-0.1</v>
      </c>
      <c r="I544" s="4">
        <v>-1.4</v>
      </c>
      <c r="J544" s="4">
        <v>0.9</v>
      </c>
    </row>
    <row r="545" spans="1:10" x14ac:dyDescent="0.35">
      <c r="A545" s="3" t="s">
        <v>1120</v>
      </c>
      <c r="B545" s="3" t="s">
        <v>1121</v>
      </c>
      <c r="C545" s="4" t="s">
        <v>60</v>
      </c>
      <c r="D545" s="4">
        <v>687.4</v>
      </c>
      <c r="E545" s="4">
        <v>710</v>
      </c>
      <c r="F545" s="4">
        <v>0.4</v>
      </c>
      <c r="G545" s="4">
        <v>0.4</v>
      </c>
      <c r="H545" s="4">
        <v>22.6</v>
      </c>
      <c r="I545" s="4">
        <v>3.3</v>
      </c>
      <c r="J545" s="4">
        <v>55.3</v>
      </c>
    </row>
    <row r="546" spans="1:10" x14ac:dyDescent="0.35">
      <c r="A546" s="3" t="s">
        <v>1122</v>
      </c>
      <c r="B546" s="3" t="s">
        <v>1123</v>
      </c>
      <c r="C546" s="4" t="s">
        <v>65</v>
      </c>
      <c r="D546" s="4">
        <v>684</v>
      </c>
      <c r="E546" s="4">
        <v>706.5</v>
      </c>
      <c r="F546" s="4">
        <v>0.4</v>
      </c>
      <c r="G546" s="4">
        <v>0.4</v>
      </c>
      <c r="H546" s="4">
        <v>22.5</v>
      </c>
      <c r="I546" s="4">
        <v>3.3</v>
      </c>
      <c r="J546" s="4">
        <v>55</v>
      </c>
    </row>
    <row r="547" spans="1:10" x14ac:dyDescent="0.35">
      <c r="A547" s="3" t="s">
        <v>1124</v>
      </c>
      <c r="B547" s="3" t="s">
        <v>1125</v>
      </c>
      <c r="C547" s="4" t="s">
        <v>65</v>
      </c>
      <c r="D547" s="4">
        <v>3.4</v>
      </c>
      <c r="E547" s="4">
        <v>3.5</v>
      </c>
      <c r="F547" s="4">
        <v>0</v>
      </c>
      <c r="G547" s="4">
        <v>0</v>
      </c>
      <c r="H547" s="4">
        <v>0.1</v>
      </c>
      <c r="I547" s="4">
        <v>3.2</v>
      </c>
      <c r="J547" s="4">
        <v>0.3</v>
      </c>
    </row>
    <row r="548" spans="1:10" x14ac:dyDescent="0.35">
      <c r="A548" s="3" t="s">
        <v>1126</v>
      </c>
      <c r="B548" s="3" t="s">
        <v>1127</v>
      </c>
      <c r="C548" s="4" t="s">
        <v>60</v>
      </c>
      <c r="D548" s="4">
        <v>1633.2</v>
      </c>
      <c r="E548" s="4">
        <v>1632.7</v>
      </c>
      <c r="F548" s="4">
        <v>1</v>
      </c>
      <c r="G548" s="4">
        <v>1</v>
      </c>
      <c r="H548" s="4">
        <v>-0.5</v>
      </c>
      <c r="I548" s="4">
        <v>0</v>
      </c>
      <c r="J548" s="4">
        <v>258</v>
      </c>
    </row>
    <row r="549" spans="1:10" x14ac:dyDescent="0.35">
      <c r="A549" s="3" t="s">
        <v>1128</v>
      </c>
      <c r="B549" s="3" t="s">
        <v>1129</v>
      </c>
      <c r="C549" s="4" t="s">
        <v>65</v>
      </c>
      <c r="D549" s="4">
        <v>11.9</v>
      </c>
      <c r="E549" s="4">
        <v>12.4</v>
      </c>
      <c r="F549" s="4">
        <v>0</v>
      </c>
      <c r="G549" s="4">
        <v>0</v>
      </c>
      <c r="H549" s="4">
        <v>0.5</v>
      </c>
      <c r="I549" s="4">
        <v>4</v>
      </c>
      <c r="J549" s="4">
        <v>1.2</v>
      </c>
    </row>
    <row r="550" spans="1:10" x14ac:dyDescent="0.35">
      <c r="A550" s="3" t="s">
        <v>1130</v>
      </c>
      <c r="B550" s="3" t="s">
        <v>1131</v>
      </c>
      <c r="C550" s="4" t="s">
        <v>65</v>
      </c>
      <c r="D550" s="4">
        <v>38.299999999999997</v>
      </c>
      <c r="E550" s="4">
        <v>40.6</v>
      </c>
      <c r="F550" s="4">
        <v>0</v>
      </c>
      <c r="G550" s="4">
        <v>0</v>
      </c>
      <c r="H550" s="4">
        <v>2.2999999999999998</v>
      </c>
      <c r="I550" s="4">
        <v>6.1</v>
      </c>
      <c r="J550" s="4">
        <v>3.8</v>
      </c>
    </row>
    <row r="551" spans="1:10" x14ac:dyDescent="0.35">
      <c r="A551" s="3" t="s">
        <v>1132</v>
      </c>
      <c r="B551" s="3" t="s">
        <v>1133</v>
      </c>
      <c r="C551" s="4" t="s">
        <v>60</v>
      </c>
      <c r="D551" s="4">
        <v>1166.7</v>
      </c>
      <c r="E551" s="4">
        <v>1151.9000000000001</v>
      </c>
      <c r="F551" s="4">
        <v>0.7</v>
      </c>
      <c r="G551" s="4">
        <v>0.7</v>
      </c>
      <c r="H551" s="4">
        <v>-14.8</v>
      </c>
      <c r="I551" s="4">
        <v>-1.3</v>
      </c>
      <c r="J551" s="4">
        <v>151.69999999999999</v>
      </c>
    </row>
    <row r="552" spans="1:10" x14ac:dyDescent="0.35">
      <c r="A552" s="3" t="s">
        <v>1134</v>
      </c>
      <c r="B552" s="3" t="s">
        <v>1135</v>
      </c>
      <c r="C552" s="4" t="s">
        <v>65</v>
      </c>
      <c r="D552" s="4">
        <v>10.8</v>
      </c>
      <c r="E552" s="4">
        <v>10.9</v>
      </c>
      <c r="F552" s="4">
        <v>0</v>
      </c>
      <c r="G552" s="4">
        <v>0</v>
      </c>
      <c r="H552" s="4">
        <v>0.1</v>
      </c>
      <c r="I552" s="4">
        <v>0.6</v>
      </c>
      <c r="J552" s="4">
        <v>1.4</v>
      </c>
    </row>
    <row r="553" spans="1:10" x14ac:dyDescent="0.35">
      <c r="A553" s="3" t="s">
        <v>1136</v>
      </c>
      <c r="B553" s="3" t="s">
        <v>1137</v>
      </c>
      <c r="C553" s="4" t="s">
        <v>65</v>
      </c>
      <c r="D553" s="4">
        <v>1155.9000000000001</v>
      </c>
      <c r="E553" s="4">
        <v>1141</v>
      </c>
      <c r="F553" s="4">
        <v>0.7</v>
      </c>
      <c r="G553" s="4">
        <v>0.7</v>
      </c>
      <c r="H553" s="4">
        <v>-14.9</v>
      </c>
      <c r="I553" s="4">
        <v>-1.3</v>
      </c>
      <c r="J553" s="4">
        <v>150.30000000000001</v>
      </c>
    </row>
    <row r="554" spans="1:10" x14ac:dyDescent="0.35">
      <c r="A554" s="3" t="s">
        <v>1138</v>
      </c>
      <c r="B554" s="3" t="s">
        <v>1139</v>
      </c>
      <c r="C554" s="4" t="s">
        <v>60</v>
      </c>
      <c r="D554" s="4">
        <v>416.3</v>
      </c>
      <c r="E554" s="4">
        <v>427.8</v>
      </c>
      <c r="F554" s="4">
        <v>0.3</v>
      </c>
      <c r="G554" s="4">
        <v>0.3</v>
      </c>
      <c r="H554" s="4">
        <v>11.5</v>
      </c>
      <c r="I554" s="4">
        <v>2.8</v>
      </c>
      <c r="J554" s="4">
        <v>101.3</v>
      </c>
    </row>
    <row r="555" spans="1:10" x14ac:dyDescent="0.35">
      <c r="A555" s="3" t="s">
        <v>1140</v>
      </c>
      <c r="B555" s="3" t="s">
        <v>1141</v>
      </c>
      <c r="C555" s="4" t="s">
        <v>65</v>
      </c>
      <c r="D555" s="4">
        <v>94.1</v>
      </c>
      <c r="E555" s="4">
        <v>98</v>
      </c>
      <c r="F555" s="4">
        <v>0.1</v>
      </c>
      <c r="G555" s="4">
        <v>0.1</v>
      </c>
      <c r="H555" s="4">
        <v>3.8</v>
      </c>
      <c r="I555" s="4">
        <v>4.0999999999999996</v>
      </c>
      <c r="J555" s="4">
        <v>21.8</v>
      </c>
    </row>
    <row r="556" spans="1:10" x14ac:dyDescent="0.35">
      <c r="A556" s="3" t="s">
        <v>1142</v>
      </c>
      <c r="B556" s="3" t="s">
        <v>1143</v>
      </c>
      <c r="C556" s="4" t="s">
        <v>65</v>
      </c>
      <c r="D556" s="4">
        <v>113.5</v>
      </c>
      <c r="E556" s="4">
        <v>120.5</v>
      </c>
      <c r="F556" s="4">
        <v>0.1</v>
      </c>
      <c r="G556" s="4">
        <v>0.1</v>
      </c>
      <c r="H556" s="4">
        <v>7</v>
      </c>
      <c r="I556" s="4">
        <v>6.2</v>
      </c>
      <c r="J556" s="4">
        <v>35</v>
      </c>
    </row>
    <row r="557" spans="1:10" x14ac:dyDescent="0.35">
      <c r="A557" s="3" t="s">
        <v>1144</v>
      </c>
      <c r="B557" s="3" t="s">
        <v>1145</v>
      </c>
      <c r="C557" s="4" t="s">
        <v>65</v>
      </c>
      <c r="D557" s="4">
        <v>51.3</v>
      </c>
      <c r="E557" s="4">
        <v>51.3</v>
      </c>
      <c r="F557" s="4">
        <v>0</v>
      </c>
      <c r="G557" s="4">
        <v>0</v>
      </c>
      <c r="H557" s="4">
        <v>0</v>
      </c>
      <c r="I557" s="4">
        <v>0</v>
      </c>
      <c r="J557" s="4">
        <v>4.7</v>
      </c>
    </row>
    <row r="558" spans="1:10" x14ac:dyDescent="0.35">
      <c r="A558" s="3" t="s">
        <v>1146</v>
      </c>
      <c r="B558" s="3" t="s">
        <v>1147</v>
      </c>
      <c r="C558" s="4" t="s">
        <v>65</v>
      </c>
      <c r="D558" s="4">
        <v>62.4</v>
      </c>
      <c r="E558" s="4">
        <v>60.1</v>
      </c>
      <c r="F558" s="4">
        <v>0</v>
      </c>
      <c r="G558" s="4">
        <v>0</v>
      </c>
      <c r="H558" s="4">
        <v>-2.2000000000000002</v>
      </c>
      <c r="I558" s="4">
        <v>-3.6</v>
      </c>
      <c r="J558" s="4">
        <v>11.2</v>
      </c>
    </row>
    <row r="559" spans="1:10" x14ac:dyDescent="0.35">
      <c r="A559" s="3" t="s">
        <v>1148</v>
      </c>
      <c r="B559" s="3" t="s">
        <v>1149</v>
      </c>
      <c r="C559" s="4" t="s">
        <v>65</v>
      </c>
      <c r="D559" s="4">
        <v>95</v>
      </c>
      <c r="E559" s="4">
        <v>97.9</v>
      </c>
      <c r="F559" s="4">
        <v>0.1</v>
      </c>
      <c r="G559" s="4">
        <v>0.1</v>
      </c>
      <c r="H559" s="4">
        <v>2.9</v>
      </c>
      <c r="I559" s="4">
        <v>3</v>
      </c>
      <c r="J559" s="4">
        <v>28.6</v>
      </c>
    </row>
    <row r="560" spans="1:10" x14ac:dyDescent="0.35">
      <c r="A560" s="3" t="s">
        <v>32</v>
      </c>
      <c r="B560" s="3" t="s">
        <v>33</v>
      </c>
      <c r="C560" s="4" t="s">
        <v>60</v>
      </c>
      <c r="D560" s="4">
        <v>12965.9</v>
      </c>
      <c r="E560" s="4">
        <v>13191.5</v>
      </c>
      <c r="F560" s="4">
        <v>7.9</v>
      </c>
      <c r="G560" s="4">
        <v>7.8</v>
      </c>
      <c r="H560" s="4">
        <v>225.6</v>
      </c>
      <c r="I560" s="4">
        <v>1.7</v>
      </c>
      <c r="J560" s="4">
        <v>2480.3000000000002</v>
      </c>
    </row>
    <row r="561" spans="1:10" x14ac:dyDescent="0.35">
      <c r="A561" s="3" t="s">
        <v>1150</v>
      </c>
      <c r="B561" s="3" t="s">
        <v>1151</v>
      </c>
      <c r="C561" s="4" t="s">
        <v>60</v>
      </c>
      <c r="D561" s="4">
        <v>1396.1</v>
      </c>
      <c r="E561" s="4">
        <v>1465.4</v>
      </c>
      <c r="F561" s="4">
        <v>0.8</v>
      </c>
      <c r="G561" s="4">
        <v>0.9</v>
      </c>
      <c r="H561" s="4">
        <v>69.3</v>
      </c>
      <c r="I561" s="4">
        <v>5</v>
      </c>
      <c r="J561" s="4">
        <v>210.9</v>
      </c>
    </row>
    <row r="562" spans="1:10" x14ac:dyDescent="0.35">
      <c r="A562" s="3" t="s">
        <v>1152</v>
      </c>
      <c r="B562" s="3" t="s">
        <v>1153</v>
      </c>
      <c r="C562" s="4" t="s">
        <v>65</v>
      </c>
      <c r="D562" s="4">
        <v>174.4</v>
      </c>
      <c r="E562" s="4">
        <v>183.6</v>
      </c>
      <c r="F562" s="4">
        <v>0.1</v>
      </c>
      <c r="G562" s="4">
        <v>0.1</v>
      </c>
      <c r="H562" s="4">
        <v>9.1999999999999993</v>
      </c>
      <c r="I562" s="4">
        <v>5.3</v>
      </c>
      <c r="J562" s="4">
        <v>22</v>
      </c>
    </row>
    <row r="563" spans="1:10" x14ac:dyDescent="0.35">
      <c r="A563" s="3" t="s">
        <v>1154</v>
      </c>
      <c r="B563" s="3" t="s">
        <v>1155</v>
      </c>
      <c r="C563" s="4" t="s">
        <v>65</v>
      </c>
      <c r="D563" s="4">
        <v>1221.7</v>
      </c>
      <c r="E563" s="4">
        <v>1281.8</v>
      </c>
      <c r="F563" s="4">
        <v>0.7</v>
      </c>
      <c r="G563" s="4">
        <v>0.8</v>
      </c>
      <c r="H563" s="4">
        <v>60</v>
      </c>
      <c r="I563" s="4">
        <v>4.9000000000000004</v>
      </c>
      <c r="J563" s="4">
        <v>188.9</v>
      </c>
    </row>
    <row r="564" spans="1:10" x14ac:dyDescent="0.35">
      <c r="A564" s="3" t="s">
        <v>1156</v>
      </c>
      <c r="B564" s="3" t="s">
        <v>1157</v>
      </c>
      <c r="C564" s="4" t="s">
        <v>60</v>
      </c>
      <c r="D564" s="4">
        <v>3661.1</v>
      </c>
      <c r="E564" s="4">
        <v>3791.6</v>
      </c>
      <c r="F564" s="4">
        <v>2.2000000000000002</v>
      </c>
      <c r="G564" s="4">
        <v>2.2000000000000002</v>
      </c>
      <c r="H564" s="4">
        <v>130.5</v>
      </c>
      <c r="I564" s="4">
        <v>3.6</v>
      </c>
      <c r="J564" s="4">
        <v>596.4</v>
      </c>
    </row>
    <row r="565" spans="1:10" x14ac:dyDescent="0.35">
      <c r="A565" s="3" t="s">
        <v>1158</v>
      </c>
      <c r="B565" s="3" t="s">
        <v>1159</v>
      </c>
      <c r="C565" s="4" t="s">
        <v>60</v>
      </c>
      <c r="D565" s="4">
        <v>2729.3</v>
      </c>
      <c r="E565" s="4">
        <v>2904.5</v>
      </c>
      <c r="F565" s="4">
        <v>1.7</v>
      </c>
      <c r="G565" s="4">
        <v>1.7</v>
      </c>
      <c r="H565" s="4">
        <v>175.3</v>
      </c>
      <c r="I565" s="4">
        <v>6.4</v>
      </c>
      <c r="J565" s="4">
        <v>439.3</v>
      </c>
    </row>
    <row r="566" spans="1:10" x14ac:dyDescent="0.35">
      <c r="A566" s="3" t="s">
        <v>1160</v>
      </c>
      <c r="B566" s="3" t="s">
        <v>1161</v>
      </c>
      <c r="C566" s="4" t="s">
        <v>65</v>
      </c>
      <c r="D566" s="4">
        <v>742</v>
      </c>
      <c r="E566" s="4">
        <v>640.4</v>
      </c>
      <c r="F566" s="4">
        <v>0.5</v>
      </c>
      <c r="G566" s="4">
        <v>0.4</v>
      </c>
      <c r="H566" s="4">
        <v>-101.6</v>
      </c>
      <c r="I566" s="4">
        <v>-13.7</v>
      </c>
      <c r="J566" s="4">
        <v>93.3</v>
      </c>
    </row>
    <row r="567" spans="1:10" x14ac:dyDescent="0.35">
      <c r="A567" s="3" t="s">
        <v>1162</v>
      </c>
      <c r="B567" s="3" t="s">
        <v>1163</v>
      </c>
      <c r="C567" s="4" t="s">
        <v>65</v>
      </c>
      <c r="D567" s="4">
        <v>434.5</v>
      </c>
      <c r="E567" s="4">
        <v>443.4</v>
      </c>
      <c r="F567" s="4">
        <v>0.3</v>
      </c>
      <c r="G567" s="4">
        <v>0.3</v>
      </c>
      <c r="H567" s="4">
        <v>8.9</v>
      </c>
      <c r="I567" s="4">
        <v>2.1</v>
      </c>
      <c r="J567" s="4">
        <v>66.599999999999994</v>
      </c>
    </row>
    <row r="568" spans="1:10" x14ac:dyDescent="0.35">
      <c r="A568" s="3" t="s">
        <v>1164</v>
      </c>
      <c r="B568" s="3" t="s">
        <v>1165</v>
      </c>
      <c r="C568" s="4" t="s">
        <v>65</v>
      </c>
      <c r="D568" s="4">
        <v>34</v>
      </c>
      <c r="E568" s="4">
        <v>32.1</v>
      </c>
      <c r="F568" s="4">
        <v>0</v>
      </c>
      <c r="G568" s="4">
        <v>0</v>
      </c>
      <c r="H568" s="4">
        <v>-1.9</v>
      </c>
      <c r="I568" s="4">
        <v>-5.5</v>
      </c>
      <c r="J568" s="4">
        <v>4.8</v>
      </c>
    </row>
    <row r="569" spans="1:10" x14ac:dyDescent="0.35">
      <c r="A569" s="3" t="s">
        <v>1166</v>
      </c>
      <c r="B569" s="3" t="s">
        <v>1167</v>
      </c>
      <c r="C569" s="4" t="s">
        <v>65</v>
      </c>
      <c r="D569" s="4">
        <v>1361.2</v>
      </c>
      <c r="E569" s="4">
        <v>1638.9</v>
      </c>
      <c r="F569" s="4">
        <v>0.8</v>
      </c>
      <c r="G569" s="4">
        <v>1</v>
      </c>
      <c r="H569" s="4">
        <v>277.60000000000002</v>
      </c>
      <c r="I569" s="4">
        <v>20.399999999999999</v>
      </c>
      <c r="J569" s="4">
        <v>252.4</v>
      </c>
    </row>
    <row r="570" spans="1:10" x14ac:dyDescent="0.35">
      <c r="A570" s="3" t="s">
        <v>1168</v>
      </c>
      <c r="B570" s="3" t="s">
        <v>1169</v>
      </c>
      <c r="C570" s="4" t="s">
        <v>65</v>
      </c>
      <c r="D570" s="4">
        <v>137.4</v>
      </c>
      <c r="E570" s="4">
        <v>128.9</v>
      </c>
      <c r="F570" s="4">
        <v>0.1</v>
      </c>
      <c r="G570" s="4">
        <v>0.1</v>
      </c>
      <c r="H570" s="4">
        <v>-8.4</v>
      </c>
      <c r="I570" s="4">
        <v>-6.1</v>
      </c>
      <c r="J570" s="4">
        <v>19.100000000000001</v>
      </c>
    </row>
    <row r="571" spans="1:10" x14ac:dyDescent="0.35">
      <c r="A571" s="3" t="s">
        <v>1170</v>
      </c>
      <c r="B571" s="3" t="s">
        <v>1171</v>
      </c>
      <c r="C571" s="4" t="s">
        <v>65</v>
      </c>
      <c r="D571" s="4">
        <v>20.2</v>
      </c>
      <c r="E571" s="4">
        <v>20.8</v>
      </c>
      <c r="F571" s="4">
        <v>0</v>
      </c>
      <c r="G571" s="4">
        <v>0</v>
      </c>
      <c r="H571" s="4">
        <v>0.6</v>
      </c>
      <c r="I571" s="4">
        <v>3.2</v>
      </c>
      <c r="J571" s="4">
        <v>3.1</v>
      </c>
    </row>
    <row r="572" spans="1:10" x14ac:dyDescent="0.35">
      <c r="A572" s="3" t="s">
        <v>1172</v>
      </c>
      <c r="B572" s="3" t="s">
        <v>1173</v>
      </c>
      <c r="C572" s="4" t="s">
        <v>65</v>
      </c>
      <c r="D572" s="4">
        <v>931.8</v>
      </c>
      <c r="E572" s="4">
        <v>887</v>
      </c>
      <c r="F572" s="4">
        <v>0.6</v>
      </c>
      <c r="G572" s="4">
        <v>0.5</v>
      </c>
      <c r="H572" s="4">
        <v>-44.8</v>
      </c>
      <c r="I572" s="4">
        <v>-4.8</v>
      </c>
      <c r="J572" s="4">
        <v>157.1</v>
      </c>
    </row>
    <row r="573" spans="1:10" x14ac:dyDescent="0.35">
      <c r="A573" s="3" t="s">
        <v>1174</v>
      </c>
      <c r="B573" s="3" t="s">
        <v>1175</v>
      </c>
      <c r="C573" s="4" t="s">
        <v>60</v>
      </c>
      <c r="D573" s="4">
        <v>6504.1</v>
      </c>
      <c r="E573" s="4">
        <v>6515.3</v>
      </c>
      <c r="F573" s="4">
        <v>4</v>
      </c>
      <c r="G573" s="4">
        <v>3.9</v>
      </c>
      <c r="H573" s="4">
        <v>11.2</v>
      </c>
      <c r="I573" s="4">
        <v>0.2</v>
      </c>
      <c r="J573" s="4">
        <v>1386.5</v>
      </c>
    </row>
    <row r="574" spans="1:10" x14ac:dyDescent="0.35">
      <c r="A574" s="3" t="s">
        <v>1176</v>
      </c>
      <c r="B574" s="3" t="s">
        <v>1177</v>
      </c>
      <c r="C574" s="4" t="s">
        <v>65</v>
      </c>
      <c r="D574" s="4">
        <v>641.29999999999995</v>
      </c>
      <c r="E574" s="4">
        <v>662.6</v>
      </c>
      <c r="F574" s="4">
        <v>0.4</v>
      </c>
      <c r="G574" s="4">
        <v>0.4</v>
      </c>
      <c r="H574" s="4">
        <v>21.3</v>
      </c>
      <c r="I574" s="4">
        <v>3.3</v>
      </c>
      <c r="J574" s="4">
        <v>113.5</v>
      </c>
    </row>
    <row r="575" spans="1:10" x14ac:dyDescent="0.35">
      <c r="A575" s="3" t="s">
        <v>1178</v>
      </c>
      <c r="B575" s="3" t="s">
        <v>1179</v>
      </c>
      <c r="C575" s="4" t="s">
        <v>65</v>
      </c>
      <c r="D575" s="4">
        <v>3410.1</v>
      </c>
      <c r="E575" s="4">
        <v>3460.5</v>
      </c>
      <c r="F575" s="4">
        <v>2.1</v>
      </c>
      <c r="G575" s="4">
        <v>2</v>
      </c>
      <c r="H575" s="4">
        <v>50.4</v>
      </c>
      <c r="I575" s="4">
        <v>1.5</v>
      </c>
      <c r="J575" s="4">
        <v>789.3</v>
      </c>
    </row>
    <row r="576" spans="1:10" x14ac:dyDescent="0.35">
      <c r="A576" s="3" t="s">
        <v>1180</v>
      </c>
      <c r="B576" s="3" t="s">
        <v>1181</v>
      </c>
      <c r="C576" s="4" t="s">
        <v>65</v>
      </c>
      <c r="D576" s="4">
        <v>2194.1</v>
      </c>
      <c r="E576" s="4">
        <v>2125.5</v>
      </c>
      <c r="F576" s="4">
        <v>1.3</v>
      </c>
      <c r="G576" s="4">
        <v>1.3</v>
      </c>
      <c r="H576" s="4">
        <v>-68.599999999999994</v>
      </c>
      <c r="I576" s="4">
        <v>-3.1</v>
      </c>
      <c r="J576" s="4">
        <v>440</v>
      </c>
    </row>
    <row r="577" spans="1:10" x14ac:dyDescent="0.35">
      <c r="A577" s="3" t="s">
        <v>1182</v>
      </c>
      <c r="B577" s="3" t="s">
        <v>1183</v>
      </c>
      <c r="C577" s="4" t="s">
        <v>65</v>
      </c>
      <c r="D577" s="4">
        <v>258.60000000000002</v>
      </c>
      <c r="E577" s="4">
        <v>266.60000000000002</v>
      </c>
      <c r="F577" s="4">
        <v>0.2</v>
      </c>
      <c r="G577" s="4">
        <v>0.2</v>
      </c>
      <c r="H577" s="4">
        <v>8.1</v>
      </c>
      <c r="I577" s="4">
        <v>3.1</v>
      </c>
      <c r="J577" s="4">
        <v>43.7</v>
      </c>
    </row>
    <row r="578" spans="1:10" x14ac:dyDescent="0.35">
      <c r="A578" s="3" t="s">
        <v>1184</v>
      </c>
      <c r="B578" s="3" t="s">
        <v>1185</v>
      </c>
      <c r="C578" s="4" t="s">
        <v>60</v>
      </c>
      <c r="D578" s="4">
        <v>1404.6</v>
      </c>
      <c r="E578" s="4">
        <v>1419.3</v>
      </c>
      <c r="F578" s="4">
        <v>0.9</v>
      </c>
      <c r="G578" s="4">
        <v>0.8</v>
      </c>
      <c r="H578" s="4">
        <v>14.7</v>
      </c>
      <c r="I578" s="4">
        <v>1</v>
      </c>
      <c r="J578" s="4">
        <v>286.60000000000002</v>
      </c>
    </row>
    <row r="579" spans="1:10" x14ac:dyDescent="0.35">
      <c r="A579" s="3" t="s">
        <v>1186</v>
      </c>
      <c r="B579" s="3" t="s">
        <v>1187</v>
      </c>
      <c r="C579" s="4" t="s">
        <v>65</v>
      </c>
      <c r="D579" s="4">
        <v>459.2</v>
      </c>
      <c r="E579" s="4">
        <v>478.4</v>
      </c>
      <c r="F579" s="4">
        <v>0.3</v>
      </c>
      <c r="G579" s="4">
        <v>0.3</v>
      </c>
      <c r="H579" s="4">
        <v>19.2</v>
      </c>
      <c r="I579" s="4">
        <v>4.2</v>
      </c>
      <c r="J579" s="4">
        <v>89.1</v>
      </c>
    </row>
    <row r="580" spans="1:10" x14ac:dyDescent="0.35">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35">
      <c r="A581" s="3" t="s">
        <v>1190</v>
      </c>
      <c r="B581" s="3" t="s">
        <v>1191</v>
      </c>
      <c r="C581" s="4" t="s">
        <v>65</v>
      </c>
      <c r="D581" s="4">
        <v>412.8</v>
      </c>
      <c r="E581" s="4">
        <v>414.9</v>
      </c>
      <c r="F581" s="4">
        <v>0.3</v>
      </c>
      <c r="G581" s="4">
        <v>0.2</v>
      </c>
      <c r="H581" s="4">
        <v>2</v>
      </c>
      <c r="I581" s="4">
        <v>0.5</v>
      </c>
      <c r="J581" s="4">
        <v>104.2</v>
      </c>
    </row>
    <row r="582" spans="1:10" x14ac:dyDescent="0.35">
      <c r="A582" s="3" t="s">
        <v>1192</v>
      </c>
      <c r="B582" s="3" t="s">
        <v>1193</v>
      </c>
      <c r="C582" s="4" t="s">
        <v>65</v>
      </c>
      <c r="D582" s="4">
        <v>85.4</v>
      </c>
      <c r="E582" s="4">
        <v>89.1</v>
      </c>
      <c r="F582" s="4">
        <v>0.1</v>
      </c>
      <c r="G582" s="4">
        <v>0.1</v>
      </c>
      <c r="H582" s="4">
        <v>3.7</v>
      </c>
      <c r="I582" s="4">
        <v>4.3</v>
      </c>
      <c r="J582" s="4">
        <v>18.3</v>
      </c>
    </row>
    <row r="583" spans="1:10" x14ac:dyDescent="0.35">
      <c r="A583" s="3" t="s">
        <v>34</v>
      </c>
      <c r="B583" s="3" t="s">
        <v>35</v>
      </c>
      <c r="C583" s="4" t="s">
        <v>60</v>
      </c>
      <c r="D583" s="4">
        <v>5501.2</v>
      </c>
      <c r="E583" s="4">
        <v>5594.1</v>
      </c>
      <c r="F583" s="4">
        <v>3.3</v>
      </c>
      <c r="G583" s="4">
        <v>3.3</v>
      </c>
      <c r="H583" s="4">
        <v>92.9</v>
      </c>
      <c r="I583" s="4">
        <v>1.7</v>
      </c>
      <c r="J583" s="4">
        <v>752.6</v>
      </c>
    </row>
    <row r="584" spans="1:10" x14ac:dyDescent="0.35">
      <c r="A584" s="3" t="s">
        <v>1194</v>
      </c>
      <c r="B584" s="3" t="s">
        <v>1195</v>
      </c>
      <c r="C584" s="4" t="s">
        <v>60</v>
      </c>
      <c r="D584" s="4">
        <v>485.8</v>
      </c>
      <c r="E584" s="4">
        <v>499.6</v>
      </c>
      <c r="F584" s="4">
        <v>0.3</v>
      </c>
      <c r="G584" s="4">
        <v>0.3</v>
      </c>
      <c r="H584" s="4">
        <v>13.8</v>
      </c>
      <c r="I584" s="4">
        <v>2.8</v>
      </c>
      <c r="J584" s="4">
        <v>54.7</v>
      </c>
    </row>
    <row r="585" spans="1:10" x14ac:dyDescent="0.35">
      <c r="A585" s="3" t="s">
        <v>1196</v>
      </c>
      <c r="B585" s="3" t="s">
        <v>1197</v>
      </c>
      <c r="C585" s="4" t="s">
        <v>65</v>
      </c>
      <c r="D585" s="4">
        <v>254.9</v>
      </c>
      <c r="E585" s="4">
        <v>262.60000000000002</v>
      </c>
      <c r="F585" s="4">
        <v>0.2</v>
      </c>
      <c r="G585" s="4">
        <v>0.2</v>
      </c>
      <c r="H585" s="4">
        <v>7.7</v>
      </c>
      <c r="I585" s="4">
        <v>3</v>
      </c>
      <c r="J585" s="4">
        <v>30.4</v>
      </c>
    </row>
    <row r="586" spans="1:10" x14ac:dyDescent="0.35">
      <c r="A586" s="3" t="s">
        <v>1198</v>
      </c>
      <c r="B586" s="3" t="s">
        <v>1199</v>
      </c>
      <c r="C586" s="4" t="s">
        <v>65</v>
      </c>
      <c r="D586" s="4">
        <v>230.9</v>
      </c>
      <c r="E586" s="4">
        <v>237</v>
      </c>
      <c r="F586" s="4">
        <v>0.1</v>
      </c>
      <c r="G586" s="4">
        <v>0.1</v>
      </c>
      <c r="H586" s="4">
        <v>6.1</v>
      </c>
      <c r="I586" s="4">
        <v>2.6</v>
      </c>
      <c r="J586" s="4">
        <v>24.3</v>
      </c>
    </row>
    <row r="587" spans="1:10" x14ac:dyDescent="0.35">
      <c r="A587" s="3" t="s">
        <v>1200</v>
      </c>
      <c r="B587" s="3" t="s">
        <v>1201</v>
      </c>
      <c r="C587" s="4" t="s">
        <v>60</v>
      </c>
      <c r="D587" s="4">
        <v>3733.8</v>
      </c>
      <c r="E587" s="4">
        <v>3768.7</v>
      </c>
      <c r="F587" s="4">
        <v>2.2999999999999998</v>
      </c>
      <c r="G587" s="4">
        <v>2.2000000000000002</v>
      </c>
      <c r="H587" s="4">
        <v>34.9</v>
      </c>
      <c r="I587" s="4">
        <v>0.9</v>
      </c>
      <c r="J587" s="4">
        <v>527.5</v>
      </c>
    </row>
    <row r="588" spans="1:10" x14ac:dyDescent="0.35">
      <c r="A588" s="3" t="s">
        <v>1202</v>
      </c>
      <c r="B588" s="3" t="s">
        <v>1203</v>
      </c>
      <c r="C588" s="4" t="s">
        <v>60</v>
      </c>
      <c r="D588" s="4">
        <v>3638.8</v>
      </c>
      <c r="E588" s="4">
        <v>3670.7</v>
      </c>
      <c r="F588" s="4">
        <v>2.2000000000000002</v>
      </c>
      <c r="G588" s="4">
        <v>2.2000000000000002</v>
      </c>
      <c r="H588" s="4">
        <v>31.9</v>
      </c>
      <c r="I588" s="4">
        <v>0.9</v>
      </c>
      <c r="J588" s="4">
        <v>514.9</v>
      </c>
    </row>
    <row r="589" spans="1:10" x14ac:dyDescent="0.35">
      <c r="A589" s="3" t="s">
        <v>1204</v>
      </c>
      <c r="B589" s="3" t="s">
        <v>1205</v>
      </c>
      <c r="C589" s="4" t="s">
        <v>65</v>
      </c>
      <c r="D589" s="4">
        <v>2382.9</v>
      </c>
      <c r="E589" s="4">
        <v>2412.8000000000002</v>
      </c>
      <c r="F589" s="4">
        <v>1.4</v>
      </c>
      <c r="G589" s="4">
        <v>1.4</v>
      </c>
      <c r="H589" s="4">
        <v>29.9</v>
      </c>
      <c r="I589" s="4">
        <v>1.3</v>
      </c>
      <c r="J589" s="4">
        <v>336.7</v>
      </c>
    </row>
    <row r="590" spans="1:10" x14ac:dyDescent="0.35">
      <c r="A590" s="3" t="s">
        <v>1206</v>
      </c>
      <c r="B590" s="3" t="s">
        <v>1207</v>
      </c>
      <c r="C590" s="4" t="s">
        <v>65</v>
      </c>
      <c r="D590" s="4">
        <v>1238.8</v>
      </c>
      <c r="E590" s="4">
        <v>1240.4000000000001</v>
      </c>
      <c r="F590" s="4">
        <v>0.8</v>
      </c>
      <c r="G590" s="4">
        <v>0.7</v>
      </c>
      <c r="H590" s="4">
        <v>1.6</v>
      </c>
      <c r="I590" s="4">
        <v>0.1</v>
      </c>
      <c r="J590" s="4">
        <v>175.7</v>
      </c>
    </row>
    <row r="591" spans="1:10" x14ac:dyDescent="0.35">
      <c r="A591" s="3" t="s">
        <v>1208</v>
      </c>
      <c r="B591" s="3" t="s">
        <v>1209</v>
      </c>
      <c r="C591" s="4" t="s">
        <v>65</v>
      </c>
      <c r="D591" s="4">
        <v>17.100000000000001</v>
      </c>
      <c r="E591" s="4">
        <v>17.5</v>
      </c>
      <c r="F591" s="4">
        <v>0</v>
      </c>
      <c r="G591" s="4">
        <v>0</v>
      </c>
      <c r="H591" s="4">
        <v>0.4</v>
      </c>
      <c r="I591" s="4">
        <v>2.5</v>
      </c>
      <c r="J591" s="4">
        <v>2.5</v>
      </c>
    </row>
    <row r="592" spans="1:10" x14ac:dyDescent="0.35">
      <c r="A592" s="3" t="s">
        <v>1210</v>
      </c>
      <c r="B592" s="3" t="s">
        <v>1211</v>
      </c>
      <c r="C592" s="4" t="s">
        <v>65</v>
      </c>
      <c r="D592" s="4">
        <v>95</v>
      </c>
      <c r="E592" s="4">
        <v>98</v>
      </c>
      <c r="F592" s="4">
        <v>0.1</v>
      </c>
      <c r="G592" s="4">
        <v>0.1</v>
      </c>
      <c r="H592" s="4">
        <v>3</v>
      </c>
      <c r="I592" s="4">
        <v>3.1</v>
      </c>
      <c r="J592" s="4">
        <v>12.6</v>
      </c>
    </row>
    <row r="593" spans="1:10" x14ac:dyDescent="0.35">
      <c r="A593" s="3" t="s">
        <v>1212</v>
      </c>
      <c r="B593" s="3" t="s">
        <v>1213</v>
      </c>
      <c r="C593" s="4" t="s">
        <v>60</v>
      </c>
      <c r="D593" s="4">
        <v>1281.5999999999999</v>
      </c>
      <c r="E593" s="4">
        <v>1325.8</v>
      </c>
      <c r="F593" s="4">
        <v>0.8</v>
      </c>
      <c r="G593" s="4">
        <v>0.8</v>
      </c>
      <c r="H593" s="4">
        <v>44.2</v>
      </c>
      <c r="I593" s="4">
        <v>3.5</v>
      </c>
      <c r="J593" s="4">
        <v>170.3</v>
      </c>
    </row>
    <row r="594" spans="1:10" x14ac:dyDescent="0.35">
      <c r="A594" s="3" t="s">
        <v>1214</v>
      </c>
      <c r="B594" s="3" t="s">
        <v>1215</v>
      </c>
      <c r="C594" s="4" t="s">
        <v>65</v>
      </c>
      <c r="D594" s="4">
        <v>1176.0999999999999</v>
      </c>
      <c r="E594" s="4">
        <v>1217.9000000000001</v>
      </c>
      <c r="F594" s="4">
        <v>0.7</v>
      </c>
      <c r="G594" s="4">
        <v>0.7</v>
      </c>
      <c r="H594" s="4">
        <v>41.7</v>
      </c>
      <c r="I594" s="4">
        <v>3.5</v>
      </c>
      <c r="J594" s="4">
        <v>156.6</v>
      </c>
    </row>
    <row r="595" spans="1:10" x14ac:dyDescent="0.35">
      <c r="A595" s="3" t="s">
        <v>1216</v>
      </c>
      <c r="B595" s="3" t="s">
        <v>1217</v>
      </c>
      <c r="C595" s="4" t="s">
        <v>65</v>
      </c>
      <c r="D595" s="4">
        <v>23.2</v>
      </c>
      <c r="E595" s="4">
        <v>23.7</v>
      </c>
      <c r="F595" s="4">
        <v>0</v>
      </c>
      <c r="G595" s="4">
        <v>0</v>
      </c>
      <c r="H595" s="4">
        <v>0.5</v>
      </c>
      <c r="I595" s="4">
        <v>2</v>
      </c>
      <c r="J595" s="4">
        <v>3</v>
      </c>
    </row>
    <row r="596" spans="1:10" x14ac:dyDescent="0.35">
      <c r="A596" s="3" t="s">
        <v>1218</v>
      </c>
      <c r="B596" s="3" t="s">
        <v>1219</v>
      </c>
      <c r="C596" s="4" t="s">
        <v>65</v>
      </c>
      <c r="D596" s="4">
        <v>66</v>
      </c>
      <c r="E596" s="4">
        <v>67.599999999999994</v>
      </c>
      <c r="F596" s="4">
        <v>0</v>
      </c>
      <c r="G596" s="4">
        <v>0</v>
      </c>
      <c r="H596" s="4">
        <v>1.7</v>
      </c>
      <c r="I596" s="4">
        <v>2.5</v>
      </c>
      <c r="J596" s="4">
        <v>8.6</v>
      </c>
    </row>
    <row r="597" spans="1:10" x14ac:dyDescent="0.35">
      <c r="A597" s="3" t="s">
        <v>1220</v>
      </c>
      <c r="B597" s="3" t="s">
        <v>1221</v>
      </c>
      <c r="C597" s="4" t="s">
        <v>65</v>
      </c>
      <c r="D597" s="4">
        <v>16.3</v>
      </c>
      <c r="E597" s="4">
        <v>16.600000000000001</v>
      </c>
      <c r="F597" s="4">
        <v>0</v>
      </c>
      <c r="G597" s="4">
        <v>0</v>
      </c>
      <c r="H597" s="4">
        <v>0.4</v>
      </c>
      <c r="I597" s="4">
        <v>2.2000000000000002</v>
      </c>
      <c r="J597" s="4">
        <v>2.1</v>
      </c>
    </row>
    <row r="598" spans="1:10" x14ac:dyDescent="0.35">
      <c r="A598" s="3" t="s">
        <v>36</v>
      </c>
      <c r="B598" s="3" t="s">
        <v>37</v>
      </c>
      <c r="C598" s="4" t="s">
        <v>60</v>
      </c>
      <c r="D598" s="4">
        <v>4115.8999999999996</v>
      </c>
      <c r="E598" s="4">
        <v>4365.2</v>
      </c>
      <c r="F598" s="4">
        <v>2.5</v>
      </c>
      <c r="G598" s="4">
        <v>2.6</v>
      </c>
      <c r="H598" s="4">
        <v>249.3</v>
      </c>
      <c r="I598" s="4">
        <v>6.1</v>
      </c>
      <c r="J598" s="4">
        <v>752.7</v>
      </c>
    </row>
    <row r="599" spans="1:10" x14ac:dyDescent="0.35">
      <c r="A599" s="3" t="s">
        <v>1222</v>
      </c>
      <c r="B599" s="3" t="s">
        <v>1223</v>
      </c>
      <c r="C599" s="4" t="s">
        <v>60</v>
      </c>
      <c r="D599" s="4">
        <v>303.2</v>
      </c>
      <c r="E599" s="4">
        <v>326.10000000000002</v>
      </c>
      <c r="F599" s="4">
        <v>0.2</v>
      </c>
      <c r="G599" s="4">
        <v>0.2</v>
      </c>
      <c r="H599" s="4">
        <v>22.9</v>
      </c>
      <c r="I599" s="4">
        <v>7.5</v>
      </c>
      <c r="J599" s="4">
        <v>36</v>
      </c>
    </row>
    <row r="600" spans="1:10" x14ac:dyDescent="0.35">
      <c r="A600" s="3" t="s">
        <v>1224</v>
      </c>
      <c r="B600" s="3" t="s">
        <v>1225</v>
      </c>
      <c r="C600" s="4" t="s">
        <v>60</v>
      </c>
      <c r="D600" s="4">
        <v>144.19999999999999</v>
      </c>
      <c r="E600" s="4">
        <v>154</v>
      </c>
      <c r="F600" s="4">
        <v>0.1</v>
      </c>
      <c r="G600" s="4">
        <v>0.1</v>
      </c>
      <c r="H600" s="4">
        <v>9.6999999999999993</v>
      </c>
      <c r="I600" s="4">
        <v>6.7</v>
      </c>
      <c r="J600" s="4">
        <v>17</v>
      </c>
    </row>
    <row r="601" spans="1:10" x14ac:dyDescent="0.35">
      <c r="A601" s="3" t="s">
        <v>1226</v>
      </c>
      <c r="B601" s="3" t="s">
        <v>1227</v>
      </c>
      <c r="C601" s="4" t="s">
        <v>65</v>
      </c>
      <c r="D601" s="4">
        <v>29.7</v>
      </c>
      <c r="E601" s="4">
        <v>30.6</v>
      </c>
      <c r="F601" s="4">
        <v>0</v>
      </c>
      <c r="G601" s="4">
        <v>0</v>
      </c>
      <c r="H601" s="4">
        <v>1</v>
      </c>
      <c r="I601" s="4">
        <v>3.2</v>
      </c>
      <c r="J601" s="4">
        <v>3.3</v>
      </c>
    </row>
    <row r="602" spans="1:10" x14ac:dyDescent="0.35">
      <c r="A602" s="3" t="s">
        <v>1228</v>
      </c>
      <c r="B602" s="3" t="s">
        <v>1229</v>
      </c>
      <c r="C602" s="4" t="s">
        <v>65</v>
      </c>
      <c r="D602" s="4">
        <v>114.6</v>
      </c>
      <c r="E602" s="4">
        <v>123.3</v>
      </c>
      <c r="F602" s="4">
        <v>0.1</v>
      </c>
      <c r="G602" s="4">
        <v>0.1</v>
      </c>
      <c r="H602" s="4">
        <v>8.8000000000000007</v>
      </c>
      <c r="I602" s="4">
        <v>7.7</v>
      </c>
      <c r="J602" s="4">
        <v>13.6</v>
      </c>
    </row>
    <row r="603" spans="1:10" x14ac:dyDescent="0.35">
      <c r="A603" s="3" t="s">
        <v>1230</v>
      </c>
      <c r="B603" s="3" t="s">
        <v>1231</v>
      </c>
      <c r="C603" s="4" t="s">
        <v>65</v>
      </c>
      <c r="D603" s="4">
        <v>159</v>
      </c>
      <c r="E603" s="4">
        <v>172.1</v>
      </c>
      <c r="F603" s="4">
        <v>0.1</v>
      </c>
      <c r="G603" s="4">
        <v>0.1</v>
      </c>
      <c r="H603" s="4">
        <v>13.1</v>
      </c>
      <c r="I603" s="4">
        <v>8.3000000000000007</v>
      </c>
      <c r="J603" s="4">
        <v>19.100000000000001</v>
      </c>
    </row>
    <row r="604" spans="1:10" x14ac:dyDescent="0.35">
      <c r="A604" s="3" t="s">
        <v>1232</v>
      </c>
      <c r="B604" s="3" t="s">
        <v>1233</v>
      </c>
      <c r="C604" s="4" t="s">
        <v>60</v>
      </c>
      <c r="D604" s="4">
        <v>393.1</v>
      </c>
      <c r="E604" s="4">
        <v>454.3</v>
      </c>
      <c r="F604" s="4">
        <v>0.2</v>
      </c>
      <c r="G604" s="4">
        <v>0.3</v>
      </c>
      <c r="H604" s="4">
        <v>61.2</v>
      </c>
      <c r="I604" s="4">
        <v>15.6</v>
      </c>
      <c r="J604" s="4">
        <v>79.900000000000006</v>
      </c>
    </row>
    <row r="605" spans="1:10" x14ac:dyDescent="0.35">
      <c r="A605" s="3" t="s">
        <v>1234</v>
      </c>
      <c r="B605" s="3" t="s">
        <v>1235</v>
      </c>
      <c r="C605" s="4" t="s">
        <v>65</v>
      </c>
      <c r="D605" s="4">
        <v>54.1</v>
      </c>
      <c r="E605" s="4">
        <v>62.8</v>
      </c>
      <c r="F605" s="4">
        <v>0</v>
      </c>
      <c r="G605" s="4">
        <v>0</v>
      </c>
      <c r="H605" s="4">
        <v>8.6999999999999993</v>
      </c>
      <c r="I605" s="4">
        <v>16</v>
      </c>
      <c r="J605" s="4">
        <v>9</v>
      </c>
    </row>
    <row r="606" spans="1:10" x14ac:dyDescent="0.35">
      <c r="A606" s="3" t="s">
        <v>1236</v>
      </c>
      <c r="B606" s="3" t="s">
        <v>1237</v>
      </c>
      <c r="C606" s="4" t="s">
        <v>65</v>
      </c>
      <c r="D606" s="4">
        <v>339</v>
      </c>
      <c r="E606" s="4">
        <v>391.5</v>
      </c>
      <c r="F606" s="4">
        <v>0.2</v>
      </c>
      <c r="G606" s="4">
        <v>0.2</v>
      </c>
      <c r="H606" s="4">
        <v>52.5</v>
      </c>
      <c r="I606" s="4">
        <v>15.5</v>
      </c>
      <c r="J606" s="4">
        <v>70.900000000000006</v>
      </c>
    </row>
    <row r="607" spans="1:10" x14ac:dyDescent="0.35">
      <c r="A607" s="3" t="s">
        <v>1238</v>
      </c>
      <c r="B607" s="3" t="s">
        <v>1239</v>
      </c>
      <c r="C607" s="4" t="s">
        <v>60</v>
      </c>
      <c r="D607" s="4">
        <v>573.79999999999995</v>
      </c>
      <c r="E607" s="4">
        <v>591.70000000000005</v>
      </c>
      <c r="F607" s="4">
        <v>0.3</v>
      </c>
      <c r="G607" s="4">
        <v>0.3</v>
      </c>
      <c r="H607" s="4">
        <v>17.899999999999999</v>
      </c>
      <c r="I607" s="4">
        <v>3.1</v>
      </c>
      <c r="J607" s="4">
        <v>154.1</v>
      </c>
    </row>
    <row r="608" spans="1:10" x14ac:dyDescent="0.35">
      <c r="A608" s="3" t="s">
        <v>1240</v>
      </c>
      <c r="B608" s="3" t="s">
        <v>1241</v>
      </c>
      <c r="C608" s="4" t="s">
        <v>60</v>
      </c>
      <c r="D608" s="4">
        <v>97.1</v>
      </c>
      <c r="E608" s="4">
        <v>97.7</v>
      </c>
      <c r="F608" s="4">
        <v>0.1</v>
      </c>
      <c r="G608" s="4">
        <v>0.1</v>
      </c>
      <c r="H608" s="4">
        <v>0.6</v>
      </c>
      <c r="I608" s="4">
        <v>0.6</v>
      </c>
      <c r="J608" s="4">
        <v>15.5</v>
      </c>
    </row>
    <row r="609" spans="1:10" x14ac:dyDescent="0.35">
      <c r="A609" s="3" t="s">
        <v>1242</v>
      </c>
      <c r="B609" s="3" t="s">
        <v>1243</v>
      </c>
      <c r="C609" s="4" t="s">
        <v>65</v>
      </c>
      <c r="D609" s="4">
        <v>75.599999999999994</v>
      </c>
      <c r="E609" s="4">
        <v>76.400000000000006</v>
      </c>
      <c r="F609" s="4">
        <v>0</v>
      </c>
      <c r="G609" s="4">
        <v>0</v>
      </c>
      <c r="H609" s="4">
        <v>0.8</v>
      </c>
      <c r="I609" s="4">
        <v>1</v>
      </c>
      <c r="J609" s="4">
        <v>12.1</v>
      </c>
    </row>
    <row r="610" spans="1:10" x14ac:dyDescent="0.35">
      <c r="A610" s="3" t="s">
        <v>1244</v>
      </c>
      <c r="B610" s="3" t="s">
        <v>1245</v>
      </c>
      <c r="C610" s="4" t="s">
        <v>65</v>
      </c>
      <c r="D610" s="4">
        <v>8.4</v>
      </c>
      <c r="E610" s="4">
        <v>8.1</v>
      </c>
      <c r="F610" s="4">
        <v>0</v>
      </c>
      <c r="G610" s="4">
        <v>0</v>
      </c>
      <c r="H610" s="4">
        <v>-0.3</v>
      </c>
      <c r="I610" s="4">
        <v>-4</v>
      </c>
      <c r="J610" s="4">
        <v>1.3</v>
      </c>
    </row>
    <row r="611" spans="1:10" x14ac:dyDescent="0.35">
      <c r="A611" s="3" t="s">
        <v>1246</v>
      </c>
      <c r="B611" s="3" t="s">
        <v>1247</v>
      </c>
      <c r="C611" s="4" t="s">
        <v>65</v>
      </c>
      <c r="D611" s="4">
        <v>13.1</v>
      </c>
      <c r="E611" s="4">
        <v>13.2</v>
      </c>
      <c r="F611" s="4">
        <v>0</v>
      </c>
      <c r="G611" s="4">
        <v>0</v>
      </c>
      <c r="H611" s="4">
        <v>0.1</v>
      </c>
      <c r="I611" s="4">
        <v>0.8</v>
      </c>
      <c r="J611" s="4">
        <v>2.1</v>
      </c>
    </row>
    <row r="612" spans="1:10" x14ac:dyDescent="0.35">
      <c r="A612" s="3" t="s">
        <v>1248</v>
      </c>
      <c r="B612" s="3" t="s">
        <v>1249</v>
      </c>
      <c r="C612" s="4" t="s">
        <v>65</v>
      </c>
      <c r="D612" s="4">
        <v>2.1</v>
      </c>
      <c r="E612" s="4">
        <v>1.9</v>
      </c>
      <c r="F612" s="4">
        <v>0</v>
      </c>
      <c r="G612" s="4">
        <v>0</v>
      </c>
      <c r="H612" s="4">
        <v>-0.2</v>
      </c>
      <c r="I612" s="4">
        <v>-9.6</v>
      </c>
      <c r="J612" s="4">
        <v>0.5</v>
      </c>
    </row>
    <row r="613" spans="1:10" x14ac:dyDescent="0.35">
      <c r="A613" s="3" t="s">
        <v>1250</v>
      </c>
      <c r="B613" s="3" t="s">
        <v>1251</v>
      </c>
      <c r="C613" s="4" t="s">
        <v>65</v>
      </c>
      <c r="D613" s="4">
        <v>106.6</v>
      </c>
      <c r="E613" s="4">
        <v>108.3</v>
      </c>
      <c r="F613" s="4">
        <v>0.1</v>
      </c>
      <c r="G613" s="4">
        <v>0.1</v>
      </c>
      <c r="H613" s="4">
        <v>1.7</v>
      </c>
      <c r="I613" s="4">
        <v>1.6</v>
      </c>
      <c r="J613" s="4">
        <v>31.5</v>
      </c>
    </row>
    <row r="614" spans="1:10" x14ac:dyDescent="0.35">
      <c r="A614" s="3" t="s">
        <v>1252</v>
      </c>
      <c r="B614" s="3" t="s">
        <v>1253</v>
      </c>
      <c r="C614" s="4" t="s">
        <v>60</v>
      </c>
      <c r="D614" s="4">
        <v>368</v>
      </c>
      <c r="E614" s="4">
        <v>383.9</v>
      </c>
      <c r="F614" s="4">
        <v>0.2</v>
      </c>
      <c r="G614" s="4">
        <v>0.2</v>
      </c>
      <c r="H614" s="4">
        <v>15.9</v>
      </c>
      <c r="I614" s="4">
        <v>4.3</v>
      </c>
      <c r="J614" s="4">
        <v>106.6</v>
      </c>
    </row>
    <row r="615" spans="1:10" x14ac:dyDescent="0.35">
      <c r="A615" s="3" t="s">
        <v>1254</v>
      </c>
      <c r="B615" s="3" t="s">
        <v>1255</v>
      </c>
      <c r="C615" s="4" t="s">
        <v>65</v>
      </c>
      <c r="D615" s="4">
        <v>343.8</v>
      </c>
      <c r="E615" s="4">
        <v>358.1</v>
      </c>
      <c r="F615" s="4">
        <v>0.2</v>
      </c>
      <c r="G615" s="4">
        <v>0.2</v>
      </c>
      <c r="H615" s="4">
        <v>14.4</v>
      </c>
      <c r="I615" s="4">
        <v>4.2</v>
      </c>
      <c r="J615" s="4">
        <v>99.4</v>
      </c>
    </row>
    <row r="616" spans="1:10" x14ac:dyDescent="0.35">
      <c r="A616" s="3" t="s">
        <v>1256</v>
      </c>
      <c r="B616" s="3" t="s">
        <v>1257</v>
      </c>
      <c r="C616" s="4" t="s">
        <v>65</v>
      </c>
      <c r="D616" s="4">
        <v>6.1</v>
      </c>
      <c r="E616" s="4">
        <v>6.4</v>
      </c>
      <c r="F616" s="4">
        <v>0</v>
      </c>
      <c r="G616" s="4">
        <v>0</v>
      </c>
      <c r="H616" s="4">
        <v>0.3</v>
      </c>
      <c r="I616" s="4">
        <v>5</v>
      </c>
      <c r="J616" s="4">
        <v>1.8</v>
      </c>
    </row>
    <row r="617" spans="1:10" x14ac:dyDescent="0.35">
      <c r="A617" s="3" t="s">
        <v>1258</v>
      </c>
      <c r="B617" s="3" t="s">
        <v>1259</v>
      </c>
      <c r="C617" s="4" t="s">
        <v>65</v>
      </c>
      <c r="D617" s="4">
        <v>12.9</v>
      </c>
      <c r="E617" s="4">
        <v>13.8</v>
      </c>
      <c r="F617" s="4">
        <v>0</v>
      </c>
      <c r="G617" s="4">
        <v>0</v>
      </c>
      <c r="H617" s="4">
        <v>0.9</v>
      </c>
      <c r="I617" s="4">
        <v>7</v>
      </c>
      <c r="J617" s="4">
        <v>3.8</v>
      </c>
    </row>
    <row r="618" spans="1:10" x14ac:dyDescent="0.35">
      <c r="A618" s="3" t="s">
        <v>1260</v>
      </c>
      <c r="B618" s="3" t="s">
        <v>1261</v>
      </c>
      <c r="C618" s="4" t="s">
        <v>65</v>
      </c>
      <c r="D618" s="4">
        <v>5.2</v>
      </c>
      <c r="E618" s="4">
        <v>5.5</v>
      </c>
      <c r="F618" s="4">
        <v>0</v>
      </c>
      <c r="G618" s="4">
        <v>0</v>
      </c>
      <c r="H618" s="4">
        <v>0.3</v>
      </c>
      <c r="I618" s="4">
        <v>5.4</v>
      </c>
      <c r="J618" s="4">
        <v>1.5</v>
      </c>
    </row>
    <row r="619" spans="1:10" x14ac:dyDescent="0.35">
      <c r="A619" s="3" t="s">
        <v>1262</v>
      </c>
      <c r="B619" s="3" t="s">
        <v>1263</v>
      </c>
      <c r="C619" s="4" t="s">
        <v>60</v>
      </c>
      <c r="D619" s="4">
        <v>64.599999999999994</v>
      </c>
      <c r="E619" s="4">
        <v>66.599999999999994</v>
      </c>
      <c r="F619" s="4">
        <v>0</v>
      </c>
      <c r="G619" s="4">
        <v>0</v>
      </c>
      <c r="H619" s="4">
        <v>2</v>
      </c>
      <c r="I619" s="4">
        <v>3.1</v>
      </c>
      <c r="J619" s="4">
        <v>9</v>
      </c>
    </row>
    <row r="620" spans="1:10" x14ac:dyDescent="0.35">
      <c r="A620" s="3" t="s">
        <v>1264</v>
      </c>
      <c r="B620" s="3" t="s">
        <v>1265</v>
      </c>
      <c r="C620" s="4" t="s">
        <v>60</v>
      </c>
      <c r="D620" s="4">
        <v>6.9</v>
      </c>
      <c r="E620" s="4">
        <v>7.1</v>
      </c>
      <c r="F620" s="4">
        <v>0</v>
      </c>
      <c r="G620" s="4">
        <v>0</v>
      </c>
      <c r="H620" s="4">
        <v>0.1</v>
      </c>
      <c r="I620" s="4">
        <v>2.1</v>
      </c>
      <c r="J620" s="4">
        <v>1</v>
      </c>
    </row>
    <row r="621" spans="1:10" x14ac:dyDescent="0.35">
      <c r="A621" s="3" t="s">
        <v>1266</v>
      </c>
      <c r="B621" s="3" t="s">
        <v>1267</v>
      </c>
      <c r="C621" s="4" t="s">
        <v>65</v>
      </c>
      <c r="D621" s="4">
        <v>4</v>
      </c>
      <c r="E621" s="4">
        <v>4</v>
      </c>
      <c r="F621" s="4">
        <v>0</v>
      </c>
      <c r="G621" s="4">
        <v>0</v>
      </c>
      <c r="H621" s="4">
        <v>0</v>
      </c>
      <c r="I621" s="4">
        <v>0.9</v>
      </c>
      <c r="J621" s="4">
        <v>0.6</v>
      </c>
    </row>
    <row r="622" spans="1:10" x14ac:dyDescent="0.35">
      <c r="A622" s="3" t="s">
        <v>1268</v>
      </c>
      <c r="B622" s="3" t="s">
        <v>1269</v>
      </c>
      <c r="C622" s="4" t="s">
        <v>65</v>
      </c>
      <c r="D622" s="4">
        <v>3</v>
      </c>
      <c r="E622" s="4">
        <v>3.1</v>
      </c>
      <c r="F622" s="4">
        <v>0</v>
      </c>
      <c r="G622" s="4">
        <v>0</v>
      </c>
      <c r="H622" s="4">
        <v>0.1</v>
      </c>
      <c r="I622" s="4">
        <v>3.9</v>
      </c>
      <c r="J622" s="4">
        <v>0.4</v>
      </c>
    </row>
    <row r="623" spans="1:10" x14ac:dyDescent="0.35">
      <c r="A623" s="3" t="s">
        <v>1270</v>
      </c>
      <c r="B623" s="3" t="s">
        <v>1271</v>
      </c>
      <c r="C623" s="4" t="s">
        <v>65</v>
      </c>
      <c r="D623" s="4">
        <v>33.200000000000003</v>
      </c>
      <c r="E623" s="4">
        <v>34.200000000000003</v>
      </c>
      <c r="F623" s="4">
        <v>0</v>
      </c>
      <c r="G623" s="4">
        <v>0</v>
      </c>
      <c r="H623" s="4">
        <v>0.9</v>
      </c>
      <c r="I623" s="4">
        <v>2.8</v>
      </c>
      <c r="J623" s="4">
        <v>4.9000000000000004</v>
      </c>
    </row>
    <row r="624" spans="1:10" x14ac:dyDescent="0.35">
      <c r="A624" s="3" t="s">
        <v>1272</v>
      </c>
      <c r="B624" s="3" t="s">
        <v>1273</v>
      </c>
      <c r="C624" s="4" t="s">
        <v>65</v>
      </c>
      <c r="D624" s="4">
        <v>24.5</v>
      </c>
      <c r="E624" s="4">
        <v>25.4</v>
      </c>
      <c r="F624" s="4">
        <v>0</v>
      </c>
      <c r="G624" s="4">
        <v>0</v>
      </c>
      <c r="H624" s="4">
        <v>0.9</v>
      </c>
      <c r="I624" s="4">
        <v>3.7</v>
      </c>
      <c r="J624" s="4">
        <v>3</v>
      </c>
    </row>
    <row r="625" spans="1:10" x14ac:dyDescent="0.35">
      <c r="A625" s="3" t="s">
        <v>1274</v>
      </c>
      <c r="B625" s="3" t="s">
        <v>1275</v>
      </c>
      <c r="C625" s="4" t="s">
        <v>60</v>
      </c>
      <c r="D625" s="4">
        <v>913.6</v>
      </c>
      <c r="E625" s="4">
        <v>987.1</v>
      </c>
      <c r="F625" s="4">
        <v>0.6</v>
      </c>
      <c r="G625" s="4">
        <v>0.6</v>
      </c>
      <c r="H625" s="4">
        <v>73.400000000000006</v>
      </c>
      <c r="I625" s="4">
        <v>8</v>
      </c>
      <c r="J625" s="4">
        <v>130.19999999999999</v>
      </c>
    </row>
    <row r="626" spans="1:10" x14ac:dyDescent="0.35">
      <c r="A626" s="3" t="s">
        <v>1276</v>
      </c>
      <c r="B626" s="3" t="s">
        <v>1277</v>
      </c>
      <c r="C626" s="4" t="s">
        <v>60</v>
      </c>
      <c r="D626" s="4">
        <v>618.9</v>
      </c>
      <c r="E626" s="4">
        <v>666.1</v>
      </c>
      <c r="F626" s="4">
        <v>0.4</v>
      </c>
      <c r="G626" s="4">
        <v>0.4</v>
      </c>
      <c r="H626" s="4">
        <v>47.2</v>
      </c>
      <c r="I626" s="4">
        <v>7.6</v>
      </c>
      <c r="J626" s="4">
        <v>89.4</v>
      </c>
    </row>
    <row r="627" spans="1:10" x14ac:dyDescent="0.35">
      <c r="A627" s="3" t="s">
        <v>1278</v>
      </c>
      <c r="B627" s="3" t="s">
        <v>1279</v>
      </c>
      <c r="C627" s="4" t="s">
        <v>65</v>
      </c>
      <c r="D627" s="4">
        <v>63.1</v>
      </c>
      <c r="E627" s="4">
        <v>67.599999999999994</v>
      </c>
      <c r="F627" s="4">
        <v>0</v>
      </c>
      <c r="G627" s="4">
        <v>0</v>
      </c>
      <c r="H627" s="4">
        <v>4.4000000000000004</v>
      </c>
      <c r="I627" s="4">
        <v>7</v>
      </c>
      <c r="J627" s="4">
        <v>7.3</v>
      </c>
    </row>
    <row r="628" spans="1:10" x14ac:dyDescent="0.35">
      <c r="A628" s="3" t="s">
        <v>1280</v>
      </c>
      <c r="B628" s="3" t="s">
        <v>1281</v>
      </c>
      <c r="C628" s="4" t="s">
        <v>65</v>
      </c>
      <c r="D628" s="4">
        <v>555.79999999999995</v>
      </c>
      <c r="E628" s="4">
        <v>598.6</v>
      </c>
      <c r="F628" s="4">
        <v>0.3</v>
      </c>
      <c r="G628" s="4">
        <v>0.4</v>
      </c>
      <c r="H628" s="4">
        <v>42.8</v>
      </c>
      <c r="I628" s="4">
        <v>7.7</v>
      </c>
      <c r="J628" s="4">
        <v>82</v>
      </c>
    </row>
    <row r="629" spans="1:10" x14ac:dyDescent="0.35">
      <c r="A629" s="3" t="s">
        <v>1282</v>
      </c>
      <c r="B629" s="3" t="s">
        <v>1283</v>
      </c>
      <c r="C629" s="4" t="s">
        <v>60</v>
      </c>
      <c r="D629" s="4">
        <v>294.7</v>
      </c>
      <c r="E629" s="4">
        <v>321</v>
      </c>
      <c r="F629" s="4">
        <v>0.2</v>
      </c>
      <c r="G629" s="4">
        <v>0.2</v>
      </c>
      <c r="H629" s="4">
        <v>26.2</v>
      </c>
      <c r="I629" s="4">
        <v>8.9</v>
      </c>
      <c r="J629" s="4">
        <v>40.799999999999997</v>
      </c>
    </row>
    <row r="630" spans="1:10" x14ac:dyDescent="0.35">
      <c r="A630" s="3" t="s">
        <v>1284</v>
      </c>
      <c r="B630" s="3" t="s">
        <v>1285</v>
      </c>
      <c r="C630" s="4" t="s">
        <v>65</v>
      </c>
      <c r="D630" s="4">
        <v>4.5999999999999996</v>
      </c>
      <c r="E630" s="4">
        <v>4.9000000000000004</v>
      </c>
      <c r="F630" s="4">
        <v>0</v>
      </c>
      <c r="G630" s="4">
        <v>0</v>
      </c>
      <c r="H630" s="4">
        <v>0.4</v>
      </c>
      <c r="I630" s="4">
        <v>8.6</v>
      </c>
      <c r="J630" s="4">
        <v>0.8</v>
      </c>
    </row>
    <row r="631" spans="1:10" x14ac:dyDescent="0.35">
      <c r="A631" s="3" t="s">
        <v>1286</v>
      </c>
      <c r="B631" s="3" t="s">
        <v>1287</v>
      </c>
      <c r="C631" s="4" t="s">
        <v>65</v>
      </c>
      <c r="D631" s="4">
        <v>196.9</v>
      </c>
      <c r="E631" s="4">
        <v>214</v>
      </c>
      <c r="F631" s="4">
        <v>0.1</v>
      </c>
      <c r="G631" s="4">
        <v>0.1</v>
      </c>
      <c r="H631" s="4">
        <v>17.100000000000001</v>
      </c>
      <c r="I631" s="4">
        <v>8.6999999999999993</v>
      </c>
      <c r="J631" s="4">
        <v>25.5</v>
      </c>
    </row>
    <row r="632" spans="1:10" x14ac:dyDescent="0.35">
      <c r="A632" s="3" t="s">
        <v>1288</v>
      </c>
      <c r="B632" s="3" t="s">
        <v>1289</v>
      </c>
      <c r="C632" s="4" t="s">
        <v>65</v>
      </c>
      <c r="D632" s="4">
        <v>11.3</v>
      </c>
      <c r="E632" s="4">
        <v>12.6</v>
      </c>
      <c r="F632" s="4">
        <v>0</v>
      </c>
      <c r="G632" s="4">
        <v>0</v>
      </c>
      <c r="H632" s="4">
        <v>1.3</v>
      </c>
      <c r="I632" s="4">
        <v>11.2</v>
      </c>
      <c r="J632" s="4">
        <v>2.1</v>
      </c>
    </row>
    <row r="633" spans="1:10" x14ac:dyDescent="0.35">
      <c r="A633" s="3" t="s">
        <v>1290</v>
      </c>
      <c r="B633" s="3" t="s">
        <v>1291</v>
      </c>
      <c r="C633" s="4" t="s">
        <v>65</v>
      </c>
      <c r="D633" s="4">
        <v>82</v>
      </c>
      <c r="E633" s="4">
        <v>89.4</v>
      </c>
      <c r="F633" s="4">
        <v>0</v>
      </c>
      <c r="G633" s="4">
        <v>0.1</v>
      </c>
      <c r="H633" s="4">
        <v>7.5</v>
      </c>
      <c r="I633" s="4">
        <v>9.1</v>
      </c>
      <c r="J633" s="4">
        <v>12.4</v>
      </c>
    </row>
    <row r="634" spans="1:10" x14ac:dyDescent="0.35">
      <c r="A634" s="3" t="s">
        <v>1292</v>
      </c>
      <c r="B634" s="3" t="s">
        <v>1293</v>
      </c>
      <c r="C634" s="4" t="s">
        <v>60</v>
      </c>
      <c r="D634" s="4">
        <v>66.400000000000006</v>
      </c>
      <c r="E634" s="4">
        <v>70.3</v>
      </c>
      <c r="F634" s="4">
        <v>0</v>
      </c>
      <c r="G634" s="4">
        <v>0</v>
      </c>
      <c r="H634" s="4">
        <v>3.9</v>
      </c>
      <c r="I634" s="4">
        <v>5.9</v>
      </c>
      <c r="J634" s="4">
        <v>11.1</v>
      </c>
    </row>
    <row r="635" spans="1:10" x14ac:dyDescent="0.35">
      <c r="A635" s="3" t="s">
        <v>1294</v>
      </c>
      <c r="B635" s="3" t="s">
        <v>1295</v>
      </c>
      <c r="C635" s="4" t="s">
        <v>65</v>
      </c>
      <c r="D635" s="4">
        <v>27.7</v>
      </c>
      <c r="E635" s="4">
        <v>29.4</v>
      </c>
      <c r="F635" s="4">
        <v>0</v>
      </c>
      <c r="G635" s="4">
        <v>0</v>
      </c>
      <c r="H635" s="4">
        <v>1.7</v>
      </c>
      <c r="I635" s="4">
        <v>6.3</v>
      </c>
      <c r="J635" s="4">
        <v>4.7</v>
      </c>
    </row>
    <row r="636" spans="1:10" x14ac:dyDescent="0.35">
      <c r="A636" s="3" t="s">
        <v>1296</v>
      </c>
      <c r="B636" s="3" t="s">
        <v>1297</v>
      </c>
      <c r="C636" s="4" t="s">
        <v>65</v>
      </c>
      <c r="D636" s="4">
        <v>38.700000000000003</v>
      </c>
      <c r="E636" s="4">
        <v>40.9</v>
      </c>
      <c r="F636" s="4">
        <v>0</v>
      </c>
      <c r="G636" s="4">
        <v>0</v>
      </c>
      <c r="H636" s="4">
        <v>2.2000000000000002</v>
      </c>
      <c r="I636" s="4">
        <v>5.6</v>
      </c>
      <c r="J636" s="4">
        <v>6.5</v>
      </c>
    </row>
    <row r="637" spans="1:10" x14ac:dyDescent="0.35">
      <c r="A637" s="3" t="s">
        <v>1298</v>
      </c>
      <c r="B637" s="3" t="s">
        <v>1299</v>
      </c>
      <c r="C637" s="4" t="s">
        <v>60</v>
      </c>
      <c r="D637" s="4">
        <v>53.6</v>
      </c>
      <c r="E637" s="4">
        <v>58</v>
      </c>
      <c r="F637" s="4">
        <v>0</v>
      </c>
      <c r="G637" s="4">
        <v>0</v>
      </c>
      <c r="H637" s="4">
        <v>4.3</v>
      </c>
      <c r="I637" s="4">
        <v>8.1</v>
      </c>
      <c r="J637" s="4">
        <v>12.2</v>
      </c>
    </row>
    <row r="638" spans="1:10" x14ac:dyDescent="0.35">
      <c r="A638" s="3" t="s">
        <v>1300</v>
      </c>
      <c r="B638" s="3" t="s">
        <v>1301</v>
      </c>
      <c r="C638" s="4" t="s">
        <v>65</v>
      </c>
      <c r="D638" s="4">
        <v>53.6</v>
      </c>
      <c r="E638" s="4">
        <v>58</v>
      </c>
      <c r="F638" s="4">
        <v>0</v>
      </c>
      <c r="G638" s="4">
        <v>0</v>
      </c>
      <c r="H638" s="4">
        <v>4.3</v>
      </c>
      <c r="I638" s="4">
        <v>8.1</v>
      </c>
      <c r="J638" s="4">
        <v>12.2</v>
      </c>
    </row>
    <row r="639" spans="1:10" x14ac:dyDescent="0.35">
      <c r="A639" s="3" t="s">
        <v>1302</v>
      </c>
      <c r="B639" s="3" t="s">
        <v>1303</v>
      </c>
      <c r="C639" s="4" t="s">
        <v>60</v>
      </c>
      <c r="D639" s="4">
        <v>1747.4</v>
      </c>
      <c r="E639" s="4">
        <v>1811.1</v>
      </c>
      <c r="F639" s="4">
        <v>1.1000000000000001</v>
      </c>
      <c r="G639" s="4">
        <v>1.1000000000000001</v>
      </c>
      <c r="H639" s="4">
        <v>63.6</v>
      </c>
      <c r="I639" s="4">
        <v>3.6</v>
      </c>
      <c r="J639" s="4">
        <v>320.3</v>
      </c>
    </row>
    <row r="640" spans="1:10" x14ac:dyDescent="0.35">
      <c r="A640" s="3" t="s">
        <v>1304</v>
      </c>
      <c r="B640" s="3" t="s">
        <v>1305</v>
      </c>
      <c r="C640" s="4" t="s">
        <v>65</v>
      </c>
      <c r="D640" s="4">
        <v>945.9</v>
      </c>
      <c r="E640" s="4">
        <v>927.4</v>
      </c>
      <c r="F640" s="4">
        <v>0.6</v>
      </c>
      <c r="G640" s="4">
        <v>0.5</v>
      </c>
      <c r="H640" s="4">
        <v>-18.5</v>
      </c>
      <c r="I640" s="4">
        <v>-2</v>
      </c>
      <c r="J640" s="4">
        <v>153.1</v>
      </c>
    </row>
    <row r="641" spans="1:10" x14ac:dyDescent="0.35">
      <c r="A641" s="3" t="s">
        <v>1306</v>
      </c>
      <c r="B641" s="3" t="s">
        <v>1307</v>
      </c>
      <c r="C641" s="4" t="s">
        <v>60</v>
      </c>
      <c r="D641" s="4">
        <v>618.79999999999995</v>
      </c>
      <c r="E641" s="4">
        <v>677.4</v>
      </c>
      <c r="F641" s="4">
        <v>0.4</v>
      </c>
      <c r="G641" s="4">
        <v>0.4</v>
      </c>
      <c r="H641" s="4">
        <v>58.5</v>
      </c>
      <c r="I641" s="4">
        <v>9.5</v>
      </c>
      <c r="J641" s="4">
        <v>130.69999999999999</v>
      </c>
    </row>
    <row r="642" spans="1:10" x14ac:dyDescent="0.35">
      <c r="A642" s="3" t="s">
        <v>1308</v>
      </c>
      <c r="B642" s="3" t="s">
        <v>1309</v>
      </c>
      <c r="C642" s="4" t="s">
        <v>65</v>
      </c>
      <c r="D642" s="4">
        <v>329.5</v>
      </c>
      <c r="E642" s="4">
        <v>374.6</v>
      </c>
      <c r="F642" s="4">
        <v>0.2</v>
      </c>
      <c r="G642" s="4">
        <v>0.2</v>
      </c>
      <c r="H642" s="4">
        <v>45.2</v>
      </c>
      <c r="I642" s="4">
        <v>13.7</v>
      </c>
      <c r="J642" s="4">
        <v>69</v>
      </c>
    </row>
    <row r="643" spans="1:10" x14ac:dyDescent="0.35">
      <c r="A643" s="3" t="s">
        <v>1310</v>
      </c>
      <c r="B643" s="3" t="s">
        <v>1311</v>
      </c>
      <c r="C643" s="4" t="s">
        <v>65</v>
      </c>
      <c r="D643" s="4">
        <v>289.39999999999998</v>
      </c>
      <c r="E643" s="4">
        <v>302.7</v>
      </c>
      <c r="F643" s="4">
        <v>0.2</v>
      </c>
      <c r="G643" s="4">
        <v>0.2</v>
      </c>
      <c r="H643" s="4">
        <v>13.4</v>
      </c>
      <c r="I643" s="4">
        <v>4.5999999999999996</v>
      </c>
      <c r="J643" s="4">
        <v>61.7</v>
      </c>
    </row>
    <row r="644" spans="1:10" x14ac:dyDescent="0.35">
      <c r="A644" s="3" t="s">
        <v>1312</v>
      </c>
      <c r="B644" s="3" t="s">
        <v>1313</v>
      </c>
      <c r="C644" s="4" t="s">
        <v>65</v>
      </c>
      <c r="D644" s="4">
        <v>95.7</v>
      </c>
      <c r="E644" s="4">
        <v>101.4</v>
      </c>
      <c r="F644" s="4">
        <v>0.1</v>
      </c>
      <c r="G644" s="4">
        <v>0.1</v>
      </c>
      <c r="H644" s="4">
        <v>5.7</v>
      </c>
      <c r="I644" s="4">
        <v>6</v>
      </c>
      <c r="J644" s="4">
        <v>17.600000000000001</v>
      </c>
    </row>
    <row r="645" spans="1:10" x14ac:dyDescent="0.35">
      <c r="A645" s="3" t="s">
        <v>1314</v>
      </c>
      <c r="B645" s="3" t="s">
        <v>1315</v>
      </c>
      <c r="C645" s="4" t="s">
        <v>65</v>
      </c>
      <c r="D645" s="4">
        <v>87</v>
      </c>
      <c r="E645" s="4">
        <v>104.9</v>
      </c>
      <c r="F645" s="4">
        <v>0.1</v>
      </c>
      <c r="G645" s="4">
        <v>0.1</v>
      </c>
      <c r="H645" s="4">
        <v>17.899999999999999</v>
      </c>
      <c r="I645" s="4">
        <v>20.5</v>
      </c>
      <c r="J645" s="4">
        <v>18.899999999999999</v>
      </c>
    </row>
    <row r="646" spans="1:10" x14ac:dyDescent="0.35">
      <c r="A646" s="3" t="s">
        <v>38</v>
      </c>
      <c r="B646" s="3" t="s">
        <v>39</v>
      </c>
      <c r="C646" s="4" t="s">
        <v>60</v>
      </c>
      <c r="D646" s="4">
        <v>14476.4</v>
      </c>
      <c r="E646" s="4">
        <v>14102</v>
      </c>
      <c r="F646" s="4">
        <v>8.8000000000000007</v>
      </c>
      <c r="G646" s="4">
        <v>8.3000000000000007</v>
      </c>
      <c r="H646" s="4">
        <v>-374.5</v>
      </c>
      <c r="I646" s="4">
        <v>-2.6</v>
      </c>
      <c r="J646" s="4">
        <v>1806.9</v>
      </c>
    </row>
    <row r="647" spans="1:10" x14ac:dyDescent="0.35">
      <c r="A647" s="3" t="s">
        <v>1316</v>
      </c>
      <c r="B647" s="3" t="s">
        <v>1317</v>
      </c>
      <c r="C647" s="4" t="s">
        <v>60</v>
      </c>
      <c r="D647" s="4">
        <v>1770.2</v>
      </c>
      <c r="E647" s="4">
        <v>1668.2</v>
      </c>
      <c r="F647" s="4">
        <v>1.1000000000000001</v>
      </c>
      <c r="G647" s="4">
        <v>1</v>
      </c>
      <c r="H647" s="4">
        <v>-102</v>
      </c>
      <c r="I647" s="4">
        <v>-5.8</v>
      </c>
      <c r="J647" s="4">
        <v>152</v>
      </c>
    </row>
    <row r="648" spans="1:10" x14ac:dyDescent="0.35">
      <c r="A648" s="3" t="s">
        <v>1318</v>
      </c>
      <c r="B648" s="3" t="s">
        <v>1319</v>
      </c>
      <c r="C648" s="4" t="s">
        <v>65</v>
      </c>
      <c r="D648" s="4">
        <v>1405.8</v>
      </c>
      <c r="E648" s="4">
        <v>1311.8</v>
      </c>
      <c r="F648" s="4">
        <v>0.9</v>
      </c>
      <c r="G648" s="4">
        <v>0.8</v>
      </c>
      <c r="H648" s="4">
        <v>-94</v>
      </c>
      <c r="I648" s="4">
        <v>-6.7</v>
      </c>
      <c r="J648" s="4">
        <v>123.7</v>
      </c>
    </row>
    <row r="649" spans="1:10" x14ac:dyDescent="0.35">
      <c r="A649" s="3" t="s">
        <v>1320</v>
      </c>
      <c r="B649" s="3" t="s">
        <v>1321</v>
      </c>
      <c r="C649" s="4" t="s">
        <v>65</v>
      </c>
      <c r="D649" s="4">
        <v>364.4</v>
      </c>
      <c r="E649" s="4">
        <v>356.4</v>
      </c>
      <c r="F649" s="4">
        <v>0.2</v>
      </c>
      <c r="G649" s="4">
        <v>0.2</v>
      </c>
      <c r="H649" s="4">
        <v>-8</v>
      </c>
      <c r="I649" s="4">
        <v>-2.2000000000000002</v>
      </c>
      <c r="J649" s="4">
        <v>28.2</v>
      </c>
    </row>
    <row r="650" spans="1:10" x14ac:dyDescent="0.35">
      <c r="A650" s="3" t="s">
        <v>1322</v>
      </c>
      <c r="B650" s="3" t="s">
        <v>1323</v>
      </c>
      <c r="C650" s="4" t="s">
        <v>60</v>
      </c>
      <c r="D650" s="4">
        <v>7777.8</v>
      </c>
      <c r="E650" s="4">
        <v>7362.3</v>
      </c>
      <c r="F650" s="4">
        <v>4.7</v>
      </c>
      <c r="G650" s="4">
        <v>4.4000000000000004</v>
      </c>
      <c r="H650" s="4">
        <v>-415.4</v>
      </c>
      <c r="I650" s="4">
        <v>-5.3</v>
      </c>
      <c r="J650" s="4">
        <v>1189.9000000000001</v>
      </c>
    </row>
    <row r="651" spans="1:10" x14ac:dyDescent="0.35">
      <c r="A651" s="3" t="s">
        <v>1324</v>
      </c>
      <c r="B651" s="3" t="s">
        <v>1325</v>
      </c>
      <c r="C651" s="4" t="s">
        <v>60</v>
      </c>
      <c r="D651" s="4">
        <v>3365.2</v>
      </c>
      <c r="E651" s="4">
        <v>3016</v>
      </c>
      <c r="F651" s="4">
        <v>2</v>
      </c>
      <c r="G651" s="4">
        <v>1.8</v>
      </c>
      <c r="H651" s="4">
        <v>-349.2</v>
      </c>
      <c r="I651" s="4">
        <v>-10.4</v>
      </c>
      <c r="J651" s="4">
        <v>581.20000000000005</v>
      </c>
    </row>
    <row r="652" spans="1:10" x14ac:dyDescent="0.35">
      <c r="A652" s="3" t="s">
        <v>1326</v>
      </c>
      <c r="B652" s="3" t="s">
        <v>1327</v>
      </c>
      <c r="C652" s="4" t="s">
        <v>65</v>
      </c>
      <c r="D652" s="4">
        <v>3345.8</v>
      </c>
      <c r="E652" s="4">
        <v>2997.7</v>
      </c>
      <c r="F652" s="4">
        <v>2</v>
      </c>
      <c r="G652" s="4">
        <v>1.8</v>
      </c>
      <c r="H652" s="4">
        <v>-348.1</v>
      </c>
      <c r="I652" s="4">
        <v>-10.4</v>
      </c>
      <c r="J652" s="4">
        <v>577.6</v>
      </c>
    </row>
    <row r="653" spans="1:10" x14ac:dyDescent="0.35">
      <c r="A653" s="3" t="s">
        <v>1328</v>
      </c>
      <c r="B653" s="3" t="s">
        <v>1329</v>
      </c>
      <c r="C653" s="4" t="s">
        <v>65</v>
      </c>
      <c r="D653" s="4">
        <v>19.399999999999999</v>
      </c>
      <c r="E653" s="4">
        <v>18.3</v>
      </c>
      <c r="F653" s="4">
        <v>0</v>
      </c>
      <c r="G653" s="4">
        <v>0</v>
      </c>
      <c r="H653" s="4">
        <v>-1.1000000000000001</v>
      </c>
      <c r="I653" s="4">
        <v>-5.6</v>
      </c>
      <c r="J653" s="4">
        <v>3.5</v>
      </c>
    </row>
    <row r="654" spans="1:10" x14ac:dyDescent="0.35">
      <c r="A654" s="3" t="s">
        <v>1330</v>
      </c>
      <c r="B654" s="3" t="s">
        <v>1331</v>
      </c>
      <c r="C654" s="4" t="s">
        <v>60</v>
      </c>
      <c r="D654" s="4">
        <v>646.9</v>
      </c>
      <c r="E654" s="4">
        <v>659.9</v>
      </c>
      <c r="F654" s="4">
        <v>0.4</v>
      </c>
      <c r="G654" s="4">
        <v>0.4</v>
      </c>
      <c r="H654" s="4">
        <v>12.9</v>
      </c>
      <c r="I654" s="4">
        <v>2</v>
      </c>
      <c r="J654" s="4">
        <v>77.099999999999994</v>
      </c>
    </row>
    <row r="655" spans="1:10" x14ac:dyDescent="0.35">
      <c r="A655" s="3" t="s">
        <v>1332</v>
      </c>
      <c r="B655" s="3" t="s">
        <v>1333</v>
      </c>
      <c r="C655" s="4" t="s">
        <v>65</v>
      </c>
      <c r="D655" s="4">
        <v>380.8</v>
      </c>
      <c r="E655" s="4">
        <v>391.2</v>
      </c>
      <c r="F655" s="4">
        <v>0.2</v>
      </c>
      <c r="G655" s="4">
        <v>0.2</v>
      </c>
      <c r="H655" s="4">
        <v>10.4</v>
      </c>
      <c r="I655" s="4">
        <v>2.7</v>
      </c>
      <c r="J655" s="4">
        <v>45.7</v>
      </c>
    </row>
    <row r="656" spans="1:10" x14ac:dyDescent="0.35">
      <c r="A656" s="3" t="s">
        <v>1334</v>
      </c>
      <c r="B656" s="3" t="s">
        <v>1335</v>
      </c>
      <c r="C656" s="4" t="s">
        <v>65</v>
      </c>
      <c r="D656" s="4">
        <v>266.10000000000002</v>
      </c>
      <c r="E656" s="4">
        <v>268.7</v>
      </c>
      <c r="F656" s="4">
        <v>0.2</v>
      </c>
      <c r="G656" s="4">
        <v>0.2</v>
      </c>
      <c r="H656" s="4">
        <v>2.6</v>
      </c>
      <c r="I656" s="4">
        <v>1</v>
      </c>
      <c r="J656" s="4">
        <v>31.4</v>
      </c>
    </row>
    <row r="657" spans="1:10" x14ac:dyDescent="0.35">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35">
      <c r="A658" s="3" t="s">
        <v>1338</v>
      </c>
      <c r="B658" s="3" t="s">
        <v>1339</v>
      </c>
      <c r="C658" s="4" t="s">
        <v>60</v>
      </c>
      <c r="D658" s="4">
        <v>2309.8000000000002</v>
      </c>
      <c r="E658" s="4">
        <v>2428</v>
      </c>
      <c r="F658" s="4">
        <v>1.4</v>
      </c>
      <c r="G658" s="4">
        <v>1.4</v>
      </c>
      <c r="H658" s="4">
        <v>118.1</v>
      </c>
      <c r="I658" s="4">
        <v>5.0999999999999996</v>
      </c>
      <c r="J658" s="4">
        <v>218.1</v>
      </c>
    </row>
    <row r="659" spans="1:10" x14ac:dyDescent="0.35">
      <c r="A659" s="3" t="s">
        <v>1340</v>
      </c>
      <c r="B659" s="3" t="s">
        <v>1341</v>
      </c>
      <c r="C659" s="4" t="s">
        <v>65</v>
      </c>
      <c r="D659" s="4">
        <v>111.4</v>
      </c>
      <c r="E659" s="4">
        <v>103.4</v>
      </c>
      <c r="F659" s="4">
        <v>0.1</v>
      </c>
      <c r="G659" s="4">
        <v>0.1</v>
      </c>
      <c r="H659" s="4">
        <v>-8</v>
      </c>
      <c r="I659" s="4">
        <v>-7.2</v>
      </c>
      <c r="J659" s="4">
        <v>10.5</v>
      </c>
    </row>
    <row r="660" spans="1:10" x14ac:dyDescent="0.35">
      <c r="A660" s="3" t="s">
        <v>1342</v>
      </c>
      <c r="B660" s="3" t="s">
        <v>1343</v>
      </c>
      <c r="C660" s="4" t="s">
        <v>65</v>
      </c>
      <c r="D660" s="4">
        <v>536.79999999999995</v>
      </c>
      <c r="E660" s="4">
        <v>579.29999999999995</v>
      </c>
      <c r="F660" s="4">
        <v>0.3</v>
      </c>
      <c r="G660" s="4">
        <v>0.3</v>
      </c>
      <c r="H660" s="4">
        <v>42.5</v>
      </c>
      <c r="I660" s="4">
        <v>7.9</v>
      </c>
      <c r="J660" s="4">
        <v>48.3</v>
      </c>
    </row>
    <row r="661" spans="1:10" x14ac:dyDescent="0.35">
      <c r="A661" s="3" t="s">
        <v>1344</v>
      </c>
      <c r="B661" s="3" t="s">
        <v>1345</v>
      </c>
      <c r="C661" s="4" t="s">
        <v>65</v>
      </c>
      <c r="D661" s="4">
        <v>482.2</v>
      </c>
      <c r="E661" s="4">
        <v>517.70000000000005</v>
      </c>
      <c r="F661" s="4">
        <v>0.3</v>
      </c>
      <c r="G661" s="4">
        <v>0.3</v>
      </c>
      <c r="H661" s="4">
        <v>35.6</v>
      </c>
      <c r="I661" s="4">
        <v>7.4</v>
      </c>
      <c r="J661" s="4">
        <v>40.1</v>
      </c>
    </row>
    <row r="662" spans="1:10" x14ac:dyDescent="0.35">
      <c r="A662" s="3" t="s">
        <v>1346</v>
      </c>
      <c r="B662" s="3" t="s">
        <v>1347</v>
      </c>
      <c r="C662" s="4" t="s">
        <v>65</v>
      </c>
      <c r="D662" s="4">
        <v>66.3</v>
      </c>
      <c r="E662" s="4">
        <v>68.599999999999994</v>
      </c>
      <c r="F662" s="4">
        <v>0</v>
      </c>
      <c r="G662" s="4">
        <v>0</v>
      </c>
      <c r="H662" s="4">
        <v>2.2999999999999998</v>
      </c>
      <c r="I662" s="4">
        <v>3.5</v>
      </c>
      <c r="J662" s="4">
        <v>8.6</v>
      </c>
    </row>
    <row r="663" spans="1:10" x14ac:dyDescent="0.35">
      <c r="A663" s="3" t="s">
        <v>1348</v>
      </c>
      <c r="B663" s="3" t="s">
        <v>1349</v>
      </c>
      <c r="C663" s="4" t="s">
        <v>65</v>
      </c>
      <c r="D663" s="4">
        <v>1113.2</v>
      </c>
      <c r="E663" s="4">
        <v>1158.9000000000001</v>
      </c>
      <c r="F663" s="4">
        <v>0.7</v>
      </c>
      <c r="G663" s="4">
        <v>0.7</v>
      </c>
      <c r="H663" s="4">
        <v>45.7</v>
      </c>
      <c r="I663" s="4">
        <v>4.0999999999999996</v>
      </c>
      <c r="J663" s="4">
        <v>110.6</v>
      </c>
    </row>
    <row r="664" spans="1:10" x14ac:dyDescent="0.35">
      <c r="A664" s="3" t="s">
        <v>1350</v>
      </c>
      <c r="B664" s="3" t="s">
        <v>1351</v>
      </c>
      <c r="C664" s="4" t="s">
        <v>60</v>
      </c>
      <c r="D664" s="4">
        <v>1649.9</v>
      </c>
      <c r="E664" s="4">
        <v>1670.4</v>
      </c>
      <c r="F664" s="4">
        <v>1</v>
      </c>
      <c r="G664" s="4">
        <v>1</v>
      </c>
      <c r="H664" s="4">
        <v>20.5</v>
      </c>
      <c r="I664" s="4">
        <v>1.2</v>
      </c>
      <c r="J664" s="4">
        <v>148</v>
      </c>
    </row>
    <row r="665" spans="1:10" x14ac:dyDescent="0.35">
      <c r="A665" s="3" t="s">
        <v>1352</v>
      </c>
      <c r="B665" s="3" t="s">
        <v>1353</v>
      </c>
      <c r="C665" s="4" t="s">
        <v>65</v>
      </c>
      <c r="D665" s="4">
        <v>305.60000000000002</v>
      </c>
      <c r="E665" s="4">
        <v>317.10000000000002</v>
      </c>
      <c r="F665" s="4">
        <v>0.2</v>
      </c>
      <c r="G665" s="4">
        <v>0.2</v>
      </c>
      <c r="H665" s="4">
        <v>11.4</v>
      </c>
      <c r="I665" s="4">
        <v>3.7</v>
      </c>
      <c r="J665" s="4">
        <v>28.5</v>
      </c>
    </row>
    <row r="666" spans="1:10" x14ac:dyDescent="0.35">
      <c r="A666" s="3" t="s">
        <v>1354</v>
      </c>
      <c r="B666" s="3" t="s">
        <v>1355</v>
      </c>
      <c r="C666" s="4" t="s">
        <v>65</v>
      </c>
      <c r="D666" s="4">
        <v>1344.3</v>
      </c>
      <c r="E666" s="4">
        <v>1353.4</v>
      </c>
      <c r="F666" s="4">
        <v>0.8</v>
      </c>
      <c r="G666" s="4">
        <v>0.8</v>
      </c>
      <c r="H666" s="4">
        <v>9.1</v>
      </c>
      <c r="I666" s="4">
        <v>0.7</v>
      </c>
      <c r="J666" s="4">
        <v>119.5</v>
      </c>
    </row>
    <row r="667" spans="1:10" x14ac:dyDescent="0.35">
      <c r="A667" s="3" t="s">
        <v>1356</v>
      </c>
      <c r="B667" s="3" t="s">
        <v>1357</v>
      </c>
      <c r="C667" s="4" t="s">
        <v>60</v>
      </c>
      <c r="D667" s="4">
        <v>968.7</v>
      </c>
      <c r="E667" s="4">
        <v>973</v>
      </c>
      <c r="F667" s="4">
        <v>0.6</v>
      </c>
      <c r="G667" s="4">
        <v>0.6</v>
      </c>
      <c r="H667" s="4">
        <v>4.3</v>
      </c>
      <c r="I667" s="4">
        <v>0.4</v>
      </c>
      <c r="J667" s="4">
        <v>99</v>
      </c>
    </row>
    <row r="668" spans="1:10" x14ac:dyDescent="0.35">
      <c r="A668" s="3" t="s">
        <v>1358</v>
      </c>
      <c r="B668" s="3" t="s">
        <v>1359</v>
      </c>
      <c r="C668" s="4" t="s">
        <v>60</v>
      </c>
      <c r="D668" s="4">
        <v>47.1</v>
      </c>
      <c r="E668" s="4">
        <v>48.9</v>
      </c>
      <c r="F668" s="4">
        <v>0</v>
      </c>
      <c r="G668" s="4">
        <v>0</v>
      </c>
      <c r="H668" s="4">
        <v>1.8</v>
      </c>
      <c r="I668" s="4">
        <v>3.8</v>
      </c>
      <c r="J668" s="4">
        <v>8.9</v>
      </c>
    </row>
    <row r="669" spans="1:10" x14ac:dyDescent="0.35">
      <c r="A669" s="3" t="s">
        <v>1360</v>
      </c>
      <c r="B669" s="3" t="s">
        <v>1361</v>
      </c>
      <c r="C669" s="4" t="s">
        <v>65</v>
      </c>
      <c r="D669" s="4">
        <v>45</v>
      </c>
      <c r="E669" s="4">
        <v>46.8</v>
      </c>
      <c r="F669" s="4">
        <v>0</v>
      </c>
      <c r="G669" s="4">
        <v>0</v>
      </c>
      <c r="H669" s="4">
        <v>1.8</v>
      </c>
      <c r="I669" s="4">
        <v>4</v>
      </c>
      <c r="J669" s="4">
        <v>8.5</v>
      </c>
    </row>
    <row r="670" spans="1:10" x14ac:dyDescent="0.35">
      <c r="A670" s="3" t="s">
        <v>1362</v>
      </c>
      <c r="B670" s="3" t="s">
        <v>1363</v>
      </c>
      <c r="C670" s="4" t="s">
        <v>65</v>
      </c>
      <c r="D670" s="4">
        <v>2.2000000000000002</v>
      </c>
      <c r="E670" s="4">
        <v>2.2000000000000002</v>
      </c>
      <c r="F670" s="4">
        <v>0</v>
      </c>
      <c r="G670" s="4">
        <v>0</v>
      </c>
      <c r="H670" s="4">
        <v>0</v>
      </c>
      <c r="I670" s="4">
        <v>0.5</v>
      </c>
      <c r="J670" s="4">
        <v>0.4</v>
      </c>
    </row>
    <row r="671" spans="1:10" x14ac:dyDescent="0.35">
      <c r="A671" s="3" t="s">
        <v>1364</v>
      </c>
      <c r="B671" s="3" t="s">
        <v>1365</v>
      </c>
      <c r="C671" s="4" t="s">
        <v>60</v>
      </c>
      <c r="D671" s="4">
        <v>589.79999999999995</v>
      </c>
      <c r="E671" s="4">
        <v>609.20000000000005</v>
      </c>
      <c r="F671" s="4">
        <v>0.4</v>
      </c>
      <c r="G671" s="4">
        <v>0.4</v>
      </c>
      <c r="H671" s="4">
        <v>19.399999999999999</v>
      </c>
      <c r="I671" s="4">
        <v>3.3</v>
      </c>
      <c r="J671" s="4">
        <v>51.6</v>
      </c>
    </row>
    <row r="672" spans="1:10" x14ac:dyDescent="0.35">
      <c r="A672" s="3" t="s">
        <v>1366</v>
      </c>
      <c r="B672" s="3" t="s">
        <v>1367</v>
      </c>
      <c r="C672" s="4" t="s">
        <v>65</v>
      </c>
      <c r="D672" s="4">
        <v>127.2</v>
      </c>
      <c r="E672" s="4">
        <v>131.6</v>
      </c>
      <c r="F672" s="4">
        <v>0.1</v>
      </c>
      <c r="G672" s="4">
        <v>0.1</v>
      </c>
      <c r="H672" s="4">
        <v>4.4000000000000004</v>
      </c>
      <c r="I672" s="4">
        <v>3.5</v>
      </c>
      <c r="J672" s="4">
        <v>11.2</v>
      </c>
    </row>
    <row r="673" spans="1:10" x14ac:dyDescent="0.35">
      <c r="A673" s="3" t="s">
        <v>1368</v>
      </c>
      <c r="B673" s="3" t="s">
        <v>1369</v>
      </c>
      <c r="C673" s="4" t="s">
        <v>65</v>
      </c>
      <c r="D673" s="4">
        <v>462.6</v>
      </c>
      <c r="E673" s="4">
        <v>477.6</v>
      </c>
      <c r="F673" s="4">
        <v>0.3</v>
      </c>
      <c r="G673" s="4">
        <v>0.3</v>
      </c>
      <c r="H673" s="4">
        <v>14.9</v>
      </c>
      <c r="I673" s="4">
        <v>3.2</v>
      </c>
      <c r="J673" s="4">
        <v>40.5</v>
      </c>
    </row>
    <row r="674" spans="1:10" x14ac:dyDescent="0.35">
      <c r="A674" s="3" t="s">
        <v>1370</v>
      </c>
      <c r="B674" s="3" t="s">
        <v>1371</v>
      </c>
      <c r="C674" s="4" t="s">
        <v>65</v>
      </c>
      <c r="D674" s="4">
        <v>60.9</v>
      </c>
      <c r="E674" s="4">
        <v>63.8</v>
      </c>
      <c r="F674" s="4">
        <v>0</v>
      </c>
      <c r="G674" s="4">
        <v>0</v>
      </c>
      <c r="H674" s="4">
        <v>2.9</v>
      </c>
      <c r="I674" s="4">
        <v>4.7</v>
      </c>
      <c r="J674" s="4">
        <v>5.9</v>
      </c>
    </row>
    <row r="675" spans="1:10" x14ac:dyDescent="0.35">
      <c r="A675" s="3" t="s">
        <v>1372</v>
      </c>
      <c r="B675" s="3" t="s">
        <v>1373</v>
      </c>
      <c r="C675" s="4" t="s">
        <v>65</v>
      </c>
      <c r="D675" s="4">
        <v>97.7</v>
      </c>
      <c r="E675" s="4">
        <v>77.599999999999994</v>
      </c>
      <c r="F675" s="4">
        <v>0.1</v>
      </c>
      <c r="G675" s="4">
        <v>0</v>
      </c>
      <c r="H675" s="4">
        <v>-20.100000000000001</v>
      </c>
      <c r="I675" s="4">
        <v>-20.6</v>
      </c>
      <c r="J675" s="4">
        <v>9.8000000000000007</v>
      </c>
    </row>
    <row r="676" spans="1:10" x14ac:dyDescent="0.35">
      <c r="A676" s="3" t="s">
        <v>1374</v>
      </c>
      <c r="B676" s="3" t="s">
        <v>1375</v>
      </c>
      <c r="C676" s="4" t="s">
        <v>60</v>
      </c>
      <c r="D676" s="4">
        <v>173.2</v>
      </c>
      <c r="E676" s="4">
        <v>173.5</v>
      </c>
      <c r="F676" s="4">
        <v>0.1</v>
      </c>
      <c r="G676" s="4">
        <v>0.1</v>
      </c>
      <c r="H676" s="4">
        <v>0.3</v>
      </c>
      <c r="I676" s="4">
        <v>0.2</v>
      </c>
      <c r="J676" s="4">
        <v>22.8</v>
      </c>
    </row>
    <row r="677" spans="1:10" x14ac:dyDescent="0.35">
      <c r="A677" s="3" t="s">
        <v>1376</v>
      </c>
      <c r="B677" s="3" t="s">
        <v>1377</v>
      </c>
      <c r="C677" s="4" t="s">
        <v>65</v>
      </c>
      <c r="D677" s="4">
        <v>36.4</v>
      </c>
      <c r="E677" s="4">
        <v>30.6</v>
      </c>
      <c r="F677" s="4">
        <v>0</v>
      </c>
      <c r="G677" s="4">
        <v>0</v>
      </c>
      <c r="H677" s="4">
        <v>-5.8</v>
      </c>
      <c r="I677" s="4">
        <v>-15.9</v>
      </c>
      <c r="J677" s="4">
        <v>4</v>
      </c>
    </row>
    <row r="678" spans="1:10" x14ac:dyDescent="0.35">
      <c r="A678" s="3" t="s">
        <v>1378</v>
      </c>
      <c r="B678" s="3" t="s">
        <v>1379</v>
      </c>
      <c r="C678" s="4" t="s">
        <v>65</v>
      </c>
      <c r="D678" s="4">
        <v>136.80000000000001</v>
      </c>
      <c r="E678" s="4">
        <v>142.9</v>
      </c>
      <c r="F678" s="4">
        <v>0.1</v>
      </c>
      <c r="G678" s="4">
        <v>0.1</v>
      </c>
      <c r="H678" s="4">
        <v>6.1</v>
      </c>
      <c r="I678" s="4">
        <v>4.5</v>
      </c>
      <c r="J678" s="4">
        <v>18.8</v>
      </c>
    </row>
    <row r="679" spans="1:10" x14ac:dyDescent="0.35">
      <c r="A679" s="3" t="s">
        <v>40</v>
      </c>
      <c r="B679" s="3" t="s">
        <v>41</v>
      </c>
      <c r="C679" s="4" t="s">
        <v>60</v>
      </c>
      <c r="D679" s="4">
        <v>19891.400000000001</v>
      </c>
      <c r="E679" s="4">
        <v>18663.8</v>
      </c>
      <c r="F679" s="4">
        <v>12.1</v>
      </c>
      <c r="G679" s="4">
        <v>11</v>
      </c>
      <c r="H679" s="4">
        <v>-1227.5999999999999</v>
      </c>
      <c r="I679" s="4">
        <v>-6.2</v>
      </c>
      <c r="J679" s="4">
        <v>2059.8000000000002</v>
      </c>
    </row>
    <row r="680" spans="1:10" x14ac:dyDescent="0.35">
      <c r="A680" s="3" t="s">
        <v>1380</v>
      </c>
      <c r="B680" s="3" t="s">
        <v>1381</v>
      </c>
      <c r="C680" s="4" t="s">
        <v>60</v>
      </c>
      <c r="D680" s="4">
        <v>1567.2</v>
      </c>
      <c r="E680" s="4">
        <v>1486.4</v>
      </c>
      <c r="F680" s="4">
        <v>1</v>
      </c>
      <c r="G680" s="4">
        <v>0.9</v>
      </c>
      <c r="H680" s="4">
        <v>-80.7</v>
      </c>
      <c r="I680" s="4">
        <v>-5.2</v>
      </c>
      <c r="J680" s="4">
        <v>137.69999999999999</v>
      </c>
    </row>
    <row r="681" spans="1:10" x14ac:dyDescent="0.35">
      <c r="A681" s="3" t="s">
        <v>1382</v>
      </c>
      <c r="B681" s="3" t="s">
        <v>1383</v>
      </c>
      <c r="C681" s="4" t="s">
        <v>65</v>
      </c>
      <c r="D681" s="4">
        <v>1567.2</v>
      </c>
      <c r="E681" s="4">
        <v>1486.4</v>
      </c>
      <c r="F681" s="4">
        <v>1</v>
      </c>
      <c r="G681" s="4">
        <v>0.9</v>
      </c>
      <c r="H681" s="4">
        <v>-80.7</v>
      </c>
      <c r="I681" s="4">
        <v>-5.2</v>
      </c>
      <c r="J681" s="4">
        <v>137.69999999999999</v>
      </c>
    </row>
    <row r="682" spans="1:10" x14ac:dyDescent="0.35">
      <c r="A682" s="3" t="s">
        <v>1384</v>
      </c>
      <c r="B682" s="3" t="s">
        <v>1385</v>
      </c>
      <c r="C682" s="4" t="s">
        <v>60</v>
      </c>
      <c r="D682" s="4">
        <v>54.3</v>
      </c>
      <c r="E682" s="4">
        <v>41.1</v>
      </c>
      <c r="F682" s="4">
        <v>0</v>
      </c>
      <c r="G682" s="4">
        <v>0</v>
      </c>
      <c r="H682" s="4">
        <v>-13.1</v>
      </c>
      <c r="I682" s="4">
        <v>-24.2</v>
      </c>
      <c r="J682" s="4">
        <v>3.6</v>
      </c>
    </row>
    <row r="683" spans="1:10" x14ac:dyDescent="0.35">
      <c r="A683" s="3" t="s">
        <v>1386</v>
      </c>
      <c r="B683" s="3" t="s">
        <v>1387</v>
      </c>
      <c r="C683" s="4" t="s">
        <v>65</v>
      </c>
      <c r="D683" s="4">
        <v>48.4</v>
      </c>
      <c r="E683" s="4">
        <v>36.200000000000003</v>
      </c>
      <c r="F683" s="4">
        <v>0</v>
      </c>
      <c r="G683" s="4">
        <v>0</v>
      </c>
      <c r="H683" s="4">
        <v>-12.1</v>
      </c>
      <c r="I683" s="4">
        <v>-25.1</v>
      </c>
      <c r="J683" s="4">
        <v>2.9</v>
      </c>
    </row>
    <row r="684" spans="1:10" x14ac:dyDescent="0.35">
      <c r="A684" s="3" t="s">
        <v>1388</v>
      </c>
      <c r="B684" s="3" t="s">
        <v>1389</v>
      </c>
      <c r="C684" s="4" t="s">
        <v>65</v>
      </c>
      <c r="D684" s="4">
        <v>4.0999999999999996</v>
      </c>
      <c r="E684" s="4">
        <v>3</v>
      </c>
      <c r="F684" s="4">
        <v>0</v>
      </c>
      <c r="G684" s="4">
        <v>0</v>
      </c>
      <c r="H684" s="4">
        <v>-1.1000000000000001</v>
      </c>
      <c r="I684" s="4">
        <v>-26.6</v>
      </c>
      <c r="J684" s="4">
        <v>0.4</v>
      </c>
    </row>
    <row r="685" spans="1:10" x14ac:dyDescent="0.35">
      <c r="A685" s="3" t="s">
        <v>1390</v>
      </c>
      <c r="B685" s="3" t="s">
        <v>1391</v>
      </c>
      <c r="C685" s="4" t="s">
        <v>65</v>
      </c>
      <c r="D685" s="4">
        <v>1.8</v>
      </c>
      <c r="E685" s="4">
        <v>1.9</v>
      </c>
      <c r="F685" s="4">
        <v>0</v>
      </c>
      <c r="G685" s="4">
        <v>0</v>
      </c>
      <c r="H685" s="4">
        <v>0.1</v>
      </c>
      <c r="I685" s="4">
        <v>5.9</v>
      </c>
      <c r="J685" s="4">
        <v>0.3</v>
      </c>
    </row>
    <row r="686" spans="1:10" x14ac:dyDescent="0.35">
      <c r="A686" s="3" t="s">
        <v>1392</v>
      </c>
      <c r="B686" s="3" t="s">
        <v>1393</v>
      </c>
      <c r="C686" s="4" t="s">
        <v>60</v>
      </c>
      <c r="D686" s="4">
        <v>3052.5</v>
      </c>
      <c r="E686" s="4">
        <v>2839</v>
      </c>
      <c r="F686" s="4">
        <v>1.9</v>
      </c>
      <c r="G686" s="4">
        <v>1.7</v>
      </c>
      <c r="H686" s="4">
        <v>-213.5</v>
      </c>
      <c r="I686" s="4">
        <v>-7</v>
      </c>
      <c r="J686" s="4">
        <v>302.2</v>
      </c>
    </row>
    <row r="687" spans="1:10" x14ac:dyDescent="0.35">
      <c r="A687" s="3" t="s">
        <v>1394</v>
      </c>
      <c r="B687" s="3" t="s">
        <v>1395</v>
      </c>
      <c r="C687" s="4" t="s">
        <v>65</v>
      </c>
      <c r="D687" s="4">
        <v>209.7</v>
      </c>
      <c r="E687" s="4">
        <v>189.6</v>
      </c>
      <c r="F687" s="4">
        <v>0.1</v>
      </c>
      <c r="G687" s="4">
        <v>0.1</v>
      </c>
      <c r="H687" s="4">
        <v>-20.100000000000001</v>
      </c>
      <c r="I687" s="4">
        <v>-9.6</v>
      </c>
      <c r="J687" s="4">
        <v>19.2</v>
      </c>
    </row>
    <row r="688" spans="1:10" x14ac:dyDescent="0.35">
      <c r="A688" s="3" t="s">
        <v>1396</v>
      </c>
      <c r="B688" s="3" t="s">
        <v>1397</v>
      </c>
      <c r="C688" s="4" t="s">
        <v>65</v>
      </c>
      <c r="D688" s="4">
        <v>456.3</v>
      </c>
      <c r="E688" s="4">
        <v>456.4</v>
      </c>
      <c r="F688" s="4">
        <v>0.3</v>
      </c>
      <c r="G688" s="4">
        <v>0.3</v>
      </c>
      <c r="H688" s="4">
        <v>0.1</v>
      </c>
      <c r="I688" s="4">
        <v>0</v>
      </c>
      <c r="J688" s="4">
        <v>46.7</v>
      </c>
    </row>
    <row r="689" spans="1:10" x14ac:dyDescent="0.35">
      <c r="A689" s="3" t="s">
        <v>1398</v>
      </c>
      <c r="B689" s="3" t="s">
        <v>1399</v>
      </c>
      <c r="C689" s="4" t="s">
        <v>65</v>
      </c>
      <c r="D689" s="4">
        <v>1735.8</v>
      </c>
      <c r="E689" s="4">
        <v>1627.5</v>
      </c>
      <c r="F689" s="4">
        <v>1.1000000000000001</v>
      </c>
      <c r="G689" s="4">
        <v>1</v>
      </c>
      <c r="H689" s="4">
        <v>-108.3</v>
      </c>
      <c r="I689" s="4">
        <v>-6.2</v>
      </c>
      <c r="J689" s="4">
        <v>183.9</v>
      </c>
    </row>
    <row r="690" spans="1:10" x14ac:dyDescent="0.35">
      <c r="A690" s="3" t="s">
        <v>1400</v>
      </c>
      <c r="B690" s="3" t="s">
        <v>1401</v>
      </c>
      <c r="C690" s="4" t="s">
        <v>65</v>
      </c>
      <c r="D690" s="4">
        <v>12.2</v>
      </c>
      <c r="E690" s="4">
        <v>11.5</v>
      </c>
      <c r="F690" s="4">
        <v>0</v>
      </c>
      <c r="G690" s="4">
        <v>0</v>
      </c>
      <c r="H690" s="4">
        <v>-0.7</v>
      </c>
      <c r="I690" s="4">
        <v>-5.4</v>
      </c>
      <c r="J690" s="4">
        <v>1.1000000000000001</v>
      </c>
    </row>
    <row r="691" spans="1:10" x14ac:dyDescent="0.35">
      <c r="A691" s="3" t="s">
        <v>1402</v>
      </c>
      <c r="B691" s="3" t="s">
        <v>1403</v>
      </c>
      <c r="C691" s="4" t="s">
        <v>65</v>
      </c>
      <c r="D691" s="4">
        <v>165.4</v>
      </c>
      <c r="E691" s="4">
        <v>138.30000000000001</v>
      </c>
      <c r="F691" s="4">
        <v>0.1</v>
      </c>
      <c r="G691" s="4">
        <v>0.1</v>
      </c>
      <c r="H691" s="4">
        <v>-27.2</v>
      </c>
      <c r="I691" s="4">
        <v>-16.399999999999999</v>
      </c>
      <c r="J691" s="4">
        <v>12.5</v>
      </c>
    </row>
    <row r="692" spans="1:10" x14ac:dyDescent="0.35">
      <c r="A692" s="3" t="s">
        <v>1404</v>
      </c>
      <c r="B692" s="3" t="s">
        <v>1405</v>
      </c>
      <c r="C692" s="4" t="s">
        <v>65</v>
      </c>
      <c r="D692" s="4">
        <v>65.3</v>
      </c>
      <c r="E692" s="4">
        <v>60.4</v>
      </c>
      <c r="F692" s="4">
        <v>0</v>
      </c>
      <c r="G692" s="4">
        <v>0</v>
      </c>
      <c r="H692" s="4">
        <v>-4.9000000000000004</v>
      </c>
      <c r="I692" s="4">
        <v>-7.6</v>
      </c>
      <c r="J692" s="4">
        <v>5.4</v>
      </c>
    </row>
    <row r="693" spans="1:10" x14ac:dyDescent="0.35">
      <c r="A693" s="3" t="s">
        <v>1406</v>
      </c>
      <c r="B693" s="3" t="s">
        <v>1407</v>
      </c>
      <c r="C693" s="4" t="s">
        <v>65</v>
      </c>
      <c r="D693" s="4">
        <v>364.1</v>
      </c>
      <c r="E693" s="4">
        <v>311.10000000000002</v>
      </c>
      <c r="F693" s="4">
        <v>0.2</v>
      </c>
      <c r="G693" s="4">
        <v>0.2</v>
      </c>
      <c r="H693" s="4">
        <v>-52.9</v>
      </c>
      <c r="I693" s="4">
        <v>-14.5</v>
      </c>
      <c r="J693" s="4">
        <v>29</v>
      </c>
    </row>
    <row r="694" spans="1:10" x14ac:dyDescent="0.35">
      <c r="A694" s="3" t="s">
        <v>1408</v>
      </c>
      <c r="B694" s="3" t="s">
        <v>1409</v>
      </c>
      <c r="C694" s="4" t="s">
        <v>65</v>
      </c>
      <c r="D694" s="4">
        <v>43.7</v>
      </c>
      <c r="E694" s="4">
        <v>44.2</v>
      </c>
      <c r="F694" s="4">
        <v>0</v>
      </c>
      <c r="G694" s="4">
        <v>0</v>
      </c>
      <c r="H694" s="4">
        <v>0.5</v>
      </c>
      <c r="I694" s="4">
        <v>1.1000000000000001</v>
      </c>
      <c r="J694" s="4">
        <v>4.5</v>
      </c>
    </row>
    <row r="695" spans="1:10" x14ac:dyDescent="0.35">
      <c r="A695" s="3" t="s">
        <v>1410</v>
      </c>
      <c r="B695" s="3" t="s">
        <v>1411</v>
      </c>
      <c r="C695" s="4" t="s">
        <v>60</v>
      </c>
      <c r="D695" s="4">
        <v>5871</v>
      </c>
      <c r="E695" s="4">
        <v>5639.3</v>
      </c>
      <c r="F695" s="4">
        <v>3.6</v>
      </c>
      <c r="G695" s="4">
        <v>3.3</v>
      </c>
      <c r="H695" s="4">
        <v>-231.7</v>
      </c>
      <c r="I695" s="4">
        <v>-3.9</v>
      </c>
      <c r="J695" s="4">
        <v>712.4</v>
      </c>
    </row>
    <row r="696" spans="1:10" x14ac:dyDescent="0.35">
      <c r="A696" s="3" t="s">
        <v>1412</v>
      </c>
      <c r="B696" s="3" t="s">
        <v>1413</v>
      </c>
      <c r="C696" s="4" t="s">
        <v>65</v>
      </c>
      <c r="D696" s="4">
        <v>43.7</v>
      </c>
      <c r="E696" s="4">
        <v>39.799999999999997</v>
      </c>
      <c r="F696" s="4">
        <v>0</v>
      </c>
      <c r="G696" s="4">
        <v>0</v>
      </c>
      <c r="H696" s="4">
        <v>-3.9</v>
      </c>
      <c r="I696" s="4">
        <v>-8.9</v>
      </c>
      <c r="J696" s="4">
        <v>4.3</v>
      </c>
    </row>
    <row r="697" spans="1:10" x14ac:dyDescent="0.35">
      <c r="A697" s="3" t="s">
        <v>1414</v>
      </c>
      <c r="B697" s="3" t="s">
        <v>1415</v>
      </c>
      <c r="C697" s="4" t="s">
        <v>65</v>
      </c>
      <c r="D697" s="4">
        <v>6</v>
      </c>
      <c r="E697" s="4">
        <v>5.6</v>
      </c>
      <c r="F697" s="4">
        <v>0</v>
      </c>
      <c r="G697" s="4">
        <v>0</v>
      </c>
      <c r="H697" s="4">
        <v>-0.4</v>
      </c>
      <c r="I697" s="4">
        <v>-5.9</v>
      </c>
      <c r="J697" s="4">
        <v>0.6</v>
      </c>
    </row>
    <row r="698" spans="1:10" x14ac:dyDescent="0.35">
      <c r="A698" s="3" t="s">
        <v>1416</v>
      </c>
      <c r="B698" s="3" t="s">
        <v>1417</v>
      </c>
      <c r="C698" s="4" t="s">
        <v>65</v>
      </c>
      <c r="D698" s="4">
        <v>170.6</v>
      </c>
      <c r="E698" s="4">
        <v>175.7</v>
      </c>
      <c r="F698" s="4">
        <v>0.1</v>
      </c>
      <c r="G698" s="4">
        <v>0.1</v>
      </c>
      <c r="H698" s="4">
        <v>5.0999999999999996</v>
      </c>
      <c r="I698" s="4">
        <v>3</v>
      </c>
      <c r="J698" s="4">
        <v>17.7</v>
      </c>
    </row>
    <row r="699" spans="1:10" x14ac:dyDescent="0.35">
      <c r="A699" s="3" t="s">
        <v>1418</v>
      </c>
      <c r="B699" s="3" t="s">
        <v>1419</v>
      </c>
      <c r="C699" s="4" t="s">
        <v>65</v>
      </c>
      <c r="D699" s="4">
        <v>16.399999999999999</v>
      </c>
      <c r="E699" s="4">
        <v>15.5</v>
      </c>
      <c r="F699" s="4">
        <v>0</v>
      </c>
      <c r="G699" s="4">
        <v>0</v>
      </c>
      <c r="H699" s="4">
        <v>-1</v>
      </c>
      <c r="I699" s="4">
        <v>-5.8</v>
      </c>
      <c r="J699" s="4">
        <v>1.2</v>
      </c>
    </row>
    <row r="700" spans="1:10" x14ac:dyDescent="0.35">
      <c r="A700" s="3" t="s">
        <v>1420</v>
      </c>
      <c r="B700" s="3" t="s">
        <v>1421</v>
      </c>
      <c r="C700" s="4" t="s">
        <v>65</v>
      </c>
      <c r="D700" s="4">
        <v>2982.9</v>
      </c>
      <c r="E700" s="4">
        <v>2820.2</v>
      </c>
      <c r="F700" s="4">
        <v>1.8</v>
      </c>
      <c r="G700" s="4">
        <v>1.7</v>
      </c>
      <c r="H700" s="4">
        <v>-162.69999999999999</v>
      </c>
      <c r="I700" s="4">
        <v>-5.5</v>
      </c>
      <c r="J700" s="4">
        <v>373.4</v>
      </c>
    </row>
    <row r="701" spans="1:10" x14ac:dyDescent="0.35">
      <c r="A701" s="3" t="s">
        <v>1422</v>
      </c>
      <c r="B701" s="3" t="s">
        <v>1423</v>
      </c>
      <c r="C701" s="4" t="s">
        <v>65</v>
      </c>
      <c r="D701" s="4">
        <v>157.5</v>
      </c>
      <c r="E701" s="4">
        <v>161</v>
      </c>
      <c r="F701" s="4">
        <v>0.1</v>
      </c>
      <c r="G701" s="4">
        <v>0.1</v>
      </c>
      <c r="H701" s="4">
        <v>3.5</v>
      </c>
      <c r="I701" s="4">
        <v>2.2000000000000002</v>
      </c>
      <c r="J701" s="4">
        <v>14.1</v>
      </c>
    </row>
    <row r="702" spans="1:10" x14ac:dyDescent="0.35">
      <c r="A702" s="3" t="s">
        <v>1424</v>
      </c>
      <c r="B702" s="3" t="s">
        <v>1425</v>
      </c>
      <c r="C702" s="4" t="s">
        <v>65</v>
      </c>
      <c r="D702" s="4">
        <v>91.1</v>
      </c>
      <c r="E702" s="4">
        <v>76.5</v>
      </c>
      <c r="F702" s="4">
        <v>0.1</v>
      </c>
      <c r="G702" s="4">
        <v>0</v>
      </c>
      <c r="H702" s="4">
        <v>-14.6</v>
      </c>
      <c r="I702" s="4">
        <v>-16</v>
      </c>
      <c r="J702" s="4">
        <v>8.8000000000000007</v>
      </c>
    </row>
    <row r="703" spans="1:10" x14ac:dyDescent="0.35">
      <c r="A703" s="3" t="s">
        <v>1426</v>
      </c>
      <c r="B703" s="3" t="s">
        <v>1427</v>
      </c>
      <c r="C703" s="4" t="s">
        <v>65</v>
      </c>
      <c r="D703" s="4">
        <v>257.7</v>
      </c>
      <c r="E703" s="4">
        <v>251.1</v>
      </c>
      <c r="F703" s="4">
        <v>0.2</v>
      </c>
      <c r="G703" s="4">
        <v>0.1</v>
      </c>
      <c r="H703" s="4">
        <v>-6.6</v>
      </c>
      <c r="I703" s="4">
        <v>-2.6</v>
      </c>
      <c r="J703" s="4">
        <v>39.799999999999997</v>
      </c>
    </row>
    <row r="704" spans="1:10" x14ac:dyDescent="0.35">
      <c r="A704" s="3" t="s">
        <v>1428</v>
      </c>
      <c r="B704" s="3" t="s">
        <v>1429</v>
      </c>
      <c r="C704" s="4" t="s">
        <v>65</v>
      </c>
      <c r="D704" s="4">
        <v>175.4</v>
      </c>
      <c r="E704" s="4">
        <v>157.6</v>
      </c>
      <c r="F704" s="4">
        <v>0.1</v>
      </c>
      <c r="G704" s="4">
        <v>0.1</v>
      </c>
      <c r="H704" s="4">
        <v>-17.7</v>
      </c>
      <c r="I704" s="4">
        <v>-10.1</v>
      </c>
      <c r="J704" s="4">
        <v>18.2</v>
      </c>
    </row>
    <row r="705" spans="1:10" x14ac:dyDescent="0.35">
      <c r="A705" s="3" t="s">
        <v>1430</v>
      </c>
      <c r="B705" s="3" t="s">
        <v>1431</v>
      </c>
      <c r="C705" s="4" t="s">
        <v>65</v>
      </c>
      <c r="D705" s="4">
        <v>82.9</v>
      </c>
      <c r="E705" s="4">
        <v>78.2</v>
      </c>
      <c r="F705" s="4">
        <v>0.1</v>
      </c>
      <c r="G705" s="4">
        <v>0</v>
      </c>
      <c r="H705" s="4">
        <v>-4.8</v>
      </c>
      <c r="I705" s="4">
        <v>-5.8</v>
      </c>
      <c r="J705" s="4">
        <v>13.5</v>
      </c>
    </row>
    <row r="706" spans="1:10" x14ac:dyDescent="0.35">
      <c r="A706" s="3" t="s">
        <v>1432</v>
      </c>
      <c r="B706" s="3" t="s">
        <v>1433</v>
      </c>
      <c r="C706" s="4" t="s">
        <v>65</v>
      </c>
      <c r="D706" s="4">
        <v>247.1</v>
      </c>
      <c r="E706" s="4">
        <v>244.6</v>
      </c>
      <c r="F706" s="4">
        <v>0.2</v>
      </c>
      <c r="G706" s="4">
        <v>0.1</v>
      </c>
      <c r="H706" s="4">
        <v>-2.5</v>
      </c>
      <c r="I706" s="4">
        <v>-1</v>
      </c>
      <c r="J706" s="4">
        <v>20</v>
      </c>
    </row>
    <row r="707" spans="1:10" x14ac:dyDescent="0.35">
      <c r="A707" s="3" t="s">
        <v>1434</v>
      </c>
      <c r="B707" s="3" t="s">
        <v>1435</v>
      </c>
      <c r="C707" s="4" t="s">
        <v>65</v>
      </c>
      <c r="D707" s="4">
        <v>46.6</v>
      </c>
      <c r="E707" s="4">
        <v>39.799999999999997</v>
      </c>
      <c r="F707" s="4">
        <v>0</v>
      </c>
      <c r="G707" s="4">
        <v>0</v>
      </c>
      <c r="H707" s="4">
        <v>-6.7</v>
      </c>
      <c r="I707" s="4">
        <v>-14.4</v>
      </c>
      <c r="J707" s="4">
        <v>3.2</v>
      </c>
    </row>
    <row r="708" spans="1:10" x14ac:dyDescent="0.35">
      <c r="A708" s="3" t="s">
        <v>1436</v>
      </c>
      <c r="B708" s="3" t="s">
        <v>1437</v>
      </c>
      <c r="C708" s="4" t="s">
        <v>65</v>
      </c>
      <c r="D708" s="4">
        <v>132.80000000000001</v>
      </c>
      <c r="E708" s="4">
        <v>108.6</v>
      </c>
      <c r="F708" s="4">
        <v>0.1</v>
      </c>
      <c r="G708" s="4">
        <v>0.1</v>
      </c>
      <c r="H708" s="4">
        <v>-24.2</v>
      </c>
      <c r="I708" s="4">
        <v>-18.2</v>
      </c>
      <c r="J708" s="4">
        <v>11.2</v>
      </c>
    </row>
    <row r="709" spans="1:10" x14ac:dyDescent="0.35">
      <c r="A709" s="3" t="s">
        <v>1438</v>
      </c>
      <c r="B709" s="3" t="s">
        <v>1439</v>
      </c>
      <c r="C709" s="4" t="s">
        <v>65</v>
      </c>
      <c r="D709" s="4">
        <v>107.6</v>
      </c>
      <c r="E709" s="4">
        <v>102.4</v>
      </c>
      <c r="F709" s="4">
        <v>0.1</v>
      </c>
      <c r="G709" s="4">
        <v>0.1</v>
      </c>
      <c r="H709" s="4">
        <v>-5.2</v>
      </c>
      <c r="I709" s="4">
        <v>-4.9000000000000004</v>
      </c>
      <c r="J709" s="4">
        <v>11.1</v>
      </c>
    </row>
    <row r="710" spans="1:10" x14ac:dyDescent="0.35">
      <c r="A710" s="3" t="s">
        <v>1440</v>
      </c>
      <c r="B710" s="3" t="s">
        <v>1441</v>
      </c>
      <c r="C710" s="4" t="s">
        <v>65</v>
      </c>
      <c r="D710" s="4">
        <v>1068.8</v>
      </c>
      <c r="E710" s="4">
        <v>1072.7</v>
      </c>
      <c r="F710" s="4">
        <v>0.6</v>
      </c>
      <c r="G710" s="4">
        <v>0.6</v>
      </c>
      <c r="H710" s="4">
        <v>3.9</v>
      </c>
      <c r="I710" s="4">
        <v>0.4</v>
      </c>
      <c r="J710" s="4">
        <v>142.6</v>
      </c>
    </row>
    <row r="711" spans="1:10" x14ac:dyDescent="0.35">
      <c r="A711" s="3" t="s">
        <v>1442</v>
      </c>
      <c r="B711" s="3" t="s">
        <v>1443</v>
      </c>
      <c r="C711" s="4" t="s">
        <v>65</v>
      </c>
      <c r="D711" s="4">
        <v>123</v>
      </c>
      <c r="E711" s="4">
        <v>124.6</v>
      </c>
      <c r="F711" s="4">
        <v>0.1</v>
      </c>
      <c r="G711" s="4">
        <v>0.1</v>
      </c>
      <c r="H711" s="4">
        <v>1.6</v>
      </c>
      <c r="I711" s="4">
        <v>1.3</v>
      </c>
      <c r="J711" s="4">
        <v>13.8</v>
      </c>
    </row>
    <row r="712" spans="1:10" x14ac:dyDescent="0.35">
      <c r="A712" s="3" t="s">
        <v>1444</v>
      </c>
      <c r="B712" s="3" t="s">
        <v>1445</v>
      </c>
      <c r="C712" s="4" t="s">
        <v>65</v>
      </c>
      <c r="D712" s="4">
        <v>161.1</v>
      </c>
      <c r="E712" s="4">
        <v>165.4</v>
      </c>
      <c r="F712" s="4">
        <v>0.1</v>
      </c>
      <c r="G712" s="4">
        <v>0.1</v>
      </c>
      <c r="H712" s="4">
        <v>4.3</v>
      </c>
      <c r="I712" s="4">
        <v>2.7</v>
      </c>
      <c r="J712" s="4">
        <v>18.899999999999999</v>
      </c>
    </row>
    <row r="713" spans="1:10" x14ac:dyDescent="0.35">
      <c r="A713" s="3" t="s">
        <v>1446</v>
      </c>
      <c r="B713" s="3" t="s">
        <v>1447</v>
      </c>
      <c r="C713" s="4" t="s">
        <v>60</v>
      </c>
      <c r="D713" s="4">
        <v>2467.9</v>
      </c>
      <c r="E713" s="4">
        <v>2382.9</v>
      </c>
      <c r="F713" s="4">
        <v>1.5</v>
      </c>
      <c r="G713" s="4">
        <v>1.4</v>
      </c>
      <c r="H713" s="4">
        <v>-84.9</v>
      </c>
      <c r="I713" s="4">
        <v>-3.4</v>
      </c>
      <c r="J713" s="4">
        <v>226</v>
      </c>
    </row>
    <row r="714" spans="1:10" x14ac:dyDescent="0.35">
      <c r="A714" s="3" t="s">
        <v>1448</v>
      </c>
      <c r="B714" s="3" t="s">
        <v>1449</v>
      </c>
      <c r="C714" s="4" t="s">
        <v>65</v>
      </c>
      <c r="D714" s="4">
        <v>95.9</v>
      </c>
      <c r="E714" s="4">
        <v>105.2</v>
      </c>
      <c r="F714" s="4">
        <v>0.1</v>
      </c>
      <c r="G714" s="4">
        <v>0.1</v>
      </c>
      <c r="H714" s="4">
        <v>9.3000000000000007</v>
      </c>
      <c r="I714" s="4">
        <v>9.6999999999999993</v>
      </c>
      <c r="J714" s="4">
        <v>11</v>
      </c>
    </row>
    <row r="715" spans="1:10" x14ac:dyDescent="0.35">
      <c r="A715" s="3" t="s">
        <v>1450</v>
      </c>
      <c r="B715" s="3" t="s">
        <v>1451</v>
      </c>
      <c r="C715" s="4" t="s">
        <v>65</v>
      </c>
      <c r="D715" s="4">
        <v>217.1</v>
      </c>
      <c r="E715" s="4">
        <v>220.6</v>
      </c>
      <c r="F715" s="4">
        <v>0.1</v>
      </c>
      <c r="G715" s="4">
        <v>0.1</v>
      </c>
      <c r="H715" s="4">
        <v>3.5</v>
      </c>
      <c r="I715" s="4">
        <v>1.6</v>
      </c>
      <c r="J715" s="4">
        <v>23.7</v>
      </c>
    </row>
    <row r="716" spans="1:10" x14ac:dyDescent="0.35">
      <c r="A716" s="3" t="s">
        <v>1452</v>
      </c>
      <c r="B716" s="3" t="s">
        <v>1453</v>
      </c>
      <c r="C716" s="4" t="s">
        <v>60</v>
      </c>
      <c r="D716" s="4">
        <v>314.3</v>
      </c>
      <c r="E716" s="4">
        <v>315.39999999999998</v>
      </c>
      <c r="F716" s="4">
        <v>0.2</v>
      </c>
      <c r="G716" s="4">
        <v>0.2</v>
      </c>
      <c r="H716" s="4">
        <v>1.1000000000000001</v>
      </c>
      <c r="I716" s="4">
        <v>0.3</v>
      </c>
      <c r="J716" s="4">
        <v>30.1</v>
      </c>
    </row>
    <row r="717" spans="1:10" x14ac:dyDescent="0.35">
      <c r="A717" s="3" t="s">
        <v>1454</v>
      </c>
      <c r="B717" s="3" t="s">
        <v>1455</v>
      </c>
      <c r="C717" s="4" t="s">
        <v>65</v>
      </c>
      <c r="D717" s="4">
        <v>99.5</v>
      </c>
      <c r="E717" s="4">
        <v>102.9</v>
      </c>
      <c r="F717" s="4">
        <v>0.1</v>
      </c>
      <c r="G717" s="4">
        <v>0.1</v>
      </c>
      <c r="H717" s="4">
        <v>3.4</v>
      </c>
      <c r="I717" s="4">
        <v>3.4</v>
      </c>
      <c r="J717" s="4">
        <v>10.4</v>
      </c>
    </row>
    <row r="718" spans="1:10" x14ac:dyDescent="0.35">
      <c r="A718" s="3" t="s">
        <v>1456</v>
      </c>
      <c r="B718" s="3" t="s">
        <v>1457</v>
      </c>
      <c r="C718" s="4" t="s">
        <v>65</v>
      </c>
      <c r="D718" s="4">
        <v>214.8</v>
      </c>
      <c r="E718" s="4">
        <v>212.5</v>
      </c>
      <c r="F718" s="4">
        <v>0.1</v>
      </c>
      <c r="G718" s="4">
        <v>0.1</v>
      </c>
      <c r="H718" s="4">
        <v>-2.2999999999999998</v>
      </c>
      <c r="I718" s="4">
        <v>-1.1000000000000001</v>
      </c>
      <c r="J718" s="4">
        <v>19.7</v>
      </c>
    </row>
    <row r="719" spans="1:10" x14ac:dyDescent="0.35">
      <c r="A719" s="3" t="s">
        <v>1458</v>
      </c>
      <c r="B719" s="3" t="s">
        <v>1459</v>
      </c>
      <c r="C719" s="4" t="s">
        <v>65</v>
      </c>
      <c r="D719" s="4">
        <v>21.1</v>
      </c>
      <c r="E719" s="4">
        <v>18.5</v>
      </c>
      <c r="F719" s="4">
        <v>0</v>
      </c>
      <c r="G719" s="4">
        <v>0</v>
      </c>
      <c r="H719" s="4">
        <v>-2.6</v>
      </c>
      <c r="I719" s="4">
        <v>-12.2</v>
      </c>
      <c r="J719" s="4">
        <v>1.4</v>
      </c>
    </row>
    <row r="720" spans="1:10" x14ac:dyDescent="0.35">
      <c r="A720" s="3" t="s">
        <v>1460</v>
      </c>
      <c r="B720" s="3" t="s">
        <v>1461</v>
      </c>
      <c r="C720" s="4" t="s">
        <v>60</v>
      </c>
      <c r="D720" s="4">
        <v>504.3</v>
      </c>
      <c r="E720" s="4">
        <v>465.3</v>
      </c>
      <c r="F720" s="4">
        <v>0.3</v>
      </c>
      <c r="G720" s="4">
        <v>0.3</v>
      </c>
      <c r="H720" s="4">
        <v>-39</v>
      </c>
      <c r="I720" s="4">
        <v>-7.7</v>
      </c>
      <c r="J720" s="4">
        <v>34.4</v>
      </c>
    </row>
    <row r="721" spans="1:10" x14ac:dyDescent="0.35">
      <c r="A721" s="3" t="s">
        <v>1462</v>
      </c>
      <c r="B721" s="3" t="s">
        <v>1463</v>
      </c>
      <c r="C721" s="4" t="s">
        <v>65</v>
      </c>
      <c r="D721" s="4">
        <v>74.8</v>
      </c>
      <c r="E721" s="4">
        <v>69.8</v>
      </c>
      <c r="F721" s="4">
        <v>0</v>
      </c>
      <c r="G721" s="4">
        <v>0</v>
      </c>
      <c r="H721" s="4">
        <v>-5</v>
      </c>
      <c r="I721" s="4">
        <v>-6.7</v>
      </c>
      <c r="J721" s="4">
        <v>5.6</v>
      </c>
    </row>
    <row r="722" spans="1:10" x14ac:dyDescent="0.35">
      <c r="A722" s="3" t="s">
        <v>1464</v>
      </c>
      <c r="B722" s="3" t="s">
        <v>1465</v>
      </c>
      <c r="C722" s="4" t="s">
        <v>65</v>
      </c>
      <c r="D722" s="4">
        <v>314.5</v>
      </c>
      <c r="E722" s="4">
        <v>293.5</v>
      </c>
      <c r="F722" s="4">
        <v>0.2</v>
      </c>
      <c r="G722" s="4">
        <v>0.2</v>
      </c>
      <c r="H722" s="4">
        <v>-21</v>
      </c>
      <c r="I722" s="4">
        <v>-6.7</v>
      </c>
      <c r="J722" s="4">
        <v>20.6</v>
      </c>
    </row>
    <row r="723" spans="1:10" x14ac:dyDescent="0.35">
      <c r="A723" s="3" t="s">
        <v>1466</v>
      </c>
      <c r="B723" s="3" t="s">
        <v>1467</v>
      </c>
      <c r="C723" s="4" t="s">
        <v>65</v>
      </c>
      <c r="D723" s="4">
        <v>115</v>
      </c>
      <c r="E723" s="4">
        <v>102.1</v>
      </c>
      <c r="F723" s="4">
        <v>0.1</v>
      </c>
      <c r="G723" s="4">
        <v>0.1</v>
      </c>
      <c r="H723" s="4">
        <v>-13</v>
      </c>
      <c r="I723" s="4">
        <v>-11.3</v>
      </c>
      <c r="J723" s="4">
        <v>8.1999999999999993</v>
      </c>
    </row>
    <row r="724" spans="1:10" x14ac:dyDescent="0.35">
      <c r="A724" s="3" t="s">
        <v>1468</v>
      </c>
      <c r="B724" s="3" t="s">
        <v>1469</v>
      </c>
      <c r="C724" s="4" t="s">
        <v>65</v>
      </c>
      <c r="D724" s="4">
        <v>396.8</v>
      </c>
      <c r="E724" s="4">
        <v>413.3</v>
      </c>
      <c r="F724" s="4">
        <v>0.2</v>
      </c>
      <c r="G724" s="4">
        <v>0.2</v>
      </c>
      <c r="H724" s="4">
        <v>16.5</v>
      </c>
      <c r="I724" s="4">
        <v>4.2</v>
      </c>
      <c r="J724" s="4">
        <v>42.7</v>
      </c>
    </row>
    <row r="725" spans="1:10" x14ac:dyDescent="0.35">
      <c r="A725" s="3" t="s">
        <v>1470</v>
      </c>
      <c r="B725" s="3" t="s">
        <v>1471</v>
      </c>
      <c r="C725" s="4" t="s">
        <v>65</v>
      </c>
      <c r="D725" s="4">
        <v>862.9</v>
      </c>
      <c r="E725" s="4">
        <v>790.6</v>
      </c>
      <c r="F725" s="4">
        <v>0.5</v>
      </c>
      <c r="G725" s="4">
        <v>0.5</v>
      </c>
      <c r="H725" s="4">
        <v>-72.2</v>
      </c>
      <c r="I725" s="4">
        <v>-8.4</v>
      </c>
      <c r="J725" s="4">
        <v>76.099999999999994</v>
      </c>
    </row>
    <row r="726" spans="1:10" x14ac:dyDescent="0.35">
      <c r="A726" s="3" t="s">
        <v>1472</v>
      </c>
      <c r="B726" s="3" t="s">
        <v>1473</v>
      </c>
      <c r="C726" s="4" t="s">
        <v>65</v>
      </c>
      <c r="D726" s="4">
        <v>55.6</v>
      </c>
      <c r="E726" s="4">
        <v>54</v>
      </c>
      <c r="F726" s="4">
        <v>0</v>
      </c>
      <c r="G726" s="4">
        <v>0</v>
      </c>
      <c r="H726" s="4">
        <v>-1.6</v>
      </c>
      <c r="I726" s="4">
        <v>-2.8</v>
      </c>
      <c r="J726" s="4">
        <v>6.5</v>
      </c>
    </row>
    <row r="727" spans="1:10" x14ac:dyDescent="0.35">
      <c r="A727" s="3" t="s">
        <v>1474</v>
      </c>
      <c r="B727" s="3" t="s">
        <v>1475</v>
      </c>
      <c r="C727" s="4" t="s">
        <v>60</v>
      </c>
      <c r="D727" s="4">
        <v>3399.2</v>
      </c>
      <c r="E727" s="4">
        <v>3066.6</v>
      </c>
      <c r="F727" s="4">
        <v>2.1</v>
      </c>
      <c r="G727" s="4">
        <v>1.8</v>
      </c>
      <c r="H727" s="4">
        <v>-332.6</v>
      </c>
      <c r="I727" s="4">
        <v>-9.8000000000000007</v>
      </c>
      <c r="J727" s="4">
        <v>316</v>
      </c>
    </row>
    <row r="728" spans="1:10" x14ac:dyDescent="0.35">
      <c r="A728" s="3" t="s">
        <v>1476</v>
      </c>
      <c r="B728" s="3" t="s">
        <v>1477</v>
      </c>
      <c r="C728" s="4" t="s">
        <v>65</v>
      </c>
      <c r="D728" s="4">
        <v>511.1</v>
      </c>
      <c r="E728" s="4">
        <v>403</v>
      </c>
      <c r="F728" s="4">
        <v>0.3</v>
      </c>
      <c r="G728" s="4">
        <v>0.2</v>
      </c>
      <c r="H728" s="4">
        <v>-108.1</v>
      </c>
      <c r="I728" s="4">
        <v>-21.1</v>
      </c>
      <c r="J728" s="4">
        <v>35.6</v>
      </c>
    </row>
    <row r="729" spans="1:10" x14ac:dyDescent="0.35">
      <c r="A729" s="3" t="s">
        <v>1478</v>
      </c>
      <c r="B729" s="3" t="s">
        <v>1479</v>
      </c>
      <c r="C729" s="4" t="s">
        <v>65</v>
      </c>
      <c r="D729" s="4">
        <v>161.4</v>
      </c>
      <c r="E729" s="4">
        <v>126.2</v>
      </c>
      <c r="F729" s="4">
        <v>0.1</v>
      </c>
      <c r="G729" s="4">
        <v>0.1</v>
      </c>
      <c r="H729" s="4">
        <v>-35.299999999999997</v>
      </c>
      <c r="I729" s="4">
        <v>-21.8</v>
      </c>
      <c r="J729" s="4">
        <v>12.7</v>
      </c>
    </row>
    <row r="730" spans="1:10" x14ac:dyDescent="0.35">
      <c r="A730" s="3" t="s">
        <v>1480</v>
      </c>
      <c r="B730" s="3" t="s">
        <v>1481</v>
      </c>
      <c r="C730" s="4" t="s">
        <v>65</v>
      </c>
      <c r="D730" s="4">
        <v>696.6</v>
      </c>
      <c r="E730" s="4">
        <v>743.2</v>
      </c>
      <c r="F730" s="4">
        <v>0.4</v>
      </c>
      <c r="G730" s="4">
        <v>0.4</v>
      </c>
      <c r="H730" s="4">
        <v>46.6</v>
      </c>
      <c r="I730" s="4">
        <v>6.7</v>
      </c>
      <c r="J730" s="4">
        <v>79.3</v>
      </c>
    </row>
    <row r="731" spans="1:10" x14ac:dyDescent="0.35">
      <c r="A731" s="3" t="s">
        <v>1482</v>
      </c>
      <c r="B731" s="3" t="s">
        <v>1483</v>
      </c>
      <c r="C731" s="4" t="s">
        <v>65</v>
      </c>
      <c r="D731" s="4">
        <v>2030.2</v>
      </c>
      <c r="E731" s="4">
        <v>1794.3</v>
      </c>
      <c r="F731" s="4">
        <v>1.2</v>
      </c>
      <c r="G731" s="4">
        <v>1.1000000000000001</v>
      </c>
      <c r="H731" s="4">
        <v>-235.9</v>
      </c>
      <c r="I731" s="4">
        <v>-11.6</v>
      </c>
      <c r="J731" s="4">
        <v>188.4</v>
      </c>
    </row>
    <row r="732" spans="1:10" x14ac:dyDescent="0.35">
      <c r="A732" s="3" t="s">
        <v>1484</v>
      </c>
      <c r="B732" s="3" t="s">
        <v>1485</v>
      </c>
      <c r="C732" s="4" t="s">
        <v>60</v>
      </c>
      <c r="D732" s="4">
        <v>3479.4</v>
      </c>
      <c r="E732" s="4">
        <v>3208.4</v>
      </c>
      <c r="F732" s="4">
        <v>2.1</v>
      </c>
      <c r="G732" s="4">
        <v>1.9</v>
      </c>
      <c r="H732" s="4">
        <v>-271</v>
      </c>
      <c r="I732" s="4">
        <v>-7.8</v>
      </c>
      <c r="J732" s="4">
        <v>362</v>
      </c>
    </row>
    <row r="733" spans="1:10" x14ac:dyDescent="0.35">
      <c r="A733" s="3" t="s">
        <v>1486</v>
      </c>
      <c r="B733" s="3" t="s">
        <v>1487</v>
      </c>
      <c r="C733" s="4" t="s">
        <v>60</v>
      </c>
      <c r="D733" s="4">
        <v>209.6</v>
      </c>
      <c r="E733" s="4">
        <v>149.5</v>
      </c>
      <c r="F733" s="4">
        <v>0.1</v>
      </c>
      <c r="G733" s="4">
        <v>0.1</v>
      </c>
      <c r="H733" s="4">
        <v>-60.1</v>
      </c>
      <c r="I733" s="4">
        <v>-28.7</v>
      </c>
      <c r="J733" s="4">
        <v>15.3</v>
      </c>
    </row>
    <row r="734" spans="1:10" x14ac:dyDescent="0.35">
      <c r="A734" s="3" t="s">
        <v>1488</v>
      </c>
      <c r="B734" s="3" t="s">
        <v>1489</v>
      </c>
      <c r="C734" s="4" t="s">
        <v>65</v>
      </c>
      <c r="D734" s="4">
        <v>165.6</v>
      </c>
      <c r="E734" s="4">
        <v>122.5</v>
      </c>
      <c r="F734" s="4">
        <v>0.1</v>
      </c>
      <c r="G734" s="4">
        <v>0.1</v>
      </c>
      <c r="H734" s="4">
        <v>-43.1</v>
      </c>
      <c r="I734" s="4">
        <v>-26</v>
      </c>
      <c r="J734" s="4">
        <v>12.3</v>
      </c>
    </row>
    <row r="735" spans="1:10" x14ac:dyDescent="0.35">
      <c r="A735" s="3" t="s">
        <v>1490</v>
      </c>
      <c r="B735" s="3" t="s">
        <v>1491</v>
      </c>
      <c r="C735" s="4" t="s">
        <v>65</v>
      </c>
      <c r="D735" s="4">
        <v>44</v>
      </c>
      <c r="E735" s="4">
        <v>27</v>
      </c>
      <c r="F735" s="4">
        <v>0</v>
      </c>
      <c r="G735" s="4">
        <v>0</v>
      </c>
      <c r="H735" s="4">
        <v>-17</v>
      </c>
      <c r="I735" s="4">
        <v>-38.6</v>
      </c>
      <c r="J735" s="4">
        <v>3</v>
      </c>
    </row>
    <row r="736" spans="1:10" x14ac:dyDescent="0.35">
      <c r="A736" s="3" t="s">
        <v>1492</v>
      </c>
      <c r="B736" s="3" t="s">
        <v>1493</v>
      </c>
      <c r="C736" s="4" t="s">
        <v>65</v>
      </c>
      <c r="D736" s="4">
        <v>8.5</v>
      </c>
      <c r="E736" s="4">
        <v>7.4</v>
      </c>
      <c r="F736" s="4">
        <v>0</v>
      </c>
      <c r="G736" s="4">
        <v>0</v>
      </c>
      <c r="H736" s="4">
        <v>-1.1000000000000001</v>
      </c>
      <c r="I736" s="4">
        <v>-13.5</v>
      </c>
      <c r="J736" s="4">
        <v>0.7</v>
      </c>
    </row>
    <row r="737" spans="1:10" x14ac:dyDescent="0.35">
      <c r="A737" s="3" t="s">
        <v>1494</v>
      </c>
      <c r="B737" s="3" t="s">
        <v>1495</v>
      </c>
      <c r="C737" s="4" t="s">
        <v>65</v>
      </c>
      <c r="D737" s="4">
        <v>259</v>
      </c>
      <c r="E737" s="4">
        <v>250.8</v>
      </c>
      <c r="F737" s="4">
        <v>0.2</v>
      </c>
      <c r="G737" s="4">
        <v>0.1</v>
      </c>
      <c r="H737" s="4">
        <v>-8.1999999999999993</v>
      </c>
      <c r="I737" s="4">
        <v>-3.2</v>
      </c>
      <c r="J737" s="4">
        <v>22.1</v>
      </c>
    </row>
    <row r="738" spans="1:10" x14ac:dyDescent="0.35">
      <c r="A738" s="3" t="s">
        <v>1496</v>
      </c>
      <c r="B738" s="3" t="s">
        <v>1497</v>
      </c>
      <c r="C738" s="4" t="s">
        <v>65</v>
      </c>
      <c r="D738" s="4">
        <v>72.8</v>
      </c>
      <c r="E738" s="4">
        <v>69.400000000000006</v>
      </c>
      <c r="F738" s="4">
        <v>0</v>
      </c>
      <c r="G738" s="4">
        <v>0</v>
      </c>
      <c r="H738" s="4">
        <v>-3.4</v>
      </c>
      <c r="I738" s="4">
        <v>-4.7</v>
      </c>
      <c r="J738" s="4">
        <v>8.9</v>
      </c>
    </row>
    <row r="739" spans="1:10" x14ac:dyDescent="0.35">
      <c r="A739" s="3" t="s">
        <v>1498</v>
      </c>
      <c r="B739" s="3" t="s">
        <v>1499</v>
      </c>
      <c r="C739" s="4" t="s">
        <v>65</v>
      </c>
      <c r="D739" s="4">
        <v>2668.2</v>
      </c>
      <c r="E739" s="4">
        <v>2492.8000000000002</v>
      </c>
      <c r="F739" s="4">
        <v>1.6</v>
      </c>
      <c r="G739" s="4">
        <v>1.5</v>
      </c>
      <c r="H739" s="4">
        <v>-175.4</v>
      </c>
      <c r="I739" s="4">
        <v>-6.6</v>
      </c>
      <c r="J739" s="4">
        <v>290.10000000000002</v>
      </c>
    </row>
    <row r="740" spans="1:10" x14ac:dyDescent="0.35">
      <c r="A740" s="3" t="s">
        <v>1500</v>
      </c>
      <c r="B740" s="3" t="s">
        <v>1501</v>
      </c>
      <c r="C740" s="4" t="s">
        <v>65</v>
      </c>
      <c r="D740" s="4">
        <v>31.6</v>
      </c>
      <c r="E740" s="4">
        <v>27.1</v>
      </c>
      <c r="F740" s="4">
        <v>0</v>
      </c>
      <c r="G740" s="4">
        <v>0</v>
      </c>
      <c r="H740" s="4">
        <v>-4.5</v>
      </c>
      <c r="I740" s="4">
        <v>-14.2</v>
      </c>
      <c r="J740" s="4">
        <v>3.5</v>
      </c>
    </row>
    <row r="741" spans="1:10" x14ac:dyDescent="0.35">
      <c r="A741" s="3" t="s">
        <v>1502</v>
      </c>
      <c r="B741" s="3" t="s">
        <v>1503</v>
      </c>
      <c r="C741" s="4" t="s">
        <v>65</v>
      </c>
      <c r="D741" s="4">
        <v>7.2</v>
      </c>
      <c r="E741" s="4">
        <v>6.9</v>
      </c>
      <c r="F741" s="4">
        <v>0</v>
      </c>
      <c r="G741" s="4">
        <v>0</v>
      </c>
      <c r="H741" s="4">
        <v>-0.3</v>
      </c>
      <c r="I741" s="4">
        <v>-3.9</v>
      </c>
      <c r="J741" s="4">
        <v>0.9</v>
      </c>
    </row>
    <row r="742" spans="1:10" x14ac:dyDescent="0.35">
      <c r="A742" s="3" t="s">
        <v>1504</v>
      </c>
      <c r="B742" s="3" t="s">
        <v>1505</v>
      </c>
      <c r="C742" s="4" t="s">
        <v>65</v>
      </c>
      <c r="D742" s="4">
        <v>7.4</v>
      </c>
      <c r="E742" s="4">
        <v>7.2</v>
      </c>
      <c r="F742" s="4">
        <v>0</v>
      </c>
      <c r="G742" s="4">
        <v>0</v>
      </c>
      <c r="H742" s="4">
        <v>-0.1</v>
      </c>
      <c r="I742" s="4">
        <v>-1.7</v>
      </c>
      <c r="J742" s="4">
        <v>0.6</v>
      </c>
    </row>
    <row r="743" spans="1:10" x14ac:dyDescent="0.35">
      <c r="A743" s="3" t="s">
        <v>1506</v>
      </c>
      <c r="B743" s="3" t="s">
        <v>1507</v>
      </c>
      <c r="C743" s="4" t="s">
        <v>65</v>
      </c>
      <c r="D743" s="4">
        <v>215.1</v>
      </c>
      <c r="E743" s="4">
        <v>197.3</v>
      </c>
      <c r="F743" s="4">
        <v>0.1</v>
      </c>
      <c r="G743" s="4">
        <v>0.1</v>
      </c>
      <c r="H743" s="4">
        <v>-17.8</v>
      </c>
      <c r="I743" s="4">
        <v>-8.3000000000000007</v>
      </c>
      <c r="J743" s="4">
        <v>19.8</v>
      </c>
    </row>
    <row r="744" spans="1:10" x14ac:dyDescent="0.35">
      <c r="A744" s="3" t="s">
        <v>42</v>
      </c>
      <c r="B744" s="3" t="s">
        <v>43</v>
      </c>
      <c r="C744" s="4" t="s">
        <v>60</v>
      </c>
      <c r="D744" s="4">
        <v>996.4</v>
      </c>
      <c r="E744" s="4">
        <v>977.2</v>
      </c>
      <c r="F744" s="4">
        <v>0.6</v>
      </c>
      <c r="G744" s="4">
        <v>0.6</v>
      </c>
      <c r="H744" s="4">
        <v>-19.2</v>
      </c>
      <c r="I744" s="4">
        <v>-1.9</v>
      </c>
      <c r="J744" s="4">
        <v>142</v>
      </c>
    </row>
    <row r="745" spans="1:10" x14ac:dyDescent="0.35">
      <c r="A745" s="3" t="s">
        <v>1508</v>
      </c>
      <c r="B745" s="3" t="s">
        <v>1509</v>
      </c>
      <c r="C745" s="4" t="s">
        <v>60</v>
      </c>
      <c r="D745" s="4">
        <v>56.6</v>
      </c>
      <c r="E745" s="4">
        <v>58.1</v>
      </c>
      <c r="F745" s="4">
        <v>0</v>
      </c>
      <c r="G745" s="4">
        <v>0</v>
      </c>
      <c r="H745" s="4">
        <v>1.5</v>
      </c>
      <c r="I745" s="4">
        <v>2.7</v>
      </c>
      <c r="J745" s="4">
        <v>7.7</v>
      </c>
    </row>
    <row r="746" spans="1:10" x14ac:dyDescent="0.35">
      <c r="A746" s="3" t="s">
        <v>1510</v>
      </c>
      <c r="B746" s="3" t="s">
        <v>1511</v>
      </c>
      <c r="C746" s="4" t="s">
        <v>65</v>
      </c>
      <c r="D746" s="4">
        <v>56.6</v>
      </c>
      <c r="E746" s="4">
        <v>58.1</v>
      </c>
      <c r="F746" s="4">
        <v>0</v>
      </c>
      <c r="G746" s="4">
        <v>0</v>
      </c>
      <c r="H746" s="4">
        <v>1.5</v>
      </c>
      <c r="I746" s="4">
        <v>2.7</v>
      </c>
      <c r="J746" s="4">
        <v>7.7</v>
      </c>
    </row>
    <row r="747" spans="1:10" x14ac:dyDescent="0.35">
      <c r="A747" s="3" t="s">
        <v>1512</v>
      </c>
      <c r="B747" s="3" t="s">
        <v>1513</v>
      </c>
      <c r="C747" s="4" t="s">
        <v>60</v>
      </c>
      <c r="D747" s="4">
        <v>848.8</v>
      </c>
      <c r="E747" s="4">
        <v>831.6</v>
      </c>
      <c r="F747" s="4">
        <v>0.5</v>
      </c>
      <c r="G747" s="4">
        <v>0.5</v>
      </c>
      <c r="H747" s="4">
        <v>-17.2</v>
      </c>
      <c r="I747" s="4">
        <v>-2</v>
      </c>
      <c r="J747" s="4">
        <v>122</v>
      </c>
    </row>
    <row r="748" spans="1:10" x14ac:dyDescent="0.35">
      <c r="A748" s="3" t="s">
        <v>1514</v>
      </c>
      <c r="B748" s="3" t="s">
        <v>1515</v>
      </c>
      <c r="C748" s="4" t="s">
        <v>65</v>
      </c>
      <c r="D748" s="4">
        <v>14.1</v>
      </c>
      <c r="E748" s="4">
        <v>14.4</v>
      </c>
      <c r="F748" s="4">
        <v>0</v>
      </c>
      <c r="G748" s="4">
        <v>0</v>
      </c>
      <c r="H748" s="4">
        <v>0.3</v>
      </c>
      <c r="I748" s="4">
        <v>2</v>
      </c>
      <c r="J748" s="4">
        <v>2.2999999999999998</v>
      </c>
    </row>
    <row r="749" spans="1:10" x14ac:dyDescent="0.35">
      <c r="A749" s="3" t="s">
        <v>1516</v>
      </c>
      <c r="B749" s="3" t="s">
        <v>1517</v>
      </c>
      <c r="C749" s="4" t="s">
        <v>65</v>
      </c>
      <c r="D749" s="4">
        <v>6.5</v>
      </c>
      <c r="E749" s="4">
        <v>6.6</v>
      </c>
      <c r="F749" s="4">
        <v>0</v>
      </c>
      <c r="G749" s="4">
        <v>0</v>
      </c>
      <c r="H749" s="4">
        <v>0.1</v>
      </c>
      <c r="I749" s="4">
        <v>2.1</v>
      </c>
      <c r="J749" s="4">
        <v>1</v>
      </c>
    </row>
    <row r="750" spans="1:10" x14ac:dyDescent="0.35">
      <c r="A750" s="3" t="s">
        <v>1518</v>
      </c>
      <c r="B750" s="3" t="s">
        <v>1519</v>
      </c>
      <c r="C750" s="4" t="s">
        <v>65</v>
      </c>
      <c r="D750" s="4">
        <v>30.1</v>
      </c>
      <c r="E750" s="4">
        <v>28.5</v>
      </c>
      <c r="F750" s="4">
        <v>0</v>
      </c>
      <c r="G750" s="4">
        <v>0</v>
      </c>
      <c r="H750" s="4">
        <v>-1.5</v>
      </c>
      <c r="I750" s="4">
        <v>-5.0999999999999996</v>
      </c>
      <c r="J750" s="4">
        <v>4.0999999999999996</v>
      </c>
    </row>
    <row r="751" spans="1:10" x14ac:dyDescent="0.35">
      <c r="A751" s="3" t="s">
        <v>1520</v>
      </c>
      <c r="B751" s="3" t="s">
        <v>1521</v>
      </c>
      <c r="C751" s="4" t="s">
        <v>60</v>
      </c>
      <c r="D751" s="4">
        <v>798.1</v>
      </c>
      <c r="E751" s="4">
        <v>782</v>
      </c>
      <c r="F751" s="4">
        <v>0.5</v>
      </c>
      <c r="G751" s="4">
        <v>0.5</v>
      </c>
      <c r="H751" s="4">
        <v>-16.100000000000001</v>
      </c>
      <c r="I751" s="4">
        <v>-2</v>
      </c>
      <c r="J751" s="4">
        <v>114.7</v>
      </c>
    </row>
    <row r="752" spans="1:10" x14ac:dyDescent="0.35">
      <c r="A752" s="3" t="s">
        <v>1522</v>
      </c>
      <c r="B752" s="3" t="s">
        <v>1523</v>
      </c>
      <c r="C752" s="4" t="s">
        <v>65</v>
      </c>
      <c r="D752" s="4">
        <v>64</v>
      </c>
      <c r="E752" s="4">
        <v>69.5</v>
      </c>
      <c r="F752" s="4">
        <v>0</v>
      </c>
      <c r="G752" s="4">
        <v>0</v>
      </c>
      <c r="H752" s="4">
        <v>5.5</v>
      </c>
      <c r="I752" s="4">
        <v>8.6</v>
      </c>
      <c r="J752" s="4">
        <v>10.4</v>
      </c>
    </row>
    <row r="753" spans="1:10" x14ac:dyDescent="0.35">
      <c r="A753" s="3" t="s">
        <v>1524</v>
      </c>
      <c r="B753" s="3" t="s">
        <v>1525</v>
      </c>
      <c r="C753" s="4" t="s">
        <v>65</v>
      </c>
      <c r="D753" s="4">
        <v>523.5</v>
      </c>
      <c r="E753" s="4">
        <v>512.20000000000005</v>
      </c>
      <c r="F753" s="4">
        <v>0.3</v>
      </c>
      <c r="G753" s="4">
        <v>0.3</v>
      </c>
      <c r="H753" s="4">
        <v>-11.3</v>
      </c>
      <c r="I753" s="4">
        <v>-2.2000000000000002</v>
      </c>
      <c r="J753" s="4">
        <v>75.099999999999994</v>
      </c>
    </row>
    <row r="754" spans="1:10" x14ac:dyDescent="0.35">
      <c r="A754" s="3" t="s">
        <v>1526</v>
      </c>
      <c r="B754" s="3" t="s">
        <v>1527</v>
      </c>
      <c r="C754" s="4" t="s">
        <v>65</v>
      </c>
      <c r="D754" s="4">
        <v>199.4</v>
      </c>
      <c r="E754" s="4">
        <v>188.9</v>
      </c>
      <c r="F754" s="4">
        <v>0.1</v>
      </c>
      <c r="G754" s="4">
        <v>0.1</v>
      </c>
      <c r="H754" s="4">
        <v>-10.5</v>
      </c>
      <c r="I754" s="4">
        <v>-5.3</v>
      </c>
      <c r="J754" s="4">
        <v>27.5</v>
      </c>
    </row>
    <row r="755" spans="1:10" x14ac:dyDescent="0.35">
      <c r="A755" s="3" t="s">
        <v>1528</v>
      </c>
      <c r="B755" s="3" t="s">
        <v>1529</v>
      </c>
      <c r="C755" s="4" t="s">
        <v>65</v>
      </c>
      <c r="D755" s="4">
        <v>11.2</v>
      </c>
      <c r="E755" s="4">
        <v>11.4</v>
      </c>
      <c r="F755" s="4">
        <v>0</v>
      </c>
      <c r="G755" s="4">
        <v>0</v>
      </c>
      <c r="H755" s="4">
        <v>0.2</v>
      </c>
      <c r="I755" s="4">
        <v>1.8</v>
      </c>
      <c r="J755" s="4">
        <v>1.7</v>
      </c>
    </row>
    <row r="756" spans="1:10" x14ac:dyDescent="0.35">
      <c r="A756" s="3" t="s">
        <v>1530</v>
      </c>
      <c r="B756" s="3" t="s">
        <v>1531</v>
      </c>
      <c r="C756" s="4" t="s">
        <v>60</v>
      </c>
      <c r="D756" s="4">
        <v>27.3</v>
      </c>
      <c r="E756" s="4">
        <v>27.2</v>
      </c>
      <c r="F756" s="4">
        <v>0</v>
      </c>
      <c r="G756" s="4">
        <v>0</v>
      </c>
      <c r="H756" s="4">
        <v>-0.1</v>
      </c>
      <c r="I756" s="4">
        <v>-0.4</v>
      </c>
      <c r="J756" s="4">
        <v>3.5</v>
      </c>
    </row>
    <row r="757" spans="1:10" x14ac:dyDescent="0.35">
      <c r="A757" s="3" t="s">
        <v>1532</v>
      </c>
      <c r="B757" s="3" t="s">
        <v>1533</v>
      </c>
      <c r="C757" s="4" t="s">
        <v>65</v>
      </c>
      <c r="D757" s="4">
        <v>27.3</v>
      </c>
      <c r="E757" s="4">
        <v>27.2</v>
      </c>
      <c r="F757" s="4">
        <v>0</v>
      </c>
      <c r="G757" s="4">
        <v>0</v>
      </c>
      <c r="H757" s="4">
        <v>-0.1</v>
      </c>
      <c r="I757" s="4">
        <v>-0.4</v>
      </c>
      <c r="J757" s="4">
        <v>3.5</v>
      </c>
    </row>
    <row r="758" spans="1:10" x14ac:dyDescent="0.35">
      <c r="A758" s="3" t="s">
        <v>1534</v>
      </c>
      <c r="B758" s="3" t="s">
        <v>1535</v>
      </c>
      <c r="C758" s="4" t="s">
        <v>60</v>
      </c>
      <c r="D758" s="4">
        <v>63.6</v>
      </c>
      <c r="E758" s="4">
        <v>60.2</v>
      </c>
      <c r="F758" s="4">
        <v>0</v>
      </c>
      <c r="G758" s="4">
        <v>0</v>
      </c>
      <c r="H758" s="4">
        <v>-3.4</v>
      </c>
      <c r="I758" s="4">
        <v>-5.3</v>
      </c>
      <c r="J758" s="4">
        <v>8.9</v>
      </c>
    </row>
    <row r="759" spans="1:10" x14ac:dyDescent="0.35">
      <c r="A759" s="3" t="s">
        <v>1536</v>
      </c>
      <c r="B759" s="3" t="s">
        <v>1537</v>
      </c>
      <c r="C759" s="4" t="s">
        <v>65</v>
      </c>
      <c r="D759" s="4">
        <v>11.3</v>
      </c>
      <c r="E759" s="4">
        <v>10.3</v>
      </c>
      <c r="F759" s="4">
        <v>0</v>
      </c>
      <c r="G759" s="4">
        <v>0</v>
      </c>
      <c r="H759" s="4">
        <v>-1</v>
      </c>
      <c r="I759" s="4">
        <v>-8.6999999999999993</v>
      </c>
      <c r="J759" s="4">
        <v>1.8</v>
      </c>
    </row>
    <row r="760" spans="1:10" x14ac:dyDescent="0.35">
      <c r="A760" s="3" t="s">
        <v>1538</v>
      </c>
      <c r="B760" s="3" t="s">
        <v>1539</v>
      </c>
      <c r="C760" s="4" t="s">
        <v>60</v>
      </c>
      <c r="D760" s="4">
        <v>52.3</v>
      </c>
      <c r="E760" s="4">
        <v>49.9</v>
      </c>
      <c r="F760" s="4">
        <v>0</v>
      </c>
      <c r="G760" s="4">
        <v>0</v>
      </c>
      <c r="H760" s="4">
        <v>-2.4</v>
      </c>
      <c r="I760" s="4">
        <v>-4.5999999999999996</v>
      </c>
      <c r="J760" s="4">
        <v>7.1</v>
      </c>
    </row>
    <row r="761" spans="1:10" x14ac:dyDescent="0.35">
      <c r="A761" s="3" t="s">
        <v>1540</v>
      </c>
      <c r="B761" s="3" t="s">
        <v>1541</v>
      </c>
      <c r="C761" s="4" t="s">
        <v>65</v>
      </c>
      <c r="D761" s="4">
        <v>6.5</v>
      </c>
      <c r="E761" s="4">
        <v>5.9</v>
      </c>
      <c r="F761" s="4">
        <v>0</v>
      </c>
      <c r="G761" s="4">
        <v>0</v>
      </c>
      <c r="H761" s="4">
        <v>-0.6</v>
      </c>
      <c r="I761" s="4">
        <v>-9.4</v>
      </c>
      <c r="J761" s="4">
        <v>0.8</v>
      </c>
    </row>
    <row r="762" spans="1:10" x14ac:dyDescent="0.35">
      <c r="A762" s="3" t="s">
        <v>1542</v>
      </c>
      <c r="B762" s="3" t="s">
        <v>1543</v>
      </c>
      <c r="C762" s="4" t="s">
        <v>65</v>
      </c>
      <c r="D762" s="4">
        <v>35.299999999999997</v>
      </c>
      <c r="E762" s="4">
        <v>34</v>
      </c>
      <c r="F762" s="4">
        <v>0</v>
      </c>
      <c r="G762" s="4">
        <v>0</v>
      </c>
      <c r="H762" s="4">
        <v>-1.3</v>
      </c>
      <c r="I762" s="4">
        <v>-3.8</v>
      </c>
      <c r="J762" s="4">
        <v>4.8</v>
      </c>
    </row>
    <row r="763" spans="1:10" x14ac:dyDescent="0.35">
      <c r="A763" s="3" t="s">
        <v>1544</v>
      </c>
      <c r="B763" s="3" t="s">
        <v>1545</v>
      </c>
      <c r="C763" s="4" t="s">
        <v>65</v>
      </c>
      <c r="D763" s="4">
        <v>5.6</v>
      </c>
      <c r="E763" s="4">
        <v>5.5</v>
      </c>
      <c r="F763" s="4">
        <v>0</v>
      </c>
      <c r="G763" s="4">
        <v>0</v>
      </c>
      <c r="H763" s="4">
        <v>-0.1</v>
      </c>
      <c r="I763" s="4">
        <v>-1.6</v>
      </c>
      <c r="J763" s="4">
        <v>0.8</v>
      </c>
    </row>
    <row r="764" spans="1:10" x14ac:dyDescent="0.35">
      <c r="A764" s="3" t="s">
        <v>1546</v>
      </c>
      <c r="B764" s="3" t="s">
        <v>1547</v>
      </c>
      <c r="C764" s="4" t="s">
        <v>65</v>
      </c>
      <c r="D764" s="4">
        <v>4.9000000000000004</v>
      </c>
      <c r="E764" s="4">
        <v>4.5999999999999996</v>
      </c>
      <c r="F764" s="4">
        <v>0</v>
      </c>
      <c r="G764" s="4">
        <v>0</v>
      </c>
      <c r="H764" s="4">
        <v>-0.3</v>
      </c>
      <c r="I764" s="4">
        <v>-7</v>
      </c>
      <c r="J764" s="4">
        <v>0.6</v>
      </c>
    </row>
    <row r="765" spans="1:10" x14ac:dyDescent="0.35">
      <c r="A765" s="3" t="s">
        <v>44</v>
      </c>
      <c r="B765" s="3" t="s">
        <v>45</v>
      </c>
      <c r="C765" s="4" t="s">
        <v>60</v>
      </c>
      <c r="D765" s="4">
        <v>7335.5</v>
      </c>
      <c r="E765" s="4">
        <v>7520.6</v>
      </c>
      <c r="F765" s="4">
        <v>4.5</v>
      </c>
      <c r="G765" s="4">
        <v>4.4000000000000004</v>
      </c>
      <c r="H765" s="4">
        <v>185.1</v>
      </c>
      <c r="I765" s="4">
        <v>2.5</v>
      </c>
      <c r="J765" s="4">
        <v>646.1</v>
      </c>
    </row>
    <row r="766" spans="1:10" x14ac:dyDescent="0.35">
      <c r="A766" s="3" t="s">
        <v>1548</v>
      </c>
      <c r="B766" s="3" t="s">
        <v>1549</v>
      </c>
      <c r="C766" s="4" t="s">
        <v>60</v>
      </c>
      <c r="D766" s="4">
        <v>809.9</v>
      </c>
      <c r="E766" s="4">
        <v>830.3</v>
      </c>
      <c r="F766" s="4">
        <v>0.5</v>
      </c>
      <c r="G766" s="4">
        <v>0.5</v>
      </c>
      <c r="H766" s="4">
        <v>20.399999999999999</v>
      </c>
      <c r="I766" s="4">
        <v>2.5</v>
      </c>
      <c r="J766" s="4">
        <v>66.599999999999994</v>
      </c>
    </row>
    <row r="767" spans="1:10" x14ac:dyDescent="0.35">
      <c r="A767" s="3" t="s">
        <v>1550</v>
      </c>
      <c r="B767" s="3" t="s">
        <v>1551</v>
      </c>
      <c r="C767" s="4" t="s">
        <v>65</v>
      </c>
      <c r="D767" s="4">
        <v>809.9</v>
      </c>
      <c r="E767" s="4">
        <v>830.3</v>
      </c>
      <c r="F767" s="4">
        <v>0.5</v>
      </c>
      <c r="G767" s="4">
        <v>0.5</v>
      </c>
      <c r="H767" s="4">
        <v>20.399999999999999</v>
      </c>
      <c r="I767" s="4">
        <v>2.5</v>
      </c>
      <c r="J767" s="4">
        <v>66.599999999999994</v>
      </c>
    </row>
    <row r="768" spans="1:10" x14ac:dyDescent="0.35">
      <c r="A768" s="3" t="s">
        <v>1552</v>
      </c>
      <c r="B768" s="3" t="s">
        <v>1553</v>
      </c>
      <c r="C768" s="4" t="s">
        <v>60</v>
      </c>
      <c r="D768" s="4">
        <v>5629</v>
      </c>
      <c r="E768" s="4">
        <v>5786.1</v>
      </c>
      <c r="F768" s="4">
        <v>3.4</v>
      </c>
      <c r="G768" s="4">
        <v>3.4</v>
      </c>
      <c r="H768" s="4">
        <v>157.1</v>
      </c>
      <c r="I768" s="4">
        <v>2.8</v>
      </c>
      <c r="J768" s="4">
        <v>488.1</v>
      </c>
    </row>
    <row r="769" spans="1:10" x14ac:dyDescent="0.35">
      <c r="A769" s="3" t="s">
        <v>1554</v>
      </c>
      <c r="B769" s="3" t="s">
        <v>1555</v>
      </c>
      <c r="C769" s="4" t="s">
        <v>65</v>
      </c>
      <c r="D769" s="4">
        <v>13.7</v>
      </c>
      <c r="E769" s="4">
        <v>13.1</v>
      </c>
      <c r="F769" s="4">
        <v>0</v>
      </c>
      <c r="G769" s="4">
        <v>0</v>
      </c>
      <c r="H769" s="4">
        <v>-0.5</v>
      </c>
      <c r="I769" s="4">
        <v>-4</v>
      </c>
      <c r="J769" s="4">
        <v>1.1000000000000001</v>
      </c>
    </row>
    <row r="770" spans="1:10" x14ac:dyDescent="0.35">
      <c r="A770" s="3" t="s">
        <v>1556</v>
      </c>
      <c r="B770" s="3" t="s">
        <v>1557</v>
      </c>
      <c r="C770" s="4" t="s">
        <v>60</v>
      </c>
      <c r="D770" s="4">
        <v>86.5</v>
      </c>
      <c r="E770" s="4">
        <v>86</v>
      </c>
      <c r="F770" s="4">
        <v>0.1</v>
      </c>
      <c r="G770" s="4">
        <v>0.1</v>
      </c>
      <c r="H770" s="4">
        <v>-0.5</v>
      </c>
      <c r="I770" s="4">
        <v>-0.5</v>
      </c>
      <c r="J770" s="4">
        <v>6.8</v>
      </c>
    </row>
    <row r="771" spans="1:10" x14ac:dyDescent="0.35">
      <c r="A771" s="3" t="s">
        <v>1558</v>
      </c>
      <c r="B771" s="3" t="s">
        <v>1559</v>
      </c>
      <c r="C771" s="4" t="s">
        <v>65</v>
      </c>
      <c r="D771" s="4">
        <v>73</v>
      </c>
      <c r="E771" s="4">
        <v>73.3</v>
      </c>
      <c r="F771" s="4">
        <v>0</v>
      </c>
      <c r="G771" s="4">
        <v>0</v>
      </c>
      <c r="H771" s="4">
        <v>0.3</v>
      </c>
      <c r="I771" s="4">
        <v>0.5</v>
      </c>
      <c r="J771" s="4">
        <v>5.9</v>
      </c>
    </row>
    <row r="772" spans="1:10" x14ac:dyDescent="0.35">
      <c r="A772" s="3" t="s">
        <v>1560</v>
      </c>
      <c r="B772" s="3" t="s">
        <v>1561</v>
      </c>
      <c r="C772" s="4" t="s">
        <v>65</v>
      </c>
      <c r="D772" s="4">
        <v>13.5</v>
      </c>
      <c r="E772" s="4">
        <v>12.7</v>
      </c>
      <c r="F772" s="4">
        <v>0</v>
      </c>
      <c r="G772" s="4">
        <v>0</v>
      </c>
      <c r="H772" s="4">
        <v>-0.8</v>
      </c>
      <c r="I772" s="4">
        <v>-5.9</v>
      </c>
      <c r="J772" s="4">
        <v>1</v>
      </c>
    </row>
    <row r="773" spans="1:10" x14ac:dyDescent="0.35">
      <c r="A773" s="3" t="s">
        <v>1562</v>
      </c>
      <c r="B773" s="3" t="s">
        <v>1563</v>
      </c>
      <c r="C773" s="4" t="s">
        <v>65</v>
      </c>
      <c r="D773" s="4">
        <v>956.3</v>
      </c>
      <c r="E773" s="4">
        <v>964.9</v>
      </c>
      <c r="F773" s="4">
        <v>0.6</v>
      </c>
      <c r="G773" s="4">
        <v>0.6</v>
      </c>
      <c r="H773" s="4">
        <v>8.6</v>
      </c>
      <c r="I773" s="4">
        <v>0.9</v>
      </c>
      <c r="J773" s="4">
        <v>79.5</v>
      </c>
    </row>
    <row r="774" spans="1:10" x14ac:dyDescent="0.35">
      <c r="A774" s="3" t="s">
        <v>1564</v>
      </c>
      <c r="B774" s="3" t="s">
        <v>1565</v>
      </c>
      <c r="C774" s="4" t="s">
        <v>60</v>
      </c>
      <c r="D774" s="4">
        <v>120.9</v>
      </c>
      <c r="E774" s="4">
        <v>124.4</v>
      </c>
      <c r="F774" s="4">
        <v>0.1</v>
      </c>
      <c r="G774" s="4">
        <v>0.1</v>
      </c>
      <c r="H774" s="4">
        <v>3.5</v>
      </c>
      <c r="I774" s="4">
        <v>2.9</v>
      </c>
      <c r="J774" s="4">
        <v>9.8000000000000007</v>
      </c>
    </row>
    <row r="775" spans="1:10" x14ac:dyDescent="0.35">
      <c r="A775" s="3" t="s">
        <v>1566</v>
      </c>
      <c r="B775" s="3" t="s">
        <v>1567</v>
      </c>
      <c r="C775" s="4" t="s">
        <v>65</v>
      </c>
      <c r="D775" s="4">
        <v>25.1</v>
      </c>
      <c r="E775" s="4">
        <v>22.3</v>
      </c>
      <c r="F775" s="4">
        <v>0</v>
      </c>
      <c r="G775" s="4">
        <v>0</v>
      </c>
      <c r="H775" s="4">
        <v>-2.8</v>
      </c>
      <c r="I775" s="4">
        <v>-11.1</v>
      </c>
      <c r="J775" s="4">
        <v>1.5</v>
      </c>
    </row>
    <row r="776" spans="1:10" x14ac:dyDescent="0.35">
      <c r="A776" s="3" t="s">
        <v>1568</v>
      </c>
      <c r="B776" s="3" t="s">
        <v>1569</v>
      </c>
      <c r="C776" s="4" t="s">
        <v>65</v>
      </c>
      <c r="D776" s="4">
        <v>30.2</v>
      </c>
      <c r="E776" s="4">
        <v>32.299999999999997</v>
      </c>
      <c r="F776" s="4">
        <v>0</v>
      </c>
      <c r="G776" s="4">
        <v>0</v>
      </c>
      <c r="H776" s="4">
        <v>2.2000000000000002</v>
      </c>
      <c r="I776" s="4">
        <v>7.3</v>
      </c>
      <c r="J776" s="4">
        <v>2.6</v>
      </c>
    </row>
    <row r="777" spans="1:10" x14ac:dyDescent="0.35">
      <c r="A777" s="3" t="s">
        <v>1570</v>
      </c>
      <c r="B777" s="3" t="s">
        <v>1571</v>
      </c>
      <c r="C777" s="4" t="s">
        <v>65</v>
      </c>
      <c r="D777" s="4">
        <v>6.2</v>
      </c>
      <c r="E777" s="4">
        <v>6.2</v>
      </c>
      <c r="F777" s="4">
        <v>0</v>
      </c>
      <c r="G777" s="4">
        <v>0</v>
      </c>
      <c r="H777" s="4">
        <v>0</v>
      </c>
      <c r="I777" s="4">
        <v>0.1</v>
      </c>
      <c r="J777" s="4">
        <v>0.5</v>
      </c>
    </row>
    <row r="778" spans="1:10" x14ac:dyDescent="0.35">
      <c r="A778" s="3" t="s">
        <v>1572</v>
      </c>
      <c r="B778" s="3" t="s">
        <v>1573</v>
      </c>
      <c r="C778" s="4" t="s">
        <v>65</v>
      </c>
      <c r="D778" s="4">
        <v>59.4</v>
      </c>
      <c r="E778" s="4">
        <v>63.5</v>
      </c>
      <c r="F778" s="4">
        <v>0</v>
      </c>
      <c r="G778" s="4">
        <v>0</v>
      </c>
      <c r="H778" s="4">
        <v>4.0999999999999996</v>
      </c>
      <c r="I778" s="4">
        <v>6.9</v>
      </c>
      <c r="J778" s="4">
        <v>5.0999999999999996</v>
      </c>
    </row>
    <row r="779" spans="1:10" x14ac:dyDescent="0.35">
      <c r="A779" s="3" t="s">
        <v>1574</v>
      </c>
      <c r="B779" s="3" t="s">
        <v>1575</v>
      </c>
      <c r="C779" s="4" t="s">
        <v>60</v>
      </c>
      <c r="D779" s="4">
        <v>207.7</v>
      </c>
      <c r="E779" s="4">
        <v>199.3</v>
      </c>
      <c r="F779" s="4">
        <v>0.1</v>
      </c>
      <c r="G779" s="4">
        <v>0.1</v>
      </c>
      <c r="H779" s="4">
        <v>-8.5</v>
      </c>
      <c r="I779" s="4">
        <v>-4.0999999999999996</v>
      </c>
      <c r="J779" s="4">
        <v>14.3</v>
      </c>
    </row>
    <row r="780" spans="1:10" x14ac:dyDescent="0.35">
      <c r="A780" s="3" t="s">
        <v>1576</v>
      </c>
      <c r="B780" s="3" t="s">
        <v>1577</v>
      </c>
      <c r="C780" s="4" t="s">
        <v>65</v>
      </c>
      <c r="D780" s="4">
        <v>206.2</v>
      </c>
      <c r="E780" s="4">
        <v>197.9</v>
      </c>
      <c r="F780" s="4">
        <v>0.1</v>
      </c>
      <c r="G780" s="4">
        <v>0.1</v>
      </c>
      <c r="H780" s="4">
        <v>-8.3000000000000007</v>
      </c>
      <c r="I780" s="4">
        <v>-4</v>
      </c>
      <c r="J780" s="4">
        <v>14.2</v>
      </c>
    </row>
    <row r="781" spans="1:10" x14ac:dyDescent="0.35">
      <c r="A781" s="3" t="s">
        <v>1578</v>
      </c>
      <c r="B781" s="3" t="s">
        <v>1579</v>
      </c>
      <c r="C781" s="4" t="s">
        <v>65</v>
      </c>
      <c r="D781" s="4">
        <v>1.6</v>
      </c>
      <c r="E781" s="4">
        <v>1.4</v>
      </c>
      <c r="F781" s="4">
        <v>0</v>
      </c>
      <c r="G781" s="4">
        <v>0</v>
      </c>
      <c r="H781" s="4">
        <v>-0.2</v>
      </c>
      <c r="I781" s="4">
        <v>-12.2</v>
      </c>
      <c r="J781" s="4">
        <v>0.1</v>
      </c>
    </row>
    <row r="782" spans="1:10" x14ac:dyDescent="0.35">
      <c r="A782" s="3" t="s">
        <v>1580</v>
      </c>
      <c r="B782" s="3" t="s">
        <v>1581</v>
      </c>
      <c r="C782" s="4" t="s">
        <v>65</v>
      </c>
      <c r="D782" s="4">
        <v>1418.6</v>
      </c>
      <c r="E782" s="4">
        <v>1480.5</v>
      </c>
      <c r="F782" s="4">
        <v>0.9</v>
      </c>
      <c r="G782" s="4">
        <v>0.9</v>
      </c>
      <c r="H782" s="4">
        <v>61.9</v>
      </c>
      <c r="I782" s="4">
        <v>4.4000000000000004</v>
      </c>
      <c r="J782" s="4">
        <v>129.4</v>
      </c>
    </row>
    <row r="783" spans="1:10" x14ac:dyDescent="0.35">
      <c r="A783" s="3" t="s">
        <v>1582</v>
      </c>
      <c r="B783" s="3" t="s">
        <v>1583</v>
      </c>
      <c r="C783" s="4" t="s">
        <v>60</v>
      </c>
      <c r="D783" s="4">
        <v>483.3</v>
      </c>
      <c r="E783" s="4">
        <v>496.6</v>
      </c>
      <c r="F783" s="4">
        <v>0.3</v>
      </c>
      <c r="G783" s="4">
        <v>0.3</v>
      </c>
      <c r="H783" s="4">
        <v>13.3</v>
      </c>
      <c r="I783" s="4">
        <v>2.7</v>
      </c>
      <c r="J783" s="4">
        <v>42.3</v>
      </c>
    </row>
    <row r="784" spans="1:10" x14ac:dyDescent="0.35">
      <c r="A784" s="3" t="s">
        <v>1584</v>
      </c>
      <c r="B784" s="3" t="s">
        <v>1585</v>
      </c>
      <c r="C784" s="4" t="s">
        <v>65</v>
      </c>
      <c r="D784" s="4">
        <v>42.3</v>
      </c>
      <c r="E784" s="4">
        <v>43.9</v>
      </c>
      <c r="F784" s="4">
        <v>0</v>
      </c>
      <c r="G784" s="4">
        <v>0</v>
      </c>
      <c r="H784" s="4">
        <v>1.6</v>
      </c>
      <c r="I784" s="4">
        <v>3.7</v>
      </c>
      <c r="J784" s="4">
        <v>3.8</v>
      </c>
    </row>
    <row r="785" spans="1:10" x14ac:dyDescent="0.35">
      <c r="A785" s="3" t="s">
        <v>1586</v>
      </c>
      <c r="B785" s="3" t="s">
        <v>1587</v>
      </c>
      <c r="C785" s="4" t="s">
        <v>65</v>
      </c>
      <c r="D785" s="4">
        <v>3.3</v>
      </c>
      <c r="E785" s="4">
        <v>3.4</v>
      </c>
      <c r="F785" s="4">
        <v>0</v>
      </c>
      <c r="G785" s="4">
        <v>0</v>
      </c>
      <c r="H785" s="4">
        <v>0.1</v>
      </c>
      <c r="I785" s="4">
        <v>3.2</v>
      </c>
      <c r="J785" s="4">
        <v>0.3</v>
      </c>
    </row>
    <row r="786" spans="1:10" x14ac:dyDescent="0.35">
      <c r="A786" s="3" t="s">
        <v>1588</v>
      </c>
      <c r="B786" s="3" t="s">
        <v>1589</v>
      </c>
      <c r="C786" s="4" t="s">
        <v>65</v>
      </c>
      <c r="D786" s="4">
        <v>437.6</v>
      </c>
      <c r="E786" s="4">
        <v>449.2</v>
      </c>
      <c r="F786" s="4">
        <v>0.3</v>
      </c>
      <c r="G786" s="4">
        <v>0.3</v>
      </c>
      <c r="H786" s="4">
        <v>11.6</v>
      </c>
      <c r="I786" s="4">
        <v>2.7</v>
      </c>
      <c r="J786" s="4">
        <v>38.200000000000003</v>
      </c>
    </row>
    <row r="787" spans="1:10" x14ac:dyDescent="0.35">
      <c r="A787" s="3" t="s">
        <v>1590</v>
      </c>
      <c r="B787" s="3" t="s">
        <v>1591</v>
      </c>
      <c r="C787" s="4" t="s">
        <v>60</v>
      </c>
      <c r="D787" s="4">
        <v>134.5</v>
      </c>
      <c r="E787" s="4">
        <v>135.9</v>
      </c>
      <c r="F787" s="4">
        <v>0.1</v>
      </c>
      <c r="G787" s="4">
        <v>0.1</v>
      </c>
      <c r="H787" s="4">
        <v>1.4</v>
      </c>
      <c r="I787" s="4">
        <v>1.1000000000000001</v>
      </c>
      <c r="J787" s="4">
        <v>9</v>
      </c>
    </row>
    <row r="788" spans="1:10" x14ac:dyDescent="0.35">
      <c r="A788" s="3" t="s">
        <v>1592</v>
      </c>
      <c r="B788" s="3" t="s">
        <v>1593</v>
      </c>
      <c r="C788" s="4" t="s">
        <v>65</v>
      </c>
      <c r="D788" s="4">
        <v>116.4</v>
      </c>
      <c r="E788" s="4">
        <v>118.2</v>
      </c>
      <c r="F788" s="4">
        <v>0.1</v>
      </c>
      <c r="G788" s="4">
        <v>0.1</v>
      </c>
      <c r="H788" s="4">
        <v>1.9</v>
      </c>
      <c r="I788" s="4">
        <v>1.6</v>
      </c>
      <c r="J788" s="4">
        <v>7.9</v>
      </c>
    </row>
    <row r="789" spans="1:10" x14ac:dyDescent="0.35">
      <c r="A789" s="3" t="s">
        <v>1594</v>
      </c>
      <c r="B789" s="3" t="s">
        <v>1595</v>
      </c>
      <c r="C789" s="4" t="s">
        <v>65</v>
      </c>
      <c r="D789" s="4">
        <v>18.100000000000001</v>
      </c>
      <c r="E789" s="4">
        <v>17.7</v>
      </c>
      <c r="F789" s="4">
        <v>0</v>
      </c>
      <c r="G789" s="4">
        <v>0</v>
      </c>
      <c r="H789" s="4">
        <v>-0.4</v>
      </c>
      <c r="I789" s="4">
        <v>-2.2999999999999998</v>
      </c>
      <c r="J789" s="4">
        <v>1.1000000000000001</v>
      </c>
    </row>
    <row r="790" spans="1:10" x14ac:dyDescent="0.35">
      <c r="A790" s="3" t="s">
        <v>1596</v>
      </c>
      <c r="B790" s="3" t="s">
        <v>1597</v>
      </c>
      <c r="C790" s="4" t="s">
        <v>65</v>
      </c>
      <c r="D790" s="4">
        <v>762.6</v>
      </c>
      <c r="E790" s="4">
        <v>811.8</v>
      </c>
      <c r="F790" s="4">
        <v>0.5</v>
      </c>
      <c r="G790" s="4">
        <v>0.5</v>
      </c>
      <c r="H790" s="4">
        <v>49.2</v>
      </c>
      <c r="I790" s="4">
        <v>6.4</v>
      </c>
      <c r="J790" s="4">
        <v>73.5</v>
      </c>
    </row>
    <row r="791" spans="1:10" x14ac:dyDescent="0.35">
      <c r="A791" s="3" t="s">
        <v>1598</v>
      </c>
      <c r="B791" s="3" t="s">
        <v>1599</v>
      </c>
      <c r="C791" s="4" t="s">
        <v>65</v>
      </c>
      <c r="D791" s="4">
        <v>54.5</v>
      </c>
      <c r="E791" s="4">
        <v>55.7</v>
      </c>
      <c r="F791" s="4">
        <v>0</v>
      </c>
      <c r="G791" s="4">
        <v>0</v>
      </c>
      <c r="H791" s="4">
        <v>1.2</v>
      </c>
      <c r="I791" s="4">
        <v>2.2000000000000002</v>
      </c>
      <c r="J791" s="4">
        <v>5.5</v>
      </c>
    </row>
    <row r="792" spans="1:10" x14ac:dyDescent="0.35">
      <c r="A792" s="3" t="s">
        <v>1600</v>
      </c>
      <c r="B792" s="3" t="s">
        <v>1601</v>
      </c>
      <c r="C792" s="4" t="s">
        <v>60</v>
      </c>
      <c r="D792" s="4">
        <v>61.6</v>
      </c>
      <c r="E792" s="4">
        <v>62.6</v>
      </c>
      <c r="F792" s="4">
        <v>0</v>
      </c>
      <c r="G792" s="4">
        <v>0</v>
      </c>
      <c r="H792" s="4">
        <v>1</v>
      </c>
      <c r="I792" s="4">
        <v>1.7</v>
      </c>
      <c r="J792" s="4">
        <v>4.8</v>
      </c>
    </row>
    <row r="793" spans="1:10" x14ac:dyDescent="0.35">
      <c r="A793" s="3" t="s">
        <v>1602</v>
      </c>
      <c r="B793" s="3" t="s">
        <v>1603</v>
      </c>
      <c r="C793" s="4" t="s">
        <v>65</v>
      </c>
      <c r="D793" s="4">
        <v>34.4</v>
      </c>
      <c r="E793" s="4">
        <v>35</v>
      </c>
      <c r="F793" s="4">
        <v>0</v>
      </c>
      <c r="G793" s="4">
        <v>0</v>
      </c>
      <c r="H793" s="4">
        <v>0.6</v>
      </c>
      <c r="I793" s="4">
        <v>1.7</v>
      </c>
      <c r="J793" s="4">
        <v>2.7</v>
      </c>
    </row>
    <row r="794" spans="1:10" x14ac:dyDescent="0.35">
      <c r="A794" s="3" t="s">
        <v>1604</v>
      </c>
      <c r="B794" s="3" t="s">
        <v>1605</v>
      </c>
      <c r="C794" s="4" t="s">
        <v>65</v>
      </c>
      <c r="D794" s="4">
        <v>27.2</v>
      </c>
      <c r="E794" s="4">
        <v>27.6</v>
      </c>
      <c r="F794" s="4">
        <v>0</v>
      </c>
      <c r="G794" s="4">
        <v>0</v>
      </c>
      <c r="H794" s="4">
        <v>0.5</v>
      </c>
      <c r="I794" s="4">
        <v>1.7</v>
      </c>
      <c r="J794" s="4">
        <v>2.1</v>
      </c>
    </row>
    <row r="795" spans="1:10" x14ac:dyDescent="0.35">
      <c r="A795" s="3" t="s">
        <v>1606</v>
      </c>
      <c r="B795" s="3" t="s">
        <v>1607</v>
      </c>
      <c r="C795" s="4" t="s">
        <v>60</v>
      </c>
      <c r="D795" s="4">
        <v>376.3</v>
      </c>
      <c r="E795" s="4">
        <v>382</v>
      </c>
      <c r="F795" s="4">
        <v>0.2</v>
      </c>
      <c r="G795" s="4">
        <v>0.2</v>
      </c>
      <c r="H795" s="4">
        <v>5.7</v>
      </c>
      <c r="I795" s="4">
        <v>1.5</v>
      </c>
      <c r="J795" s="4">
        <v>29.6</v>
      </c>
    </row>
    <row r="796" spans="1:10" x14ac:dyDescent="0.35">
      <c r="A796" s="3" t="s">
        <v>1608</v>
      </c>
      <c r="B796" s="3" t="s">
        <v>1609</v>
      </c>
      <c r="C796" s="4" t="s">
        <v>65</v>
      </c>
      <c r="D796" s="4">
        <v>372.4</v>
      </c>
      <c r="E796" s="4">
        <v>377.9</v>
      </c>
      <c r="F796" s="4">
        <v>0.2</v>
      </c>
      <c r="G796" s="4">
        <v>0.2</v>
      </c>
      <c r="H796" s="4">
        <v>5.5</v>
      </c>
      <c r="I796" s="4">
        <v>1.5</v>
      </c>
      <c r="J796" s="4">
        <v>29.3</v>
      </c>
    </row>
    <row r="797" spans="1:10" x14ac:dyDescent="0.35">
      <c r="A797" s="3" t="s">
        <v>1610</v>
      </c>
      <c r="B797" s="3" t="s">
        <v>1611</v>
      </c>
      <c r="C797" s="4" t="s">
        <v>65</v>
      </c>
      <c r="D797" s="4">
        <v>3.9</v>
      </c>
      <c r="E797" s="4">
        <v>4</v>
      </c>
      <c r="F797" s="4">
        <v>0</v>
      </c>
      <c r="G797" s="4">
        <v>0</v>
      </c>
      <c r="H797" s="4">
        <v>0.1</v>
      </c>
      <c r="I797" s="4">
        <v>3.7</v>
      </c>
      <c r="J797" s="4">
        <v>0.3</v>
      </c>
    </row>
    <row r="798" spans="1:10" x14ac:dyDescent="0.35">
      <c r="A798" s="3" t="s">
        <v>1612</v>
      </c>
      <c r="B798" s="3" t="s">
        <v>1613</v>
      </c>
      <c r="C798" s="4" t="s">
        <v>60</v>
      </c>
      <c r="D798" s="4">
        <v>520.70000000000005</v>
      </c>
      <c r="E798" s="4">
        <v>529.9</v>
      </c>
      <c r="F798" s="4">
        <v>0.3</v>
      </c>
      <c r="G798" s="4">
        <v>0.3</v>
      </c>
      <c r="H798" s="4">
        <v>9.1999999999999993</v>
      </c>
      <c r="I798" s="4">
        <v>1.8</v>
      </c>
      <c r="J798" s="4">
        <v>45.2</v>
      </c>
    </row>
    <row r="799" spans="1:10" x14ac:dyDescent="0.35">
      <c r="A799" s="3" t="s">
        <v>1614</v>
      </c>
      <c r="B799" s="3" t="s">
        <v>1615</v>
      </c>
      <c r="C799" s="4" t="s">
        <v>65</v>
      </c>
      <c r="D799" s="4">
        <v>38</v>
      </c>
      <c r="E799" s="4">
        <v>36.299999999999997</v>
      </c>
      <c r="F799" s="4">
        <v>0</v>
      </c>
      <c r="G799" s="4">
        <v>0</v>
      </c>
      <c r="H799" s="4">
        <v>-1.7</v>
      </c>
      <c r="I799" s="4">
        <v>-4.4000000000000004</v>
      </c>
      <c r="J799" s="4">
        <v>2.6</v>
      </c>
    </row>
    <row r="800" spans="1:10" x14ac:dyDescent="0.35">
      <c r="A800" s="3" t="s">
        <v>1616</v>
      </c>
      <c r="B800" s="3" t="s">
        <v>1617</v>
      </c>
      <c r="C800" s="4" t="s">
        <v>65</v>
      </c>
      <c r="D800" s="4">
        <v>482.7</v>
      </c>
      <c r="E800" s="4">
        <v>493.6</v>
      </c>
      <c r="F800" s="4">
        <v>0.3</v>
      </c>
      <c r="G800" s="4">
        <v>0.3</v>
      </c>
      <c r="H800" s="4">
        <v>10.9</v>
      </c>
      <c r="I800" s="4">
        <v>2.2999999999999998</v>
      </c>
      <c r="J800" s="4">
        <v>42.6</v>
      </c>
    </row>
    <row r="801" spans="1:10" x14ac:dyDescent="0.35">
      <c r="A801" s="3" t="s">
        <v>1618</v>
      </c>
      <c r="B801" s="3" t="s">
        <v>1619</v>
      </c>
      <c r="C801" s="4" t="s">
        <v>65</v>
      </c>
      <c r="D801" s="4">
        <v>27.3</v>
      </c>
      <c r="E801" s="4">
        <v>27.9</v>
      </c>
      <c r="F801" s="4">
        <v>0</v>
      </c>
      <c r="G801" s="4">
        <v>0</v>
      </c>
      <c r="H801" s="4">
        <v>0.6</v>
      </c>
      <c r="I801" s="4">
        <v>2.1</v>
      </c>
      <c r="J801" s="4">
        <v>2</v>
      </c>
    </row>
    <row r="802" spans="1:10" x14ac:dyDescent="0.35">
      <c r="A802" s="3" t="s">
        <v>1620</v>
      </c>
      <c r="B802" s="3" t="s">
        <v>1621</v>
      </c>
      <c r="C802" s="4" t="s">
        <v>65</v>
      </c>
      <c r="D802" s="4">
        <v>22.8</v>
      </c>
      <c r="E802" s="4">
        <v>23.1</v>
      </c>
      <c r="F802" s="4">
        <v>0</v>
      </c>
      <c r="G802" s="4">
        <v>0</v>
      </c>
      <c r="H802" s="4">
        <v>0.3</v>
      </c>
      <c r="I802" s="4">
        <v>1.2</v>
      </c>
      <c r="J802" s="4">
        <v>1.9</v>
      </c>
    </row>
    <row r="803" spans="1:10" x14ac:dyDescent="0.35">
      <c r="A803" s="3" t="s">
        <v>1622</v>
      </c>
      <c r="B803" s="3" t="s">
        <v>1623</v>
      </c>
      <c r="C803" s="4" t="s">
        <v>65</v>
      </c>
      <c r="D803" s="4">
        <v>154.5</v>
      </c>
      <c r="E803" s="4">
        <v>157.6</v>
      </c>
      <c r="F803" s="4">
        <v>0.1</v>
      </c>
      <c r="G803" s="4">
        <v>0.1</v>
      </c>
      <c r="H803" s="4">
        <v>3.1</v>
      </c>
      <c r="I803" s="4">
        <v>2</v>
      </c>
      <c r="J803" s="4">
        <v>12.2</v>
      </c>
    </row>
    <row r="804" spans="1:10" x14ac:dyDescent="0.35">
      <c r="A804" s="3" t="s">
        <v>1624</v>
      </c>
      <c r="B804" s="3" t="s">
        <v>1625</v>
      </c>
      <c r="C804" s="4" t="s">
        <v>65</v>
      </c>
      <c r="D804" s="4">
        <v>126.2</v>
      </c>
      <c r="E804" s="4">
        <v>126</v>
      </c>
      <c r="F804" s="4">
        <v>0.1</v>
      </c>
      <c r="G804" s="4">
        <v>0.1</v>
      </c>
      <c r="H804" s="4">
        <v>-0.2</v>
      </c>
      <c r="I804" s="4">
        <v>-0.1</v>
      </c>
      <c r="J804" s="4">
        <v>11.4</v>
      </c>
    </row>
    <row r="805" spans="1:10" x14ac:dyDescent="0.35">
      <c r="A805" s="3" t="s">
        <v>1626</v>
      </c>
      <c r="B805" s="3" t="s">
        <v>1627</v>
      </c>
      <c r="C805" s="4" t="s">
        <v>65</v>
      </c>
      <c r="D805" s="4">
        <v>71.599999999999994</v>
      </c>
      <c r="E805" s="4">
        <v>72.900000000000006</v>
      </c>
      <c r="F805" s="4">
        <v>0</v>
      </c>
      <c r="G805" s="4">
        <v>0</v>
      </c>
      <c r="H805" s="4">
        <v>1.3</v>
      </c>
      <c r="I805" s="4">
        <v>1.8</v>
      </c>
      <c r="J805" s="4">
        <v>6.3</v>
      </c>
    </row>
    <row r="806" spans="1:10" x14ac:dyDescent="0.35">
      <c r="A806" s="3" t="s">
        <v>1628</v>
      </c>
      <c r="B806" s="3" t="s">
        <v>1629</v>
      </c>
      <c r="C806" s="4" t="s">
        <v>65</v>
      </c>
      <c r="D806" s="4">
        <v>29.4</v>
      </c>
      <c r="E806" s="4">
        <v>35.9</v>
      </c>
      <c r="F806" s="4">
        <v>0</v>
      </c>
      <c r="G806" s="4">
        <v>0</v>
      </c>
      <c r="H806" s="4">
        <v>6.6</v>
      </c>
      <c r="I806" s="4">
        <v>22.3</v>
      </c>
      <c r="J806" s="4">
        <v>3.5</v>
      </c>
    </row>
    <row r="807" spans="1:10" x14ac:dyDescent="0.35">
      <c r="A807" s="3" t="s">
        <v>1630</v>
      </c>
      <c r="B807" s="3" t="s">
        <v>1631</v>
      </c>
      <c r="C807" s="4" t="s">
        <v>60</v>
      </c>
      <c r="D807" s="4">
        <v>206.2</v>
      </c>
      <c r="E807" s="4">
        <v>202.2</v>
      </c>
      <c r="F807" s="4">
        <v>0.1</v>
      </c>
      <c r="G807" s="4">
        <v>0.1</v>
      </c>
      <c r="H807" s="4">
        <v>-4</v>
      </c>
      <c r="I807" s="4">
        <v>-2</v>
      </c>
      <c r="J807" s="4">
        <v>22</v>
      </c>
    </row>
    <row r="808" spans="1:10" x14ac:dyDescent="0.35">
      <c r="A808" s="3" t="s">
        <v>1632</v>
      </c>
      <c r="B808" s="3" t="s">
        <v>1633</v>
      </c>
      <c r="C808" s="4" t="s">
        <v>65</v>
      </c>
      <c r="D808" s="4">
        <v>17.899999999999999</v>
      </c>
      <c r="E808" s="4">
        <v>15.9</v>
      </c>
      <c r="F808" s="4">
        <v>0</v>
      </c>
      <c r="G808" s="4">
        <v>0</v>
      </c>
      <c r="H808" s="4">
        <v>-2</v>
      </c>
      <c r="I808" s="4">
        <v>-10.9</v>
      </c>
      <c r="J808" s="4">
        <v>1.7</v>
      </c>
    </row>
    <row r="809" spans="1:10" x14ac:dyDescent="0.35">
      <c r="A809" s="3" t="s">
        <v>1634</v>
      </c>
      <c r="B809" s="3" t="s">
        <v>1635</v>
      </c>
      <c r="C809" s="4" t="s">
        <v>65</v>
      </c>
      <c r="D809" s="4">
        <v>25.1</v>
      </c>
      <c r="E809" s="4">
        <v>23.7</v>
      </c>
      <c r="F809" s="4">
        <v>0</v>
      </c>
      <c r="G809" s="4">
        <v>0</v>
      </c>
      <c r="H809" s="4">
        <v>-1.3</v>
      </c>
      <c r="I809" s="4">
        <v>-5.3</v>
      </c>
      <c r="J809" s="4">
        <v>2.5</v>
      </c>
    </row>
    <row r="810" spans="1:10" x14ac:dyDescent="0.35">
      <c r="A810" s="3" t="s">
        <v>1636</v>
      </c>
      <c r="B810" s="3" t="s">
        <v>1637</v>
      </c>
      <c r="C810" s="4" t="s">
        <v>65</v>
      </c>
      <c r="D810" s="4">
        <v>72.5</v>
      </c>
      <c r="E810" s="4">
        <v>70</v>
      </c>
      <c r="F810" s="4">
        <v>0</v>
      </c>
      <c r="G810" s="4">
        <v>0</v>
      </c>
      <c r="H810" s="4">
        <v>-2.5</v>
      </c>
      <c r="I810" s="4">
        <v>-3.5</v>
      </c>
      <c r="J810" s="4">
        <v>7.6</v>
      </c>
    </row>
    <row r="811" spans="1:10" x14ac:dyDescent="0.35">
      <c r="A811" s="3" t="s">
        <v>1638</v>
      </c>
      <c r="B811" s="3" t="s">
        <v>1639</v>
      </c>
      <c r="C811" s="4" t="s">
        <v>65</v>
      </c>
      <c r="D811" s="4">
        <v>8.6999999999999993</v>
      </c>
      <c r="E811" s="4">
        <v>8.9</v>
      </c>
      <c r="F811" s="4">
        <v>0</v>
      </c>
      <c r="G811" s="4">
        <v>0</v>
      </c>
      <c r="H811" s="4">
        <v>0.1</v>
      </c>
      <c r="I811" s="4">
        <v>1.5</v>
      </c>
      <c r="J811" s="4">
        <v>1</v>
      </c>
    </row>
    <row r="812" spans="1:10" x14ac:dyDescent="0.35">
      <c r="A812" s="3" t="s">
        <v>1640</v>
      </c>
      <c r="B812" s="3" t="s">
        <v>1641</v>
      </c>
      <c r="C812" s="4" t="s">
        <v>65</v>
      </c>
      <c r="D812" s="4">
        <v>47.8</v>
      </c>
      <c r="E812" s="4">
        <v>48.9</v>
      </c>
      <c r="F812" s="4">
        <v>0</v>
      </c>
      <c r="G812" s="4">
        <v>0</v>
      </c>
      <c r="H812" s="4">
        <v>1.1000000000000001</v>
      </c>
      <c r="I812" s="4">
        <v>2.2999999999999998</v>
      </c>
      <c r="J812" s="4">
        <v>5.4</v>
      </c>
    </row>
    <row r="813" spans="1:10" x14ac:dyDescent="0.35">
      <c r="A813" s="3" t="s">
        <v>1642</v>
      </c>
      <c r="B813" s="3" t="s">
        <v>1643</v>
      </c>
      <c r="C813" s="4" t="s">
        <v>65</v>
      </c>
      <c r="D813" s="4">
        <v>5.9</v>
      </c>
      <c r="E813" s="4">
        <v>6</v>
      </c>
      <c r="F813" s="4">
        <v>0</v>
      </c>
      <c r="G813" s="4">
        <v>0</v>
      </c>
      <c r="H813" s="4">
        <v>0.1</v>
      </c>
      <c r="I813" s="4">
        <v>2</v>
      </c>
      <c r="J813" s="4">
        <v>0.7</v>
      </c>
    </row>
    <row r="814" spans="1:10" x14ac:dyDescent="0.35">
      <c r="A814" s="3" t="s">
        <v>1644</v>
      </c>
      <c r="B814" s="3" t="s">
        <v>1645</v>
      </c>
      <c r="C814" s="4" t="s">
        <v>65</v>
      </c>
      <c r="D814" s="4">
        <v>28.3</v>
      </c>
      <c r="E814" s="4">
        <v>28.8</v>
      </c>
      <c r="F814" s="4">
        <v>0</v>
      </c>
      <c r="G814" s="4">
        <v>0</v>
      </c>
      <c r="H814" s="4">
        <v>0.4</v>
      </c>
      <c r="I814" s="4">
        <v>1.6</v>
      </c>
      <c r="J814" s="4">
        <v>3.2</v>
      </c>
    </row>
    <row r="815" spans="1:10" x14ac:dyDescent="0.35">
      <c r="A815" s="3" t="s">
        <v>1646</v>
      </c>
      <c r="B815" s="3" t="s">
        <v>1647</v>
      </c>
      <c r="C815" s="4" t="s">
        <v>60</v>
      </c>
      <c r="D815" s="4">
        <v>480.9</v>
      </c>
      <c r="E815" s="4">
        <v>494.3</v>
      </c>
      <c r="F815" s="4">
        <v>0.3</v>
      </c>
      <c r="G815" s="4">
        <v>0.3</v>
      </c>
      <c r="H815" s="4">
        <v>13.4</v>
      </c>
      <c r="I815" s="4">
        <v>2.8</v>
      </c>
      <c r="J815" s="4">
        <v>48.3</v>
      </c>
    </row>
    <row r="816" spans="1:10" x14ac:dyDescent="0.35">
      <c r="A816" s="3" t="s">
        <v>1648</v>
      </c>
      <c r="B816" s="3" t="s">
        <v>1649</v>
      </c>
      <c r="C816" s="4" t="s">
        <v>65</v>
      </c>
      <c r="D816" s="4">
        <v>142.4</v>
      </c>
      <c r="E816" s="4">
        <v>140.19999999999999</v>
      </c>
      <c r="F816" s="4">
        <v>0.1</v>
      </c>
      <c r="G816" s="4">
        <v>0.1</v>
      </c>
      <c r="H816" s="4">
        <v>-2.2000000000000002</v>
      </c>
      <c r="I816" s="4">
        <v>-1.5</v>
      </c>
      <c r="J816" s="4">
        <v>15.7</v>
      </c>
    </row>
    <row r="817" spans="1:10" x14ac:dyDescent="0.35">
      <c r="A817" s="3" t="s">
        <v>1650</v>
      </c>
      <c r="B817" s="3" t="s">
        <v>1651</v>
      </c>
      <c r="C817" s="4" t="s">
        <v>65</v>
      </c>
      <c r="D817" s="4">
        <v>25.1</v>
      </c>
      <c r="E817" s="4">
        <v>25.5</v>
      </c>
      <c r="F817" s="4">
        <v>0</v>
      </c>
      <c r="G817" s="4">
        <v>0</v>
      </c>
      <c r="H817" s="4">
        <v>0.4</v>
      </c>
      <c r="I817" s="4">
        <v>1.5</v>
      </c>
      <c r="J817" s="4">
        <v>2.1</v>
      </c>
    </row>
    <row r="818" spans="1:10" x14ac:dyDescent="0.35">
      <c r="A818" s="3" t="s">
        <v>1652</v>
      </c>
      <c r="B818" s="3" t="s">
        <v>1653</v>
      </c>
      <c r="C818" s="4" t="s">
        <v>65</v>
      </c>
      <c r="D818" s="4">
        <v>35.200000000000003</v>
      </c>
      <c r="E818" s="4">
        <v>34.9</v>
      </c>
      <c r="F818" s="4">
        <v>0</v>
      </c>
      <c r="G818" s="4">
        <v>0</v>
      </c>
      <c r="H818" s="4">
        <v>-0.3</v>
      </c>
      <c r="I818" s="4">
        <v>-0.7</v>
      </c>
      <c r="J818" s="4">
        <v>2.9</v>
      </c>
    </row>
    <row r="819" spans="1:10" x14ac:dyDescent="0.35">
      <c r="A819" s="3" t="s">
        <v>1654</v>
      </c>
      <c r="B819" s="3" t="s">
        <v>1655</v>
      </c>
      <c r="C819" s="4" t="s">
        <v>65</v>
      </c>
      <c r="D819" s="4">
        <v>48.7</v>
      </c>
      <c r="E819" s="4">
        <v>49.1</v>
      </c>
      <c r="F819" s="4">
        <v>0</v>
      </c>
      <c r="G819" s="4">
        <v>0</v>
      </c>
      <c r="H819" s="4">
        <v>0.4</v>
      </c>
      <c r="I819" s="4">
        <v>0.8</v>
      </c>
      <c r="J819" s="4">
        <v>5.2</v>
      </c>
    </row>
    <row r="820" spans="1:10" x14ac:dyDescent="0.35">
      <c r="A820" s="3" t="s">
        <v>1656</v>
      </c>
      <c r="B820" s="3" t="s">
        <v>1657</v>
      </c>
      <c r="C820" s="4" t="s">
        <v>65</v>
      </c>
      <c r="D820" s="4">
        <v>151.19999999999999</v>
      </c>
      <c r="E820" s="4">
        <v>163.19999999999999</v>
      </c>
      <c r="F820" s="4">
        <v>0.1</v>
      </c>
      <c r="G820" s="4">
        <v>0.1</v>
      </c>
      <c r="H820" s="4">
        <v>12</v>
      </c>
      <c r="I820" s="4">
        <v>7.9</v>
      </c>
      <c r="J820" s="4">
        <v>15.2</v>
      </c>
    </row>
    <row r="821" spans="1:10" x14ac:dyDescent="0.35">
      <c r="A821" s="3" t="s">
        <v>1658</v>
      </c>
      <c r="B821" s="3" t="s">
        <v>1659</v>
      </c>
      <c r="C821" s="4" t="s">
        <v>65</v>
      </c>
      <c r="D821" s="4">
        <v>16.5</v>
      </c>
      <c r="E821" s="4">
        <v>16.7</v>
      </c>
      <c r="F821" s="4">
        <v>0</v>
      </c>
      <c r="G821" s="4">
        <v>0</v>
      </c>
      <c r="H821" s="4">
        <v>0.2</v>
      </c>
      <c r="I821" s="4">
        <v>1.4</v>
      </c>
      <c r="J821" s="4">
        <v>1.2</v>
      </c>
    </row>
    <row r="822" spans="1:10" x14ac:dyDescent="0.35">
      <c r="A822" s="3" t="s">
        <v>1660</v>
      </c>
      <c r="B822" s="3" t="s">
        <v>1661</v>
      </c>
      <c r="C822" s="4" t="s">
        <v>65</v>
      </c>
      <c r="D822" s="4">
        <v>29.5</v>
      </c>
      <c r="E822" s="4">
        <v>31.7</v>
      </c>
      <c r="F822" s="4">
        <v>0</v>
      </c>
      <c r="G822" s="4">
        <v>0</v>
      </c>
      <c r="H822" s="4">
        <v>2.2000000000000002</v>
      </c>
      <c r="I822" s="4">
        <v>7.4</v>
      </c>
      <c r="J822" s="4">
        <v>3</v>
      </c>
    </row>
    <row r="823" spans="1:10" x14ac:dyDescent="0.35">
      <c r="A823" s="3" t="s">
        <v>1662</v>
      </c>
      <c r="B823" s="3" t="s">
        <v>1663</v>
      </c>
      <c r="C823" s="4" t="s">
        <v>65</v>
      </c>
      <c r="D823" s="4">
        <v>32.299999999999997</v>
      </c>
      <c r="E823" s="4">
        <v>33</v>
      </c>
      <c r="F823" s="4">
        <v>0</v>
      </c>
      <c r="G823" s="4">
        <v>0</v>
      </c>
      <c r="H823" s="4">
        <v>0.6</v>
      </c>
      <c r="I823" s="4">
        <v>2</v>
      </c>
      <c r="J823" s="4">
        <v>3</v>
      </c>
    </row>
    <row r="824" spans="1:10" x14ac:dyDescent="0.35">
      <c r="A824" s="3" t="s">
        <v>1664</v>
      </c>
      <c r="B824" s="3" t="s">
        <v>1665</v>
      </c>
      <c r="C824" s="4" t="s">
        <v>60</v>
      </c>
      <c r="D824" s="4">
        <v>209.5</v>
      </c>
      <c r="E824" s="4">
        <v>207.8</v>
      </c>
      <c r="F824" s="4">
        <v>0.1</v>
      </c>
      <c r="G824" s="4">
        <v>0.1</v>
      </c>
      <c r="H824" s="4">
        <v>-1.7</v>
      </c>
      <c r="I824" s="4">
        <v>-0.8</v>
      </c>
      <c r="J824" s="4">
        <v>21.1</v>
      </c>
    </row>
    <row r="825" spans="1:10" x14ac:dyDescent="0.35">
      <c r="A825" s="3" t="s">
        <v>1666</v>
      </c>
      <c r="B825" s="3" t="s">
        <v>1667</v>
      </c>
      <c r="C825" s="4" t="s">
        <v>60</v>
      </c>
      <c r="D825" s="4">
        <v>64.599999999999994</v>
      </c>
      <c r="E825" s="4">
        <v>64.7</v>
      </c>
      <c r="F825" s="4">
        <v>0</v>
      </c>
      <c r="G825" s="4">
        <v>0</v>
      </c>
      <c r="H825" s="4">
        <v>0.1</v>
      </c>
      <c r="I825" s="4">
        <v>0.2</v>
      </c>
      <c r="J825" s="4">
        <v>6.5</v>
      </c>
    </row>
    <row r="826" spans="1:10" x14ac:dyDescent="0.35">
      <c r="A826" s="3" t="s">
        <v>1668</v>
      </c>
      <c r="B826" s="3" t="s">
        <v>1669</v>
      </c>
      <c r="C826" s="4" t="s">
        <v>65</v>
      </c>
      <c r="D826" s="4">
        <v>11.9</v>
      </c>
      <c r="E826" s="4">
        <v>11.9</v>
      </c>
      <c r="F826" s="4">
        <v>0</v>
      </c>
      <c r="G826" s="4">
        <v>0</v>
      </c>
      <c r="H826" s="4">
        <v>0.1</v>
      </c>
      <c r="I826" s="4">
        <v>0.5</v>
      </c>
      <c r="J826" s="4">
        <v>1.2</v>
      </c>
    </row>
    <row r="827" spans="1:10" x14ac:dyDescent="0.35">
      <c r="A827" s="3" t="s">
        <v>1670</v>
      </c>
      <c r="B827" s="3" t="s">
        <v>1671</v>
      </c>
      <c r="C827" s="4" t="s">
        <v>65</v>
      </c>
      <c r="D827" s="4">
        <v>13.2</v>
      </c>
      <c r="E827" s="4">
        <v>13.2</v>
      </c>
      <c r="F827" s="4">
        <v>0</v>
      </c>
      <c r="G827" s="4">
        <v>0</v>
      </c>
      <c r="H827" s="4">
        <v>0</v>
      </c>
      <c r="I827" s="4">
        <v>0.1</v>
      </c>
      <c r="J827" s="4">
        <v>1.3</v>
      </c>
    </row>
    <row r="828" spans="1:10" x14ac:dyDescent="0.35">
      <c r="A828" s="3" t="s">
        <v>1672</v>
      </c>
      <c r="B828" s="3" t="s">
        <v>1673</v>
      </c>
      <c r="C828" s="4" t="s">
        <v>65</v>
      </c>
      <c r="D828" s="4">
        <v>39.5</v>
      </c>
      <c r="E828" s="4">
        <v>39.5</v>
      </c>
      <c r="F828" s="4">
        <v>0</v>
      </c>
      <c r="G828" s="4">
        <v>0</v>
      </c>
      <c r="H828" s="4">
        <v>0.1</v>
      </c>
      <c r="I828" s="4">
        <v>0.1</v>
      </c>
      <c r="J828" s="4">
        <v>4</v>
      </c>
    </row>
    <row r="829" spans="1:10" x14ac:dyDescent="0.35">
      <c r="A829" s="3" t="s">
        <v>1674</v>
      </c>
      <c r="B829" s="3" t="s">
        <v>1675</v>
      </c>
      <c r="C829" s="4" t="s">
        <v>60</v>
      </c>
      <c r="D829" s="4">
        <v>56.8</v>
      </c>
      <c r="E829" s="4">
        <v>55.8</v>
      </c>
      <c r="F829" s="4">
        <v>0</v>
      </c>
      <c r="G829" s="4">
        <v>0</v>
      </c>
      <c r="H829" s="4">
        <v>-0.9</v>
      </c>
      <c r="I829" s="4">
        <v>-1.7</v>
      </c>
      <c r="J829" s="4">
        <v>5.5</v>
      </c>
    </row>
    <row r="830" spans="1:10" x14ac:dyDescent="0.35">
      <c r="A830" s="3" t="s">
        <v>1676</v>
      </c>
      <c r="B830" s="3" t="s">
        <v>1677</v>
      </c>
      <c r="C830" s="4" t="s">
        <v>65</v>
      </c>
      <c r="D830" s="4">
        <v>36.4</v>
      </c>
      <c r="E830" s="4">
        <v>35</v>
      </c>
      <c r="F830" s="4">
        <v>0</v>
      </c>
      <c r="G830" s="4">
        <v>0</v>
      </c>
      <c r="H830" s="4">
        <v>-1.4</v>
      </c>
      <c r="I830" s="4">
        <v>-3.8</v>
      </c>
      <c r="J830" s="4">
        <v>3.4</v>
      </c>
    </row>
    <row r="831" spans="1:10" x14ac:dyDescent="0.35">
      <c r="A831" s="3" t="s">
        <v>1678</v>
      </c>
      <c r="B831" s="3" t="s">
        <v>1679</v>
      </c>
      <c r="C831" s="4" t="s">
        <v>65</v>
      </c>
      <c r="D831" s="4">
        <v>20.399999999999999</v>
      </c>
      <c r="E831" s="4">
        <v>20.8</v>
      </c>
      <c r="F831" s="4">
        <v>0</v>
      </c>
      <c r="G831" s="4">
        <v>0</v>
      </c>
      <c r="H831" s="4">
        <v>0.4</v>
      </c>
      <c r="I831" s="4">
        <v>2.2000000000000002</v>
      </c>
      <c r="J831" s="4">
        <v>2.1</v>
      </c>
    </row>
    <row r="832" spans="1:10" x14ac:dyDescent="0.35">
      <c r="A832" s="3" t="s">
        <v>1680</v>
      </c>
      <c r="B832" s="3" t="s">
        <v>1681</v>
      </c>
      <c r="C832" s="4" t="s">
        <v>65</v>
      </c>
      <c r="D832" s="4">
        <v>4.9000000000000004</v>
      </c>
      <c r="E832" s="4">
        <v>4.9000000000000004</v>
      </c>
      <c r="F832" s="4">
        <v>0</v>
      </c>
      <c r="G832" s="4">
        <v>0</v>
      </c>
      <c r="H832" s="4">
        <v>0.1</v>
      </c>
      <c r="I832" s="4">
        <v>1.1000000000000001</v>
      </c>
      <c r="J832" s="4">
        <v>0.4</v>
      </c>
    </row>
    <row r="833" spans="1:10" x14ac:dyDescent="0.35">
      <c r="A833" s="3" t="s">
        <v>1682</v>
      </c>
      <c r="B833" s="3" t="s">
        <v>1683</v>
      </c>
      <c r="C833" s="4" t="s">
        <v>60</v>
      </c>
      <c r="D833" s="4">
        <v>23.4</v>
      </c>
      <c r="E833" s="4">
        <v>21.2</v>
      </c>
      <c r="F833" s="4">
        <v>0</v>
      </c>
      <c r="G833" s="4">
        <v>0</v>
      </c>
      <c r="H833" s="4">
        <v>-2.2000000000000002</v>
      </c>
      <c r="I833" s="4">
        <v>-9.3000000000000007</v>
      </c>
      <c r="J833" s="4">
        <v>2.2000000000000002</v>
      </c>
    </row>
    <row r="834" spans="1:10" x14ac:dyDescent="0.35">
      <c r="A834" s="3" t="s">
        <v>1684</v>
      </c>
      <c r="B834" s="3" t="s">
        <v>1685</v>
      </c>
      <c r="C834" s="4" t="s">
        <v>65</v>
      </c>
      <c r="D834" s="4">
        <v>13.9</v>
      </c>
      <c r="E834" s="4">
        <v>13.5</v>
      </c>
      <c r="F834" s="4">
        <v>0</v>
      </c>
      <c r="G834" s="4">
        <v>0</v>
      </c>
      <c r="H834" s="4">
        <v>-0.4</v>
      </c>
      <c r="I834" s="4">
        <v>-3.2</v>
      </c>
      <c r="J834" s="4">
        <v>1.4</v>
      </c>
    </row>
    <row r="835" spans="1:10" x14ac:dyDescent="0.35">
      <c r="A835" s="3" t="s">
        <v>1686</v>
      </c>
      <c r="B835" s="3" t="s">
        <v>1687</v>
      </c>
      <c r="C835" s="4" t="s">
        <v>65</v>
      </c>
      <c r="D835" s="4">
        <v>1.8</v>
      </c>
      <c r="E835" s="4">
        <v>1.3</v>
      </c>
      <c r="F835" s="4">
        <v>0</v>
      </c>
      <c r="G835" s="4">
        <v>0</v>
      </c>
      <c r="H835" s="4">
        <v>-0.5</v>
      </c>
      <c r="I835" s="4">
        <v>-28.5</v>
      </c>
      <c r="J835" s="4">
        <v>0.1</v>
      </c>
    </row>
    <row r="836" spans="1:10" x14ac:dyDescent="0.35">
      <c r="A836" s="3" t="s">
        <v>1688</v>
      </c>
      <c r="B836" s="3" t="s">
        <v>1689</v>
      </c>
      <c r="C836" s="4" t="s">
        <v>65</v>
      </c>
      <c r="D836" s="4">
        <v>5.4</v>
      </c>
      <c r="E836" s="4">
        <v>4.4000000000000004</v>
      </c>
      <c r="F836" s="4">
        <v>0</v>
      </c>
      <c r="G836" s="4">
        <v>0</v>
      </c>
      <c r="H836" s="4">
        <v>-1</v>
      </c>
      <c r="I836" s="4">
        <v>-17.7</v>
      </c>
      <c r="J836" s="4">
        <v>0.4</v>
      </c>
    </row>
    <row r="837" spans="1:10" x14ac:dyDescent="0.35">
      <c r="A837" s="3" t="s">
        <v>1690</v>
      </c>
      <c r="B837" s="3" t="s">
        <v>1691</v>
      </c>
      <c r="C837" s="4" t="s">
        <v>65</v>
      </c>
      <c r="D837" s="4">
        <v>2.2999999999999998</v>
      </c>
      <c r="E837" s="4">
        <v>2</v>
      </c>
      <c r="F837" s="4">
        <v>0</v>
      </c>
      <c r="G837" s="4">
        <v>0</v>
      </c>
      <c r="H837" s="4">
        <v>-0.3</v>
      </c>
      <c r="I837" s="4">
        <v>-12.5</v>
      </c>
      <c r="J837" s="4">
        <v>0.2</v>
      </c>
    </row>
    <row r="838" spans="1:10" x14ac:dyDescent="0.35">
      <c r="A838" s="3" t="s">
        <v>1692</v>
      </c>
      <c r="B838" s="3" t="s">
        <v>1693</v>
      </c>
      <c r="C838" s="4" t="s">
        <v>65</v>
      </c>
      <c r="D838" s="4">
        <v>4.0999999999999996</v>
      </c>
      <c r="E838" s="4">
        <v>4.0999999999999996</v>
      </c>
      <c r="F838" s="4">
        <v>0</v>
      </c>
      <c r="G838" s="4">
        <v>0</v>
      </c>
      <c r="H838" s="4">
        <v>0.1</v>
      </c>
      <c r="I838" s="4">
        <v>1.9</v>
      </c>
      <c r="J838" s="4">
        <v>0.5</v>
      </c>
    </row>
    <row r="839" spans="1:10" x14ac:dyDescent="0.35">
      <c r="A839" s="3" t="s">
        <v>1694</v>
      </c>
      <c r="B839" s="3" t="s">
        <v>1695</v>
      </c>
      <c r="C839" s="4" t="s">
        <v>65</v>
      </c>
      <c r="D839" s="4">
        <v>42.1</v>
      </c>
      <c r="E839" s="4">
        <v>43.3</v>
      </c>
      <c r="F839" s="4">
        <v>0</v>
      </c>
      <c r="G839" s="4">
        <v>0</v>
      </c>
      <c r="H839" s="4">
        <v>1.2</v>
      </c>
      <c r="I839" s="4">
        <v>2.9</v>
      </c>
      <c r="J839" s="4">
        <v>4.4000000000000004</v>
      </c>
    </row>
    <row r="840" spans="1:10" x14ac:dyDescent="0.35">
      <c r="A840" s="3" t="s">
        <v>1696</v>
      </c>
      <c r="B840" s="3" t="s">
        <v>1697</v>
      </c>
      <c r="C840" s="4" t="s">
        <v>65</v>
      </c>
      <c r="D840" s="4">
        <v>7.2</v>
      </c>
      <c r="E840" s="4">
        <v>7.2</v>
      </c>
      <c r="F840" s="4">
        <v>0</v>
      </c>
      <c r="G840" s="4">
        <v>0</v>
      </c>
      <c r="H840" s="4">
        <v>0.1</v>
      </c>
      <c r="I840" s="4">
        <v>0.8</v>
      </c>
      <c r="J840" s="4">
        <v>0.8</v>
      </c>
    </row>
    <row r="841" spans="1:10" x14ac:dyDescent="0.35">
      <c r="A841" s="3" t="s">
        <v>1698</v>
      </c>
      <c r="B841" s="3" t="s">
        <v>1699</v>
      </c>
      <c r="C841" s="4" t="s">
        <v>65</v>
      </c>
      <c r="D841" s="4">
        <v>6.6</v>
      </c>
      <c r="E841" s="4">
        <v>6.4</v>
      </c>
      <c r="F841" s="4">
        <v>0</v>
      </c>
      <c r="G841" s="4">
        <v>0</v>
      </c>
      <c r="H841" s="4">
        <v>-0.1</v>
      </c>
      <c r="I841" s="4">
        <v>-1.8</v>
      </c>
      <c r="J841" s="4">
        <v>0.7</v>
      </c>
    </row>
    <row r="842" spans="1:10" x14ac:dyDescent="0.35">
      <c r="A842" s="3" t="s">
        <v>46</v>
      </c>
      <c r="B842" s="3" t="s">
        <v>47</v>
      </c>
      <c r="C842" s="4" t="s">
        <v>60</v>
      </c>
      <c r="D842" s="4">
        <v>6315.3</v>
      </c>
      <c r="E842" s="4">
        <v>6543.7</v>
      </c>
      <c r="F842" s="4">
        <v>3.8</v>
      </c>
      <c r="G842" s="4">
        <v>3.9</v>
      </c>
      <c r="H842" s="4">
        <v>228.4</v>
      </c>
      <c r="I842" s="4">
        <v>3.6</v>
      </c>
      <c r="J842" s="4">
        <v>582.1</v>
      </c>
    </row>
    <row r="843" spans="1:10" x14ac:dyDescent="0.35">
      <c r="A843" s="3" t="s">
        <v>1700</v>
      </c>
      <c r="B843" s="3" t="s">
        <v>1701</v>
      </c>
      <c r="C843" s="4" t="s">
        <v>60</v>
      </c>
      <c r="D843" s="4">
        <v>576.20000000000005</v>
      </c>
      <c r="E843" s="4">
        <v>590.20000000000005</v>
      </c>
      <c r="F843" s="4">
        <v>0.4</v>
      </c>
      <c r="G843" s="4">
        <v>0.3</v>
      </c>
      <c r="H843" s="4">
        <v>14</v>
      </c>
      <c r="I843" s="4">
        <v>2.4</v>
      </c>
      <c r="J843" s="4">
        <v>49.2</v>
      </c>
    </row>
    <row r="844" spans="1:10" x14ac:dyDescent="0.35">
      <c r="A844" s="3" t="s">
        <v>1702</v>
      </c>
      <c r="B844" s="3" t="s">
        <v>1703</v>
      </c>
      <c r="C844" s="4" t="s">
        <v>65</v>
      </c>
      <c r="D844" s="4">
        <v>576.20000000000005</v>
      </c>
      <c r="E844" s="4">
        <v>590.20000000000005</v>
      </c>
      <c r="F844" s="4">
        <v>0.4</v>
      </c>
      <c r="G844" s="4">
        <v>0.3</v>
      </c>
      <c r="H844" s="4">
        <v>14</v>
      </c>
      <c r="I844" s="4">
        <v>2.4</v>
      </c>
      <c r="J844" s="4">
        <v>49.2</v>
      </c>
    </row>
    <row r="845" spans="1:10" x14ac:dyDescent="0.35">
      <c r="A845" s="3" t="s">
        <v>1704</v>
      </c>
      <c r="B845" s="3" t="s">
        <v>1705</v>
      </c>
      <c r="C845" s="4" t="s">
        <v>60</v>
      </c>
      <c r="D845" s="4">
        <v>527.5</v>
      </c>
      <c r="E845" s="4">
        <v>528</v>
      </c>
      <c r="F845" s="4">
        <v>0.3</v>
      </c>
      <c r="G845" s="4">
        <v>0.3</v>
      </c>
      <c r="H845" s="4">
        <v>0.5</v>
      </c>
      <c r="I845" s="4">
        <v>0.1</v>
      </c>
      <c r="J845" s="4">
        <v>50.5</v>
      </c>
    </row>
    <row r="846" spans="1:10" x14ac:dyDescent="0.35">
      <c r="A846" s="3" t="s">
        <v>1706</v>
      </c>
      <c r="B846" s="3" t="s">
        <v>1707</v>
      </c>
      <c r="C846" s="4" t="s">
        <v>65</v>
      </c>
      <c r="D846" s="4">
        <v>96.4</v>
      </c>
      <c r="E846" s="4">
        <v>86</v>
      </c>
      <c r="F846" s="4">
        <v>0.1</v>
      </c>
      <c r="G846" s="4">
        <v>0.1</v>
      </c>
      <c r="H846" s="4">
        <v>-10.4</v>
      </c>
      <c r="I846" s="4">
        <v>-10.8</v>
      </c>
      <c r="J846" s="4">
        <v>7.7</v>
      </c>
    </row>
    <row r="847" spans="1:10" x14ac:dyDescent="0.35">
      <c r="A847" s="3" t="s">
        <v>1708</v>
      </c>
      <c r="B847" s="3" t="s">
        <v>1709</v>
      </c>
      <c r="C847" s="4" t="s">
        <v>60</v>
      </c>
      <c r="D847" s="4">
        <v>187.1</v>
      </c>
      <c r="E847" s="4">
        <v>198.6</v>
      </c>
      <c r="F847" s="4">
        <v>0.1</v>
      </c>
      <c r="G847" s="4">
        <v>0.1</v>
      </c>
      <c r="H847" s="4">
        <v>11.4</v>
      </c>
      <c r="I847" s="4">
        <v>6.1</v>
      </c>
      <c r="J847" s="4">
        <v>20.5</v>
      </c>
    </row>
    <row r="848" spans="1:10" x14ac:dyDescent="0.35">
      <c r="A848" s="3" t="s">
        <v>1710</v>
      </c>
      <c r="B848" s="3" t="s">
        <v>1711</v>
      </c>
      <c r="C848" s="4" t="s">
        <v>65</v>
      </c>
      <c r="D848" s="4">
        <v>13.5</v>
      </c>
      <c r="E848" s="4">
        <v>13.9</v>
      </c>
      <c r="F848" s="4">
        <v>0</v>
      </c>
      <c r="G848" s="4">
        <v>0</v>
      </c>
      <c r="H848" s="4">
        <v>0.5</v>
      </c>
      <c r="I848" s="4">
        <v>3.4</v>
      </c>
      <c r="J848" s="4">
        <v>1.4</v>
      </c>
    </row>
    <row r="849" spans="1:10" x14ac:dyDescent="0.35">
      <c r="A849" s="3" t="s">
        <v>1712</v>
      </c>
      <c r="B849" s="3" t="s">
        <v>1713</v>
      </c>
      <c r="C849" s="4" t="s">
        <v>65</v>
      </c>
      <c r="D849" s="4">
        <v>173.7</v>
      </c>
      <c r="E849" s="4">
        <v>184.7</v>
      </c>
      <c r="F849" s="4">
        <v>0.1</v>
      </c>
      <c r="G849" s="4">
        <v>0.1</v>
      </c>
      <c r="H849" s="4">
        <v>11</v>
      </c>
      <c r="I849" s="4">
        <v>6.3</v>
      </c>
      <c r="J849" s="4">
        <v>19.100000000000001</v>
      </c>
    </row>
    <row r="850" spans="1:10" x14ac:dyDescent="0.35">
      <c r="A850" s="3" t="s">
        <v>1714</v>
      </c>
      <c r="B850" s="3" t="s">
        <v>1715</v>
      </c>
      <c r="C850" s="4" t="s">
        <v>60</v>
      </c>
      <c r="D850" s="4">
        <v>244</v>
      </c>
      <c r="E850" s="4">
        <v>243.4</v>
      </c>
      <c r="F850" s="4">
        <v>0.1</v>
      </c>
      <c r="G850" s="4">
        <v>0.1</v>
      </c>
      <c r="H850" s="4">
        <v>-0.6</v>
      </c>
      <c r="I850" s="4">
        <v>-0.2</v>
      </c>
      <c r="J850" s="4">
        <v>22.3</v>
      </c>
    </row>
    <row r="851" spans="1:10" x14ac:dyDescent="0.35">
      <c r="A851" s="3" t="s">
        <v>1716</v>
      </c>
      <c r="B851" s="3" t="s">
        <v>1717</v>
      </c>
      <c r="C851" s="4" t="s">
        <v>65</v>
      </c>
      <c r="D851" s="4">
        <v>20.8</v>
      </c>
      <c r="E851" s="4">
        <v>21.7</v>
      </c>
      <c r="F851" s="4">
        <v>0</v>
      </c>
      <c r="G851" s="4">
        <v>0</v>
      </c>
      <c r="H851" s="4">
        <v>0.9</v>
      </c>
      <c r="I851" s="4">
        <v>4.3</v>
      </c>
      <c r="J851" s="4">
        <v>1.9</v>
      </c>
    </row>
    <row r="852" spans="1:10" x14ac:dyDescent="0.35">
      <c r="A852" s="3" t="s">
        <v>1718</v>
      </c>
      <c r="B852" s="3" t="s">
        <v>1719</v>
      </c>
      <c r="C852" s="4" t="s">
        <v>65</v>
      </c>
      <c r="D852" s="4">
        <v>16.100000000000001</v>
      </c>
      <c r="E852" s="4">
        <v>16.5</v>
      </c>
      <c r="F852" s="4">
        <v>0</v>
      </c>
      <c r="G852" s="4">
        <v>0</v>
      </c>
      <c r="H852" s="4">
        <v>0.4</v>
      </c>
      <c r="I852" s="4">
        <v>2.5</v>
      </c>
      <c r="J852" s="4">
        <v>1.3</v>
      </c>
    </row>
    <row r="853" spans="1:10" x14ac:dyDescent="0.35">
      <c r="A853" s="3" t="s">
        <v>1720</v>
      </c>
      <c r="B853" s="3" t="s">
        <v>1721</v>
      </c>
      <c r="C853" s="4" t="s">
        <v>65</v>
      </c>
      <c r="D853" s="4">
        <v>7.9</v>
      </c>
      <c r="E853" s="4">
        <v>8.3000000000000007</v>
      </c>
      <c r="F853" s="4">
        <v>0</v>
      </c>
      <c r="G853" s="4">
        <v>0</v>
      </c>
      <c r="H853" s="4">
        <v>0.4</v>
      </c>
      <c r="I853" s="4">
        <v>4.8</v>
      </c>
      <c r="J853" s="4">
        <v>0.7</v>
      </c>
    </row>
    <row r="854" spans="1:10" x14ac:dyDescent="0.35">
      <c r="A854" s="3" t="s">
        <v>1722</v>
      </c>
      <c r="B854" s="3" t="s">
        <v>1723</v>
      </c>
      <c r="C854" s="4" t="s">
        <v>65</v>
      </c>
      <c r="D854" s="4">
        <v>53.6</v>
      </c>
      <c r="E854" s="4">
        <v>53.2</v>
      </c>
      <c r="F854" s="4">
        <v>0</v>
      </c>
      <c r="G854" s="4">
        <v>0</v>
      </c>
      <c r="H854" s="4">
        <v>-0.4</v>
      </c>
      <c r="I854" s="4">
        <v>-0.7</v>
      </c>
      <c r="J854" s="4">
        <v>4.4000000000000004</v>
      </c>
    </row>
    <row r="855" spans="1:10" x14ac:dyDescent="0.35">
      <c r="A855" s="3" t="s">
        <v>1724</v>
      </c>
      <c r="B855" s="3" t="s">
        <v>1725</v>
      </c>
      <c r="C855" s="4" t="s">
        <v>65</v>
      </c>
      <c r="D855" s="4">
        <v>26.1</v>
      </c>
      <c r="E855" s="4">
        <v>25.4</v>
      </c>
      <c r="F855" s="4">
        <v>0</v>
      </c>
      <c r="G855" s="4">
        <v>0</v>
      </c>
      <c r="H855" s="4">
        <v>-0.7</v>
      </c>
      <c r="I855" s="4">
        <v>-2.7</v>
      </c>
      <c r="J855" s="4">
        <v>2.1</v>
      </c>
    </row>
    <row r="856" spans="1:10" x14ac:dyDescent="0.35">
      <c r="A856" s="3" t="s">
        <v>1726</v>
      </c>
      <c r="B856" s="3" t="s">
        <v>1727</v>
      </c>
      <c r="C856" s="4" t="s">
        <v>65</v>
      </c>
      <c r="D856" s="4">
        <v>9.6999999999999993</v>
      </c>
      <c r="E856" s="4">
        <v>7.9</v>
      </c>
      <c r="F856" s="4">
        <v>0</v>
      </c>
      <c r="G856" s="4">
        <v>0</v>
      </c>
      <c r="H856" s="4">
        <v>-1.7</v>
      </c>
      <c r="I856" s="4">
        <v>-18</v>
      </c>
      <c r="J856" s="4">
        <v>0.6</v>
      </c>
    </row>
    <row r="857" spans="1:10" x14ac:dyDescent="0.35">
      <c r="A857" s="3" t="s">
        <v>1728</v>
      </c>
      <c r="B857" s="3" t="s">
        <v>1729</v>
      </c>
      <c r="C857" s="4" t="s">
        <v>65</v>
      </c>
      <c r="D857" s="4">
        <v>26.9</v>
      </c>
      <c r="E857" s="4">
        <v>25.2</v>
      </c>
      <c r="F857" s="4">
        <v>0</v>
      </c>
      <c r="G857" s="4">
        <v>0</v>
      </c>
      <c r="H857" s="4">
        <v>-1.8</v>
      </c>
      <c r="I857" s="4">
        <v>-6.5</v>
      </c>
      <c r="J857" s="4">
        <v>2.2999999999999998</v>
      </c>
    </row>
    <row r="858" spans="1:10" x14ac:dyDescent="0.35">
      <c r="A858" s="3" t="s">
        <v>1730</v>
      </c>
      <c r="B858" s="3" t="s">
        <v>1731</v>
      </c>
      <c r="C858" s="4" t="s">
        <v>65</v>
      </c>
      <c r="D858" s="4">
        <v>83</v>
      </c>
      <c r="E858" s="4">
        <v>85.3</v>
      </c>
      <c r="F858" s="4">
        <v>0.1</v>
      </c>
      <c r="G858" s="4">
        <v>0.1</v>
      </c>
      <c r="H858" s="4">
        <v>2.2999999999999998</v>
      </c>
      <c r="I858" s="4">
        <v>2.8</v>
      </c>
      <c r="J858" s="4">
        <v>8.9</v>
      </c>
    </row>
    <row r="859" spans="1:10" x14ac:dyDescent="0.35">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35">
      <c r="A860" s="3" t="s">
        <v>1734</v>
      </c>
      <c r="B860" s="3" t="s">
        <v>1735</v>
      </c>
      <c r="C860" s="4" t="s">
        <v>65</v>
      </c>
      <c r="D860" s="4">
        <v>140.19999999999999</v>
      </c>
      <c r="E860" s="4">
        <v>146.19999999999999</v>
      </c>
      <c r="F860" s="4">
        <v>0.1</v>
      </c>
      <c r="G860" s="4">
        <v>0.1</v>
      </c>
      <c r="H860" s="4">
        <v>6.1</v>
      </c>
      <c r="I860" s="4">
        <v>4.3</v>
      </c>
      <c r="J860" s="4">
        <v>10.9</v>
      </c>
    </row>
    <row r="861" spans="1:10" x14ac:dyDescent="0.35">
      <c r="A861" s="3" t="s">
        <v>1736</v>
      </c>
      <c r="B861" s="3" t="s">
        <v>1737</v>
      </c>
      <c r="C861" s="4" t="s">
        <v>60</v>
      </c>
      <c r="D861" s="4">
        <v>957.4</v>
      </c>
      <c r="E861" s="4">
        <v>972.4</v>
      </c>
      <c r="F861" s="4">
        <v>0.6</v>
      </c>
      <c r="G861" s="4">
        <v>0.6</v>
      </c>
      <c r="H861" s="4">
        <v>15</v>
      </c>
      <c r="I861" s="4">
        <v>1.6</v>
      </c>
      <c r="J861" s="4">
        <v>82.8</v>
      </c>
    </row>
    <row r="862" spans="1:10" x14ac:dyDescent="0.35">
      <c r="A862" s="3" t="s">
        <v>1738</v>
      </c>
      <c r="B862" s="3" t="s">
        <v>1739</v>
      </c>
      <c r="C862" s="4" t="s">
        <v>65</v>
      </c>
      <c r="D862" s="4">
        <v>153.30000000000001</v>
      </c>
      <c r="E862" s="4">
        <v>155.19999999999999</v>
      </c>
      <c r="F862" s="4">
        <v>0.1</v>
      </c>
      <c r="G862" s="4">
        <v>0.1</v>
      </c>
      <c r="H862" s="4">
        <v>1.9</v>
      </c>
      <c r="I862" s="4">
        <v>1.2</v>
      </c>
      <c r="J862" s="4">
        <v>13.4</v>
      </c>
    </row>
    <row r="863" spans="1:10" x14ac:dyDescent="0.35">
      <c r="A863" s="3" t="s">
        <v>1740</v>
      </c>
      <c r="B863" s="3" t="s">
        <v>1741</v>
      </c>
      <c r="C863" s="4" t="s">
        <v>65</v>
      </c>
      <c r="D863" s="4">
        <v>21.9</v>
      </c>
      <c r="E863" s="4">
        <v>22.2</v>
      </c>
      <c r="F863" s="4">
        <v>0</v>
      </c>
      <c r="G863" s="4">
        <v>0</v>
      </c>
      <c r="H863" s="4">
        <v>0.4</v>
      </c>
      <c r="I863" s="4">
        <v>1.7</v>
      </c>
      <c r="J863" s="4">
        <v>1.7</v>
      </c>
    </row>
    <row r="864" spans="1:10" x14ac:dyDescent="0.35">
      <c r="A864" s="3" t="s">
        <v>1742</v>
      </c>
      <c r="B864" s="3" t="s">
        <v>1743</v>
      </c>
      <c r="C864" s="4" t="s">
        <v>65</v>
      </c>
      <c r="D864" s="4">
        <v>782.2</v>
      </c>
      <c r="E864" s="4">
        <v>795</v>
      </c>
      <c r="F864" s="4">
        <v>0.5</v>
      </c>
      <c r="G864" s="4">
        <v>0.5</v>
      </c>
      <c r="H864" s="4">
        <v>12.8</v>
      </c>
      <c r="I864" s="4">
        <v>1.6</v>
      </c>
      <c r="J864" s="4">
        <v>67.7</v>
      </c>
    </row>
    <row r="865" spans="1:10" x14ac:dyDescent="0.35">
      <c r="A865" s="3" t="s">
        <v>1744</v>
      </c>
      <c r="B865" s="3" t="s">
        <v>1745</v>
      </c>
      <c r="C865" s="4" t="s">
        <v>65</v>
      </c>
      <c r="D865" s="4">
        <v>291.60000000000002</v>
      </c>
      <c r="E865" s="4">
        <v>294.10000000000002</v>
      </c>
      <c r="F865" s="4">
        <v>0.2</v>
      </c>
      <c r="G865" s="4">
        <v>0.2</v>
      </c>
      <c r="H865" s="4">
        <v>2.5</v>
      </c>
      <c r="I865" s="4">
        <v>0.9</v>
      </c>
      <c r="J865" s="4">
        <v>24.3</v>
      </c>
    </row>
    <row r="866" spans="1:10" x14ac:dyDescent="0.35">
      <c r="A866" s="3" t="s">
        <v>1746</v>
      </c>
      <c r="B866" s="3" t="s">
        <v>1747</v>
      </c>
      <c r="C866" s="4" t="s">
        <v>60</v>
      </c>
      <c r="D866" s="4">
        <v>234.8</v>
      </c>
      <c r="E866" s="4">
        <v>247.8</v>
      </c>
      <c r="F866" s="4">
        <v>0.1</v>
      </c>
      <c r="G866" s="4">
        <v>0.1</v>
      </c>
      <c r="H866" s="4">
        <v>13</v>
      </c>
      <c r="I866" s="4">
        <v>5.5</v>
      </c>
      <c r="J866" s="4">
        <v>21.1</v>
      </c>
    </row>
    <row r="867" spans="1:10" x14ac:dyDescent="0.35">
      <c r="A867" s="3" t="s">
        <v>1748</v>
      </c>
      <c r="B867" s="3" t="s">
        <v>1749</v>
      </c>
      <c r="C867" s="4" t="s">
        <v>65</v>
      </c>
      <c r="D867" s="4">
        <v>45.6</v>
      </c>
      <c r="E867" s="4">
        <v>49.3</v>
      </c>
      <c r="F867" s="4">
        <v>0</v>
      </c>
      <c r="G867" s="4">
        <v>0</v>
      </c>
      <c r="H867" s="4">
        <v>3.7</v>
      </c>
      <c r="I867" s="4">
        <v>8.1</v>
      </c>
      <c r="J867" s="4">
        <v>4.3</v>
      </c>
    </row>
    <row r="868" spans="1:10" x14ac:dyDescent="0.35">
      <c r="A868" s="3" t="s">
        <v>1750</v>
      </c>
      <c r="B868" s="3" t="s">
        <v>1751</v>
      </c>
      <c r="C868" s="4" t="s">
        <v>65</v>
      </c>
      <c r="D868" s="4">
        <v>169.1</v>
      </c>
      <c r="E868" s="4">
        <v>177.6</v>
      </c>
      <c r="F868" s="4">
        <v>0.1</v>
      </c>
      <c r="G868" s="4">
        <v>0.1</v>
      </c>
      <c r="H868" s="4">
        <v>8.6</v>
      </c>
      <c r="I868" s="4">
        <v>5.0999999999999996</v>
      </c>
      <c r="J868" s="4">
        <v>15.1</v>
      </c>
    </row>
    <row r="869" spans="1:10" x14ac:dyDescent="0.35">
      <c r="A869" s="3" t="s">
        <v>1752</v>
      </c>
      <c r="B869" s="3" t="s">
        <v>1753</v>
      </c>
      <c r="C869" s="4" t="s">
        <v>65</v>
      </c>
      <c r="D869" s="4">
        <v>20.100000000000001</v>
      </c>
      <c r="E869" s="4">
        <v>20.8</v>
      </c>
      <c r="F869" s="4">
        <v>0</v>
      </c>
      <c r="G869" s="4">
        <v>0</v>
      </c>
      <c r="H869" s="4">
        <v>0.7</v>
      </c>
      <c r="I869" s="4">
        <v>3.6</v>
      </c>
      <c r="J869" s="4">
        <v>1.8</v>
      </c>
    </row>
    <row r="870" spans="1:10" x14ac:dyDescent="0.35">
      <c r="A870" s="3" t="s">
        <v>1754</v>
      </c>
      <c r="B870" s="3" t="s">
        <v>1755</v>
      </c>
      <c r="C870" s="4" t="s">
        <v>60</v>
      </c>
      <c r="D870" s="4">
        <v>88</v>
      </c>
      <c r="E870" s="4">
        <v>90.5</v>
      </c>
      <c r="F870" s="4">
        <v>0.1</v>
      </c>
      <c r="G870" s="4">
        <v>0.1</v>
      </c>
      <c r="H870" s="4">
        <v>2.5</v>
      </c>
      <c r="I870" s="4">
        <v>2.8</v>
      </c>
      <c r="J870" s="4">
        <v>9</v>
      </c>
    </row>
    <row r="871" spans="1:10" x14ac:dyDescent="0.35">
      <c r="A871" s="3" t="s">
        <v>1756</v>
      </c>
      <c r="B871" s="3" t="s">
        <v>1757</v>
      </c>
      <c r="C871" s="4" t="s">
        <v>65</v>
      </c>
      <c r="D871" s="4">
        <v>29.3</v>
      </c>
      <c r="E871" s="4">
        <v>31</v>
      </c>
      <c r="F871" s="4">
        <v>0</v>
      </c>
      <c r="G871" s="4">
        <v>0</v>
      </c>
      <c r="H871" s="4">
        <v>1.7</v>
      </c>
      <c r="I871" s="4">
        <v>5.7</v>
      </c>
      <c r="J871" s="4">
        <v>3.1</v>
      </c>
    </row>
    <row r="872" spans="1:10" x14ac:dyDescent="0.35">
      <c r="A872" s="3" t="s">
        <v>1758</v>
      </c>
      <c r="B872" s="3" t="s">
        <v>1759</v>
      </c>
      <c r="C872" s="4" t="s">
        <v>65</v>
      </c>
      <c r="D872" s="4">
        <v>17.100000000000001</v>
      </c>
      <c r="E872" s="4">
        <v>17.399999999999999</v>
      </c>
      <c r="F872" s="4">
        <v>0</v>
      </c>
      <c r="G872" s="4">
        <v>0</v>
      </c>
      <c r="H872" s="4">
        <v>0.3</v>
      </c>
      <c r="I872" s="4">
        <v>1.8</v>
      </c>
      <c r="J872" s="4">
        <v>1.7</v>
      </c>
    </row>
    <row r="873" spans="1:10" x14ac:dyDescent="0.35">
      <c r="A873" s="3" t="s">
        <v>1760</v>
      </c>
      <c r="B873" s="3" t="s">
        <v>1761</v>
      </c>
      <c r="C873" s="4" t="s">
        <v>65</v>
      </c>
      <c r="D873" s="4">
        <v>41.6</v>
      </c>
      <c r="E873" s="4">
        <v>42.1</v>
      </c>
      <c r="F873" s="4">
        <v>0</v>
      </c>
      <c r="G873" s="4">
        <v>0</v>
      </c>
      <c r="H873" s="4">
        <v>0.5</v>
      </c>
      <c r="I873" s="4">
        <v>1.2</v>
      </c>
      <c r="J873" s="4">
        <v>4.2</v>
      </c>
    </row>
    <row r="874" spans="1:10" x14ac:dyDescent="0.35">
      <c r="A874" s="3" t="s">
        <v>1762</v>
      </c>
      <c r="B874" s="3" t="s">
        <v>1763</v>
      </c>
      <c r="C874" s="4" t="s">
        <v>60</v>
      </c>
      <c r="D874" s="4">
        <v>135.9</v>
      </c>
      <c r="E874" s="4">
        <v>139.30000000000001</v>
      </c>
      <c r="F874" s="4">
        <v>0.1</v>
      </c>
      <c r="G874" s="4">
        <v>0.1</v>
      </c>
      <c r="H874" s="4">
        <v>3.4</v>
      </c>
      <c r="I874" s="4">
        <v>2.5</v>
      </c>
      <c r="J874" s="4">
        <v>15.5</v>
      </c>
    </row>
    <row r="875" spans="1:10" x14ac:dyDescent="0.35">
      <c r="A875" s="3" t="s">
        <v>1764</v>
      </c>
      <c r="B875" s="3" t="s">
        <v>1765</v>
      </c>
      <c r="C875" s="4" t="s">
        <v>65</v>
      </c>
      <c r="D875" s="4">
        <v>14.4</v>
      </c>
      <c r="E875" s="4">
        <v>14.9</v>
      </c>
      <c r="F875" s="4">
        <v>0</v>
      </c>
      <c r="G875" s="4">
        <v>0</v>
      </c>
      <c r="H875" s="4">
        <v>0.5</v>
      </c>
      <c r="I875" s="4">
        <v>3.8</v>
      </c>
      <c r="J875" s="4">
        <v>1.7</v>
      </c>
    </row>
    <row r="876" spans="1:10" x14ac:dyDescent="0.35">
      <c r="A876" s="3" t="s">
        <v>1766</v>
      </c>
      <c r="B876" s="3" t="s">
        <v>1767</v>
      </c>
      <c r="C876" s="4" t="s">
        <v>65</v>
      </c>
      <c r="D876" s="4">
        <v>17.7</v>
      </c>
      <c r="E876" s="4">
        <v>19.399999999999999</v>
      </c>
      <c r="F876" s="4">
        <v>0</v>
      </c>
      <c r="G876" s="4">
        <v>0</v>
      </c>
      <c r="H876" s="4">
        <v>1.7</v>
      </c>
      <c r="I876" s="4">
        <v>9.8000000000000007</v>
      </c>
      <c r="J876" s="4">
        <v>2.2000000000000002</v>
      </c>
    </row>
    <row r="877" spans="1:10" x14ac:dyDescent="0.35">
      <c r="A877" s="3" t="s">
        <v>1768</v>
      </c>
      <c r="B877" s="3" t="s">
        <v>1769</v>
      </c>
      <c r="C877" s="4" t="s">
        <v>65</v>
      </c>
      <c r="D877" s="4">
        <v>103.8</v>
      </c>
      <c r="E877" s="4">
        <v>105</v>
      </c>
      <c r="F877" s="4">
        <v>0.1</v>
      </c>
      <c r="G877" s="4">
        <v>0.1</v>
      </c>
      <c r="H877" s="4">
        <v>1.2</v>
      </c>
      <c r="I877" s="4">
        <v>1.1000000000000001</v>
      </c>
      <c r="J877" s="4">
        <v>11.6</v>
      </c>
    </row>
    <row r="878" spans="1:10" x14ac:dyDescent="0.35">
      <c r="A878" s="3" t="s">
        <v>1770</v>
      </c>
      <c r="B878" s="3" t="s">
        <v>1771</v>
      </c>
      <c r="C878" s="4" t="s">
        <v>60</v>
      </c>
      <c r="D878" s="4">
        <v>3363.8</v>
      </c>
      <c r="E878" s="4">
        <v>3535.2</v>
      </c>
      <c r="F878" s="4">
        <v>2</v>
      </c>
      <c r="G878" s="4">
        <v>2.1</v>
      </c>
      <c r="H878" s="4">
        <v>171.5</v>
      </c>
      <c r="I878" s="4">
        <v>5.0999999999999996</v>
      </c>
      <c r="J878" s="4">
        <v>318.7</v>
      </c>
    </row>
    <row r="879" spans="1:10" x14ac:dyDescent="0.35">
      <c r="A879" s="3" t="s">
        <v>1772</v>
      </c>
      <c r="B879" s="3" t="s">
        <v>1773</v>
      </c>
      <c r="C879" s="4" t="s">
        <v>60</v>
      </c>
      <c r="D879" s="4">
        <v>75.900000000000006</v>
      </c>
      <c r="E879" s="4">
        <v>78.3</v>
      </c>
      <c r="F879" s="4">
        <v>0</v>
      </c>
      <c r="G879" s="4">
        <v>0</v>
      </c>
      <c r="H879" s="4">
        <v>2.4</v>
      </c>
      <c r="I879" s="4">
        <v>3.2</v>
      </c>
      <c r="J879" s="4">
        <v>5.9</v>
      </c>
    </row>
    <row r="880" spans="1:10" x14ac:dyDescent="0.35">
      <c r="A880" s="3" t="s">
        <v>1774</v>
      </c>
      <c r="B880" s="3" t="s">
        <v>1775</v>
      </c>
      <c r="C880" s="4" t="s">
        <v>65</v>
      </c>
      <c r="D880" s="4">
        <v>28</v>
      </c>
      <c r="E880" s="4">
        <v>30.6</v>
      </c>
      <c r="F880" s="4">
        <v>0</v>
      </c>
      <c r="G880" s="4">
        <v>0</v>
      </c>
      <c r="H880" s="4">
        <v>2.7</v>
      </c>
      <c r="I880" s="4">
        <v>9.6</v>
      </c>
      <c r="J880" s="4">
        <v>2.4</v>
      </c>
    </row>
    <row r="881" spans="1:10" x14ac:dyDescent="0.35">
      <c r="A881" s="3" t="s">
        <v>1776</v>
      </c>
      <c r="B881" s="3" t="s">
        <v>1777</v>
      </c>
      <c r="C881" s="4" t="s">
        <v>65</v>
      </c>
      <c r="D881" s="4">
        <v>47.9</v>
      </c>
      <c r="E881" s="4">
        <v>47.6</v>
      </c>
      <c r="F881" s="4">
        <v>0</v>
      </c>
      <c r="G881" s="4">
        <v>0</v>
      </c>
      <c r="H881" s="4">
        <v>-0.3</v>
      </c>
      <c r="I881" s="4">
        <v>-0.6</v>
      </c>
      <c r="J881" s="4">
        <v>3.4</v>
      </c>
    </row>
    <row r="882" spans="1:10" x14ac:dyDescent="0.35">
      <c r="A882" s="3" t="s">
        <v>1778</v>
      </c>
      <c r="B882" s="3" t="s">
        <v>1779</v>
      </c>
      <c r="C882" s="4" t="s">
        <v>65</v>
      </c>
      <c r="D882" s="4">
        <v>415.8</v>
      </c>
      <c r="E882" s="4">
        <v>438.8</v>
      </c>
      <c r="F882" s="4">
        <v>0.3</v>
      </c>
      <c r="G882" s="4">
        <v>0.3</v>
      </c>
      <c r="H882" s="4">
        <v>23</v>
      </c>
      <c r="I882" s="4">
        <v>5.5</v>
      </c>
      <c r="J882" s="4">
        <v>37.700000000000003</v>
      </c>
    </row>
    <row r="883" spans="1:10" x14ac:dyDescent="0.35">
      <c r="A883" s="3" t="s">
        <v>1780</v>
      </c>
      <c r="B883" s="3" t="s">
        <v>1781</v>
      </c>
      <c r="C883" s="4" t="s">
        <v>65</v>
      </c>
      <c r="D883" s="4">
        <v>36.6</v>
      </c>
      <c r="E883" s="4">
        <v>35.1</v>
      </c>
      <c r="F883" s="4">
        <v>0</v>
      </c>
      <c r="G883" s="4">
        <v>0</v>
      </c>
      <c r="H883" s="4">
        <v>-1.6</v>
      </c>
      <c r="I883" s="4">
        <v>-4.3</v>
      </c>
      <c r="J883" s="4">
        <v>2.9</v>
      </c>
    </row>
    <row r="884" spans="1:10" x14ac:dyDescent="0.35">
      <c r="A884" s="3" t="s">
        <v>1782</v>
      </c>
      <c r="B884" s="3" t="s">
        <v>1783</v>
      </c>
      <c r="C884" s="4" t="s">
        <v>60</v>
      </c>
      <c r="D884" s="4">
        <v>508.5</v>
      </c>
      <c r="E884" s="4">
        <v>573.1</v>
      </c>
      <c r="F884" s="4">
        <v>0.3</v>
      </c>
      <c r="G884" s="4">
        <v>0.3</v>
      </c>
      <c r="H884" s="4">
        <v>64.599999999999994</v>
      </c>
      <c r="I884" s="4">
        <v>12.7</v>
      </c>
      <c r="J884" s="4">
        <v>49.1</v>
      </c>
    </row>
    <row r="885" spans="1:10" x14ac:dyDescent="0.35">
      <c r="A885" s="3" t="s">
        <v>1784</v>
      </c>
      <c r="B885" s="3" t="s">
        <v>1785</v>
      </c>
      <c r="C885" s="4" t="s">
        <v>65</v>
      </c>
      <c r="D885" s="4">
        <v>402.2</v>
      </c>
      <c r="E885" s="4">
        <v>462.1</v>
      </c>
      <c r="F885" s="4">
        <v>0.2</v>
      </c>
      <c r="G885" s="4">
        <v>0.3</v>
      </c>
      <c r="H885" s="4">
        <v>59.9</v>
      </c>
      <c r="I885" s="4">
        <v>14.9</v>
      </c>
      <c r="J885" s="4">
        <v>39.200000000000003</v>
      </c>
    </row>
    <row r="886" spans="1:10" x14ac:dyDescent="0.35">
      <c r="A886" s="3" t="s">
        <v>1786</v>
      </c>
      <c r="B886" s="3" t="s">
        <v>1787</v>
      </c>
      <c r="C886" s="4" t="s">
        <v>65</v>
      </c>
      <c r="D886" s="4">
        <v>63.6</v>
      </c>
      <c r="E886" s="4">
        <v>67.099999999999994</v>
      </c>
      <c r="F886" s="4">
        <v>0</v>
      </c>
      <c r="G886" s="4">
        <v>0</v>
      </c>
      <c r="H886" s="4">
        <v>3.5</v>
      </c>
      <c r="I886" s="4">
        <v>5.5</v>
      </c>
      <c r="J886" s="4">
        <v>6.4</v>
      </c>
    </row>
    <row r="887" spans="1:10" x14ac:dyDescent="0.35">
      <c r="A887" s="3" t="s">
        <v>1788</v>
      </c>
      <c r="B887" s="3" t="s">
        <v>1789</v>
      </c>
      <c r="C887" s="4" t="s">
        <v>65</v>
      </c>
      <c r="D887" s="4">
        <v>42.1</v>
      </c>
      <c r="E887" s="4">
        <v>43.4</v>
      </c>
      <c r="F887" s="4">
        <v>0</v>
      </c>
      <c r="G887" s="4">
        <v>0</v>
      </c>
      <c r="H887" s="4">
        <v>1.3</v>
      </c>
      <c r="I887" s="4">
        <v>3</v>
      </c>
      <c r="J887" s="4">
        <v>3.5</v>
      </c>
    </row>
    <row r="888" spans="1:10" x14ac:dyDescent="0.35">
      <c r="A888" s="3" t="s">
        <v>1790</v>
      </c>
      <c r="B888" s="3" t="s">
        <v>1791</v>
      </c>
      <c r="C888" s="4" t="s">
        <v>65</v>
      </c>
      <c r="D888" s="4">
        <v>0.6</v>
      </c>
      <c r="E888" s="4">
        <v>0.5</v>
      </c>
      <c r="F888" s="4">
        <v>0</v>
      </c>
      <c r="G888" s="4">
        <v>0</v>
      </c>
      <c r="H888" s="4">
        <v>-0.1</v>
      </c>
      <c r="I888" s="4">
        <v>-21.4</v>
      </c>
      <c r="J888" s="4">
        <v>0</v>
      </c>
    </row>
    <row r="889" spans="1:10" x14ac:dyDescent="0.35">
      <c r="A889" s="3" t="s">
        <v>1792</v>
      </c>
      <c r="B889" s="3" t="s">
        <v>1793</v>
      </c>
      <c r="C889" s="4" t="s">
        <v>60</v>
      </c>
      <c r="D889" s="4">
        <v>234.5</v>
      </c>
      <c r="E889" s="4">
        <v>245.5</v>
      </c>
      <c r="F889" s="4">
        <v>0.1</v>
      </c>
      <c r="G889" s="4">
        <v>0.1</v>
      </c>
      <c r="H889" s="4">
        <v>11</v>
      </c>
      <c r="I889" s="4">
        <v>4.7</v>
      </c>
      <c r="J889" s="4">
        <v>20.6</v>
      </c>
    </row>
    <row r="890" spans="1:10" x14ac:dyDescent="0.35">
      <c r="A890" s="3" t="s">
        <v>1794</v>
      </c>
      <c r="B890" s="3" t="s">
        <v>1795</v>
      </c>
      <c r="C890" s="4" t="s">
        <v>65</v>
      </c>
      <c r="D890" s="4">
        <v>122.4</v>
      </c>
      <c r="E890" s="4">
        <v>125.8</v>
      </c>
      <c r="F890" s="4">
        <v>0.1</v>
      </c>
      <c r="G890" s="4">
        <v>0.1</v>
      </c>
      <c r="H890" s="4">
        <v>3.5</v>
      </c>
      <c r="I890" s="4">
        <v>2.8</v>
      </c>
      <c r="J890" s="4">
        <v>9.6999999999999993</v>
      </c>
    </row>
    <row r="891" spans="1:10" x14ac:dyDescent="0.35">
      <c r="A891" s="3" t="s">
        <v>1796</v>
      </c>
      <c r="B891" s="3" t="s">
        <v>1797</v>
      </c>
      <c r="C891" s="4" t="s">
        <v>65</v>
      </c>
      <c r="D891" s="4">
        <v>112.1</v>
      </c>
      <c r="E891" s="4">
        <v>119.6</v>
      </c>
      <c r="F891" s="4">
        <v>0.1</v>
      </c>
      <c r="G891" s="4">
        <v>0.1</v>
      </c>
      <c r="H891" s="4">
        <v>7.5</v>
      </c>
      <c r="I891" s="4">
        <v>6.7</v>
      </c>
      <c r="J891" s="4">
        <v>11</v>
      </c>
    </row>
    <row r="892" spans="1:10" x14ac:dyDescent="0.35">
      <c r="A892" s="3" t="s">
        <v>1798</v>
      </c>
      <c r="B892" s="3" t="s">
        <v>1799</v>
      </c>
      <c r="C892" s="4" t="s">
        <v>60</v>
      </c>
      <c r="D892" s="4">
        <v>89.9</v>
      </c>
      <c r="E892" s="4">
        <v>97.5</v>
      </c>
      <c r="F892" s="4">
        <v>0.1</v>
      </c>
      <c r="G892" s="4">
        <v>0.1</v>
      </c>
      <c r="H892" s="4">
        <v>7.5</v>
      </c>
      <c r="I892" s="4">
        <v>8.4</v>
      </c>
      <c r="J892" s="4">
        <v>9.1999999999999993</v>
      </c>
    </row>
    <row r="893" spans="1:10" x14ac:dyDescent="0.35">
      <c r="A893" s="3" t="s">
        <v>1800</v>
      </c>
      <c r="B893" s="3" t="s">
        <v>1801</v>
      </c>
      <c r="C893" s="4" t="s">
        <v>65</v>
      </c>
      <c r="D893" s="4">
        <v>2.4</v>
      </c>
      <c r="E893" s="4">
        <v>2.4</v>
      </c>
      <c r="F893" s="4">
        <v>0</v>
      </c>
      <c r="G893" s="4">
        <v>0</v>
      </c>
      <c r="H893" s="4">
        <v>0</v>
      </c>
      <c r="I893" s="4">
        <v>1.1000000000000001</v>
      </c>
      <c r="J893" s="4">
        <v>0.2</v>
      </c>
    </row>
    <row r="894" spans="1:10" x14ac:dyDescent="0.35">
      <c r="A894" s="3" t="s">
        <v>1802</v>
      </c>
      <c r="B894" s="3" t="s">
        <v>1803</v>
      </c>
      <c r="C894" s="4" t="s">
        <v>65</v>
      </c>
      <c r="D894" s="4">
        <v>66.400000000000006</v>
      </c>
      <c r="E894" s="4">
        <v>75.099999999999994</v>
      </c>
      <c r="F894" s="4">
        <v>0</v>
      </c>
      <c r="G894" s="4">
        <v>0</v>
      </c>
      <c r="H894" s="4">
        <v>8.8000000000000007</v>
      </c>
      <c r="I894" s="4">
        <v>13.2</v>
      </c>
      <c r="J894" s="4">
        <v>7.3</v>
      </c>
    </row>
    <row r="895" spans="1:10" x14ac:dyDescent="0.35">
      <c r="A895" s="3" t="s">
        <v>1804</v>
      </c>
      <c r="B895" s="3" t="s">
        <v>1805</v>
      </c>
      <c r="C895" s="4" t="s">
        <v>65</v>
      </c>
      <c r="D895" s="4">
        <v>7</v>
      </c>
      <c r="E895" s="4">
        <v>6.3</v>
      </c>
      <c r="F895" s="4">
        <v>0</v>
      </c>
      <c r="G895" s="4">
        <v>0</v>
      </c>
      <c r="H895" s="4">
        <v>-0.7</v>
      </c>
      <c r="I895" s="4">
        <v>-9.4</v>
      </c>
      <c r="J895" s="4">
        <v>0.5</v>
      </c>
    </row>
    <row r="896" spans="1:10" x14ac:dyDescent="0.35">
      <c r="A896" s="3" t="s">
        <v>1806</v>
      </c>
      <c r="B896" s="3" t="s">
        <v>1807</v>
      </c>
      <c r="C896" s="4" t="s">
        <v>65</v>
      </c>
      <c r="D896" s="4">
        <v>2.1</v>
      </c>
      <c r="E896" s="4">
        <v>1.4</v>
      </c>
      <c r="F896" s="4">
        <v>0</v>
      </c>
      <c r="G896" s="4">
        <v>0</v>
      </c>
      <c r="H896" s="4">
        <v>-0.6</v>
      </c>
      <c r="I896" s="4">
        <v>-29.8</v>
      </c>
      <c r="J896" s="4">
        <v>0.1</v>
      </c>
    </row>
    <row r="897" spans="1:10" x14ac:dyDescent="0.35">
      <c r="A897" s="3" t="s">
        <v>1808</v>
      </c>
      <c r="B897" s="3" t="s">
        <v>1809</v>
      </c>
      <c r="C897" s="4" t="s">
        <v>65</v>
      </c>
      <c r="D897" s="4">
        <v>12.1</v>
      </c>
      <c r="E897" s="4">
        <v>12.1</v>
      </c>
      <c r="F897" s="4">
        <v>0</v>
      </c>
      <c r="G897" s="4">
        <v>0</v>
      </c>
      <c r="H897" s="4">
        <v>0</v>
      </c>
      <c r="I897" s="4">
        <v>0</v>
      </c>
      <c r="J897" s="4">
        <v>1.1000000000000001</v>
      </c>
    </row>
    <row r="898" spans="1:10" x14ac:dyDescent="0.35">
      <c r="A898" s="3" t="s">
        <v>1810</v>
      </c>
      <c r="B898" s="3" t="s">
        <v>1811</v>
      </c>
      <c r="C898" s="4" t="s">
        <v>65</v>
      </c>
      <c r="D898" s="4">
        <v>1607.2</v>
      </c>
      <c r="E898" s="4">
        <v>1664.4</v>
      </c>
      <c r="F898" s="4">
        <v>1</v>
      </c>
      <c r="G898" s="4">
        <v>1</v>
      </c>
      <c r="H898" s="4">
        <v>57.2</v>
      </c>
      <c r="I898" s="4">
        <v>3.6</v>
      </c>
      <c r="J898" s="4">
        <v>152.4</v>
      </c>
    </row>
    <row r="899" spans="1:10" x14ac:dyDescent="0.35">
      <c r="A899" s="3" t="s">
        <v>1812</v>
      </c>
      <c r="B899" s="3" t="s">
        <v>1813</v>
      </c>
      <c r="C899" s="4" t="s">
        <v>65</v>
      </c>
      <c r="D899" s="4">
        <v>11.2</v>
      </c>
      <c r="E899" s="4">
        <v>16.2</v>
      </c>
      <c r="F899" s="4">
        <v>0</v>
      </c>
      <c r="G899" s="4">
        <v>0</v>
      </c>
      <c r="H899" s="4">
        <v>5</v>
      </c>
      <c r="I899" s="4">
        <v>44.9</v>
      </c>
      <c r="J899" s="4">
        <v>1.8</v>
      </c>
    </row>
    <row r="900" spans="1:10" x14ac:dyDescent="0.35">
      <c r="A900" s="3" t="s">
        <v>1814</v>
      </c>
      <c r="B900" s="3" t="s">
        <v>1815</v>
      </c>
      <c r="C900" s="4" t="s">
        <v>60</v>
      </c>
      <c r="D900" s="4">
        <v>384.1</v>
      </c>
      <c r="E900" s="4">
        <v>386.5</v>
      </c>
      <c r="F900" s="4">
        <v>0.2</v>
      </c>
      <c r="G900" s="4">
        <v>0.2</v>
      </c>
      <c r="H900" s="4">
        <v>2.4</v>
      </c>
      <c r="I900" s="4">
        <v>0.6</v>
      </c>
      <c r="J900" s="4">
        <v>39.1</v>
      </c>
    </row>
    <row r="901" spans="1:10" x14ac:dyDescent="0.35">
      <c r="A901" s="3" t="s">
        <v>1816</v>
      </c>
      <c r="B901" s="3" t="s">
        <v>1817</v>
      </c>
      <c r="C901" s="4" t="s">
        <v>65</v>
      </c>
      <c r="D901" s="4">
        <v>39.200000000000003</v>
      </c>
      <c r="E901" s="4">
        <v>38.5</v>
      </c>
      <c r="F901" s="4">
        <v>0</v>
      </c>
      <c r="G901" s="4">
        <v>0</v>
      </c>
      <c r="H901" s="4">
        <v>-0.7</v>
      </c>
      <c r="I901" s="4">
        <v>-1.7</v>
      </c>
      <c r="J901" s="4">
        <v>4.2</v>
      </c>
    </row>
    <row r="902" spans="1:10" x14ac:dyDescent="0.35">
      <c r="A902" s="3" t="s">
        <v>1818</v>
      </c>
      <c r="B902" s="3" t="s">
        <v>1819</v>
      </c>
      <c r="C902" s="4" t="s">
        <v>65</v>
      </c>
      <c r="D902" s="4">
        <v>4.4000000000000004</v>
      </c>
      <c r="E902" s="4">
        <v>4.7</v>
      </c>
      <c r="F902" s="4">
        <v>0</v>
      </c>
      <c r="G902" s="4">
        <v>0</v>
      </c>
      <c r="H902" s="4">
        <v>0.3</v>
      </c>
      <c r="I902" s="4">
        <v>6</v>
      </c>
      <c r="J902" s="4">
        <v>0.5</v>
      </c>
    </row>
    <row r="903" spans="1:10" x14ac:dyDescent="0.35">
      <c r="A903" s="3" t="s">
        <v>1820</v>
      </c>
      <c r="B903" s="3" t="s">
        <v>1821</v>
      </c>
      <c r="C903" s="4" t="s">
        <v>65</v>
      </c>
      <c r="D903" s="4">
        <v>18.2</v>
      </c>
      <c r="E903" s="4">
        <v>16.100000000000001</v>
      </c>
      <c r="F903" s="4">
        <v>0</v>
      </c>
      <c r="G903" s="4">
        <v>0</v>
      </c>
      <c r="H903" s="4">
        <v>-2</v>
      </c>
      <c r="I903" s="4">
        <v>-11.1</v>
      </c>
      <c r="J903" s="4">
        <v>1.7</v>
      </c>
    </row>
    <row r="904" spans="1:10" x14ac:dyDescent="0.35">
      <c r="A904" s="3" t="s">
        <v>1822</v>
      </c>
      <c r="B904" s="3" t="s">
        <v>1823</v>
      </c>
      <c r="C904" s="4" t="s">
        <v>65</v>
      </c>
      <c r="D904" s="4">
        <v>4.0999999999999996</v>
      </c>
      <c r="E904" s="4">
        <v>3.2</v>
      </c>
      <c r="F904" s="4">
        <v>0</v>
      </c>
      <c r="G904" s="4">
        <v>0</v>
      </c>
      <c r="H904" s="4">
        <v>-0.9</v>
      </c>
      <c r="I904" s="4">
        <v>-21</v>
      </c>
      <c r="J904" s="4">
        <v>0.3</v>
      </c>
    </row>
    <row r="905" spans="1:10" x14ac:dyDescent="0.35">
      <c r="A905" s="3" t="s">
        <v>1824</v>
      </c>
      <c r="B905" s="3" t="s">
        <v>1825</v>
      </c>
      <c r="C905" s="4" t="s">
        <v>65</v>
      </c>
      <c r="D905" s="4">
        <v>19.7</v>
      </c>
      <c r="E905" s="4">
        <v>20</v>
      </c>
      <c r="F905" s="4">
        <v>0</v>
      </c>
      <c r="G905" s="4">
        <v>0</v>
      </c>
      <c r="H905" s="4">
        <v>0.3</v>
      </c>
      <c r="I905" s="4">
        <v>1.4</v>
      </c>
      <c r="J905" s="4">
        <v>2</v>
      </c>
    </row>
    <row r="906" spans="1:10" x14ac:dyDescent="0.35">
      <c r="A906" s="3" t="s">
        <v>1826</v>
      </c>
      <c r="B906" s="3" t="s">
        <v>1827</v>
      </c>
      <c r="C906" s="4" t="s">
        <v>65</v>
      </c>
      <c r="D906" s="4">
        <v>6.6</v>
      </c>
      <c r="E906" s="4">
        <v>6.7</v>
      </c>
      <c r="F906" s="4">
        <v>0</v>
      </c>
      <c r="G906" s="4">
        <v>0</v>
      </c>
      <c r="H906" s="4">
        <v>0.1</v>
      </c>
      <c r="I906" s="4">
        <v>1.2</v>
      </c>
      <c r="J906" s="4">
        <v>0.6</v>
      </c>
    </row>
    <row r="907" spans="1:10" x14ac:dyDescent="0.35">
      <c r="A907" s="3" t="s">
        <v>1828</v>
      </c>
      <c r="B907" s="3" t="s">
        <v>1829</v>
      </c>
      <c r="C907" s="4" t="s">
        <v>65</v>
      </c>
      <c r="D907" s="4">
        <v>96.5</v>
      </c>
      <c r="E907" s="4">
        <v>98.9</v>
      </c>
      <c r="F907" s="4">
        <v>0.1</v>
      </c>
      <c r="G907" s="4">
        <v>0.1</v>
      </c>
      <c r="H907" s="4">
        <v>2.4</v>
      </c>
      <c r="I907" s="4">
        <v>2.5</v>
      </c>
      <c r="J907" s="4">
        <v>11</v>
      </c>
    </row>
    <row r="908" spans="1:10" x14ac:dyDescent="0.35">
      <c r="A908" s="3" t="s">
        <v>1830</v>
      </c>
      <c r="B908" s="3" t="s">
        <v>1831</v>
      </c>
      <c r="C908" s="4" t="s">
        <v>65</v>
      </c>
      <c r="D908" s="4">
        <v>195.4</v>
      </c>
      <c r="E908" s="4">
        <v>198.3</v>
      </c>
      <c r="F908" s="4">
        <v>0.1</v>
      </c>
      <c r="G908" s="4">
        <v>0.1</v>
      </c>
      <c r="H908" s="4">
        <v>2.9</v>
      </c>
      <c r="I908" s="4">
        <v>1.5</v>
      </c>
      <c r="J908" s="4">
        <v>18.8</v>
      </c>
    </row>
    <row r="909" spans="1:10" x14ac:dyDescent="0.35">
      <c r="A909" s="3" t="s">
        <v>48</v>
      </c>
      <c r="B909" s="3" t="s">
        <v>49</v>
      </c>
      <c r="C909" s="4" t="s">
        <v>60</v>
      </c>
      <c r="D909" s="4">
        <v>9134.5</v>
      </c>
      <c r="E909" s="4">
        <v>8845.7999999999993</v>
      </c>
      <c r="F909" s="4">
        <v>5.6</v>
      </c>
      <c r="G909" s="4">
        <v>5.2</v>
      </c>
      <c r="H909" s="4">
        <v>-288.7</v>
      </c>
      <c r="I909" s="4">
        <v>-3.2</v>
      </c>
      <c r="J909" s="4">
        <v>933</v>
      </c>
    </row>
    <row r="910" spans="1:10" x14ac:dyDescent="0.35">
      <c r="A910" s="3" t="s">
        <v>1832</v>
      </c>
      <c r="B910" s="3" t="s">
        <v>1833</v>
      </c>
      <c r="C910" s="4" t="s">
        <v>60</v>
      </c>
      <c r="D910" s="4">
        <v>681.7</v>
      </c>
      <c r="E910" s="4">
        <v>683.7</v>
      </c>
      <c r="F910" s="4">
        <v>0.4</v>
      </c>
      <c r="G910" s="4">
        <v>0.4</v>
      </c>
      <c r="H910" s="4">
        <v>1.9</v>
      </c>
      <c r="I910" s="4">
        <v>0.3</v>
      </c>
      <c r="J910" s="4">
        <v>63.3</v>
      </c>
    </row>
    <row r="911" spans="1:10" x14ac:dyDescent="0.35">
      <c r="A911" s="3" t="s">
        <v>1834</v>
      </c>
      <c r="B911" s="3" t="s">
        <v>1835</v>
      </c>
      <c r="C911" s="4" t="s">
        <v>65</v>
      </c>
      <c r="D911" s="4">
        <v>681.7</v>
      </c>
      <c r="E911" s="4">
        <v>683.7</v>
      </c>
      <c r="F911" s="4">
        <v>0.4</v>
      </c>
      <c r="G911" s="4">
        <v>0.4</v>
      </c>
      <c r="H911" s="4">
        <v>1.9</v>
      </c>
      <c r="I911" s="4">
        <v>0.3</v>
      </c>
      <c r="J911" s="4">
        <v>63.3</v>
      </c>
    </row>
    <row r="912" spans="1:10" x14ac:dyDescent="0.35">
      <c r="A912" s="3" t="s">
        <v>1836</v>
      </c>
      <c r="B912" s="3" t="s">
        <v>1837</v>
      </c>
      <c r="C912" s="4" t="s">
        <v>60</v>
      </c>
      <c r="D912" s="4">
        <v>1961.9</v>
      </c>
      <c r="E912" s="4">
        <v>1836.2</v>
      </c>
      <c r="F912" s="4">
        <v>1.2</v>
      </c>
      <c r="G912" s="4">
        <v>1.1000000000000001</v>
      </c>
      <c r="H912" s="4">
        <v>-125.7</v>
      </c>
      <c r="I912" s="4">
        <v>-6.4</v>
      </c>
      <c r="J912" s="4">
        <v>188.6</v>
      </c>
    </row>
    <row r="913" spans="1:10" x14ac:dyDescent="0.35">
      <c r="A913" s="3" t="s">
        <v>1838</v>
      </c>
      <c r="B913" s="3" t="s">
        <v>1839</v>
      </c>
      <c r="C913" s="4" t="s">
        <v>65</v>
      </c>
      <c r="D913" s="4">
        <v>33.9</v>
      </c>
      <c r="E913" s="4">
        <v>28.8</v>
      </c>
      <c r="F913" s="4">
        <v>0</v>
      </c>
      <c r="G913" s="4">
        <v>0</v>
      </c>
      <c r="H913" s="4">
        <v>-5.0999999999999996</v>
      </c>
      <c r="I913" s="4">
        <v>-15.2</v>
      </c>
      <c r="J913" s="4">
        <v>2.8</v>
      </c>
    </row>
    <row r="914" spans="1:10" x14ac:dyDescent="0.35">
      <c r="A914" s="3" t="s">
        <v>1840</v>
      </c>
      <c r="B914" s="3" t="s">
        <v>1841</v>
      </c>
      <c r="C914" s="4" t="s">
        <v>60</v>
      </c>
      <c r="D914" s="4">
        <v>294</v>
      </c>
      <c r="E914" s="4">
        <v>304.89999999999998</v>
      </c>
      <c r="F914" s="4">
        <v>0.2</v>
      </c>
      <c r="G914" s="4">
        <v>0.2</v>
      </c>
      <c r="H914" s="4">
        <v>10.9</v>
      </c>
      <c r="I914" s="4">
        <v>3.7</v>
      </c>
      <c r="J914" s="4">
        <v>32.700000000000003</v>
      </c>
    </row>
    <row r="915" spans="1:10" x14ac:dyDescent="0.35">
      <c r="A915" s="3" t="s">
        <v>1842</v>
      </c>
      <c r="B915" s="3" t="s">
        <v>1843</v>
      </c>
      <c r="C915" s="4" t="s">
        <v>65</v>
      </c>
      <c r="D915" s="4">
        <v>11.1</v>
      </c>
      <c r="E915" s="4">
        <v>9.3000000000000007</v>
      </c>
      <c r="F915" s="4">
        <v>0</v>
      </c>
      <c r="G915" s="4">
        <v>0</v>
      </c>
      <c r="H915" s="4">
        <v>-1.8</v>
      </c>
      <c r="I915" s="4">
        <v>-16.600000000000001</v>
      </c>
      <c r="J915" s="4">
        <v>0.9</v>
      </c>
    </row>
    <row r="916" spans="1:10" x14ac:dyDescent="0.35">
      <c r="A916" s="3" t="s">
        <v>1844</v>
      </c>
      <c r="B916" s="3" t="s">
        <v>1845</v>
      </c>
      <c r="C916" s="4" t="s">
        <v>65</v>
      </c>
      <c r="D916" s="4">
        <v>282.89999999999998</v>
      </c>
      <c r="E916" s="4">
        <v>295.60000000000002</v>
      </c>
      <c r="F916" s="4">
        <v>0.2</v>
      </c>
      <c r="G916" s="4">
        <v>0.2</v>
      </c>
      <c r="H916" s="4">
        <v>12.7</v>
      </c>
      <c r="I916" s="4">
        <v>4.5</v>
      </c>
      <c r="J916" s="4">
        <v>31.8</v>
      </c>
    </row>
    <row r="917" spans="1:10" x14ac:dyDescent="0.35">
      <c r="A917" s="3" t="s">
        <v>1846</v>
      </c>
      <c r="B917" s="3" t="s">
        <v>1847</v>
      </c>
      <c r="C917" s="4" t="s">
        <v>65</v>
      </c>
      <c r="D917" s="4">
        <v>50.9</v>
      </c>
      <c r="E917" s="4">
        <v>41.3</v>
      </c>
      <c r="F917" s="4">
        <v>0</v>
      </c>
      <c r="G917" s="4">
        <v>0</v>
      </c>
      <c r="H917" s="4">
        <v>-9.6</v>
      </c>
      <c r="I917" s="4">
        <v>-18.899999999999999</v>
      </c>
      <c r="J917" s="4">
        <v>4.7</v>
      </c>
    </row>
    <row r="918" spans="1:10" x14ac:dyDescent="0.35">
      <c r="A918" s="3" t="s">
        <v>1848</v>
      </c>
      <c r="B918" s="3" t="s">
        <v>1849</v>
      </c>
      <c r="C918" s="4" t="s">
        <v>65</v>
      </c>
      <c r="D918" s="4">
        <v>59.6</v>
      </c>
      <c r="E918" s="4">
        <v>49.8</v>
      </c>
      <c r="F918" s="4">
        <v>0</v>
      </c>
      <c r="G918" s="4">
        <v>0</v>
      </c>
      <c r="H918" s="4">
        <v>-9.8000000000000007</v>
      </c>
      <c r="I918" s="4">
        <v>-16.399999999999999</v>
      </c>
      <c r="J918" s="4">
        <v>4.5999999999999996</v>
      </c>
    </row>
    <row r="919" spans="1:10" x14ac:dyDescent="0.35">
      <c r="A919" s="3" t="s">
        <v>1850</v>
      </c>
      <c r="B919" s="3" t="s">
        <v>1851</v>
      </c>
      <c r="C919" s="4" t="s">
        <v>65</v>
      </c>
      <c r="D919" s="4">
        <v>22.6</v>
      </c>
      <c r="E919" s="4">
        <v>22.5</v>
      </c>
      <c r="F919" s="4">
        <v>0</v>
      </c>
      <c r="G919" s="4">
        <v>0</v>
      </c>
      <c r="H919" s="4">
        <v>-0.1</v>
      </c>
      <c r="I919" s="4">
        <v>-0.3</v>
      </c>
      <c r="J919" s="4">
        <v>2.4</v>
      </c>
    </row>
    <row r="920" spans="1:10" x14ac:dyDescent="0.35">
      <c r="A920" s="3" t="s">
        <v>1852</v>
      </c>
      <c r="B920" s="3" t="s">
        <v>1853</v>
      </c>
      <c r="C920" s="4" t="s">
        <v>65</v>
      </c>
      <c r="D920" s="4">
        <v>0.4</v>
      </c>
      <c r="E920" s="4">
        <v>0.3</v>
      </c>
      <c r="F920" s="4">
        <v>0</v>
      </c>
      <c r="G920" s="4">
        <v>0</v>
      </c>
      <c r="H920" s="4">
        <v>-0.1</v>
      </c>
      <c r="I920" s="4">
        <v>-18.7</v>
      </c>
      <c r="J920" s="4">
        <v>0</v>
      </c>
    </row>
    <row r="921" spans="1:10" x14ac:dyDescent="0.35">
      <c r="A921" s="3" t="s">
        <v>1854</v>
      </c>
      <c r="B921" s="3" t="s">
        <v>1855</v>
      </c>
      <c r="C921" s="4" t="s">
        <v>65</v>
      </c>
      <c r="D921" s="4">
        <v>1500.4</v>
      </c>
      <c r="E921" s="4">
        <v>1388.6</v>
      </c>
      <c r="F921" s="4">
        <v>0.9</v>
      </c>
      <c r="G921" s="4">
        <v>0.8</v>
      </c>
      <c r="H921" s="4">
        <v>-111.8</v>
      </c>
      <c r="I921" s="4">
        <v>-7.5</v>
      </c>
      <c r="J921" s="4">
        <v>141.4</v>
      </c>
    </row>
    <row r="922" spans="1:10" x14ac:dyDescent="0.35">
      <c r="A922" s="3" t="s">
        <v>1856</v>
      </c>
      <c r="B922" s="3" t="s">
        <v>1857</v>
      </c>
      <c r="C922" s="4" t="s">
        <v>60</v>
      </c>
      <c r="D922" s="4">
        <v>841.7</v>
      </c>
      <c r="E922" s="4">
        <v>869.3</v>
      </c>
      <c r="F922" s="4">
        <v>0.5</v>
      </c>
      <c r="G922" s="4">
        <v>0.5</v>
      </c>
      <c r="H922" s="4">
        <v>27.6</v>
      </c>
      <c r="I922" s="4">
        <v>3.3</v>
      </c>
      <c r="J922" s="4">
        <v>115.4</v>
      </c>
    </row>
    <row r="923" spans="1:10" x14ac:dyDescent="0.35">
      <c r="A923" s="3" t="s">
        <v>1858</v>
      </c>
      <c r="B923" s="3" t="s">
        <v>1859</v>
      </c>
      <c r="C923" s="4" t="s">
        <v>65</v>
      </c>
      <c r="D923" s="4">
        <v>218.8</v>
      </c>
      <c r="E923" s="4">
        <v>229.6</v>
      </c>
      <c r="F923" s="4">
        <v>0.1</v>
      </c>
      <c r="G923" s="4">
        <v>0.1</v>
      </c>
      <c r="H923" s="4">
        <v>10.8</v>
      </c>
      <c r="I923" s="4">
        <v>4.9000000000000004</v>
      </c>
      <c r="J923" s="4">
        <v>33.799999999999997</v>
      </c>
    </row>
    <row r="924" spans="1:10" x14ac:dyDescent="0.35">
      <c r="A924" s="3" t="s">
        <v>1860</v>
      </c>
      <c r="B924" s="3" t="s">
        <v>1861</v>
      </c>
      <c r="C924" s="4" t="s">
        <v>60</v>
      </c>
      <c r="D924" s="4">
        <v>353.8</v>
      </c>
      <c r="E924" s="4">
        <v>354.1</v>
      </c>
      <c r="F924" s="4">
        <v>0.2</v>
      </c>
      <c r="G924" s="4">
        <v>0.2</v>
      </c>
      <c r="H924" s="4">
        <v>0.4</v>
      </c>
      <c r="I924" s="4">
        <v>0.1</v>
      </c>
      <c r="J924" s="4">
        <v>41.7</v>
      </c>
    </row>
    <row r="925" spans="1:10" x14ac:dyDescent="0.35">
      <c r="A925" s="3" t="s">
        <v>1862</v>
      </c>
      <c r="B925" s="3" t="s">
        <v>1863</v>
      </c>
      <c r="C925" s="4" t="s">
        <v>65</v>
      </c>
      <c r="D925" s="4">
        <v>131.6</v>
      </c>
      <c r="E925" s="4">
        <v>130.1</v>
      </c>
      <c r="F925" s="4">
        <v>0.1</v>
      </c>
      <c r="G925" s="4">
        <v>0.1</v>
      </c>
      <c r="H925" s="4">
        <v>-1.6</v>
      </c>
      <c r="I925" s="4">
        <v>-1.2</v>
      </c>
      <c r="J925" s="4">
        <v>15.3</v>
      </c>
    </row>
    <row r="926" spans="1:10" x14ac:dyDescent="0.35">
      <c r="A926" s="3" t="s">
        <v>1864</v>
      </c>
      <c r="B926" s="3" t="s">
        <v>1865</v>
      </c>
      <c r="C926" s="4" t="s">
        <v>65</v>
      </c>
      <c r="D926" s="4">
        <v>141</v>
      </c>
      <c r="E926" s="4">
        <v>143.80000000000001</v>
      </c>
      <c r="F926" s="4">
        <v>0.1</v>
      </c>
      <c r="G926" s="4">
        <v>0.1</v>
      </c>
      <c r="H926" s="4">
        <v>2.8</v>
      </c>
      <c r="I926" s="4">
        <v>2</v>
      </c>
      <c r="J926" s="4">
        <v>17</v>
      </c>
    </row>
    <row r="927" spans="1:10" x14ac:dyDescent="0.35">
      <c r="A927" s="3" t="s">
        <v>1866</v>
      </c>
      <c r="B927" s="3" t="s">
        <v>1867</v>
      </c>
      <c r="C927" s="4" t="s">
        <v>65</v>
      </c>
      <c r="D927" s="4">
        <v>81.099999999999994</v>
      </c>
      <c r="E927" s="4">
        <v>80.3</v>
      </c>
      <c r="F927" s="4">
        <v>0</v>
      </c>
      <c r="G927" s="4">
        <v>0</v>
      </c>
      <c r="H927" s="4">
        <v>-0.8</v>
      </c>
      <c r="I927" s="4">
        <v>-1</v>
      </c>
      <c r="J927" s="4">
        <v>9.4</v>
      </c>
    </row>
    <row r="928" spans="1:10" x14ac:dyDescent="0.35">
      <c r="A928" s="3" t="s">
        <v>1868</v>
      </c>
      <c r="B928" s="3" t="s">
        <v>1869</v>
      </c>
      <c r="C928" s="4" t="s">
        <v>60</v>
      </c>
      <c r="D928" s="4">
        <v>269.2</v>
      </c>
      <c r="E928" s="4">
        <v>285.60000000000002</v>
      </c>
      <c r="F928" s="4">
        <v>0.2</v>
      </c>
      <c r="G928" s="4">
        <v>0.2</v>
      </c>
      <c r="H928" s="4">
        <v>16.399999999999999</v>
      </c>
      <c r="I928" s="4">
        <v>6.1</v>
      </c>
      <c r="J928" s="4">
        <v>39.9</v>
      </c>
    </row>
    <row r="929" spans="1:10" x14ac:dyDescent="0.35">
      <c r="A929" s="3" t="s">
        <v>1870</v>
      </c>
      <c r="B929" s="3" t="s">
        <v>1871</v>
      </c>
      <c r="C929" s="4" t="s">
        <v>65</v>
      </c>
      <c r="D929" s="4">
        <v>21.5</v>
      </c>
      <c r="E929" s="4">
        <v>22.2</v>
      </c>
      <c r="F929" s="4">
        <v>0</v>
      </c>
      <c r="G929" s="4">
        <v>0</v>
      </c>
      <c r="H929" s="4">
        <v>0.7</v>
      </c>
      <c r="I929" s="4">
        <v>3</v>
      </c>
      <c r="J929" s="4">
        <v>3</v>
      </c>
    </row>
    <row r="930" spans="1:10" x14ac:dyDescent="0.35">
      <c r="A930" s="3" t="s">
        <v>1872</v>
      </c>
      <c r="B930" s="3" t="s">
        <v>1873</v>
      </c>
      <c r="C930" s="4" t="s">
        <v>65</v>
      </c>
      <c r="D930" s="4">
        <v>171.5</v>
      </c>
      <c r="E930" s="4">
        <v>185</v>
      </c>
      <c r="F930" s="4">
        <v>0.1</v>
      </c>
      <c r="G930" s="4">
        <v>0.1</v>
      </c>
      <c r="H930" s="4">
        <v>13.4</v>
      </c>
      <c r="I930" s="4">
        <v>7.8</v>
      </c>
      <c r="J930" s="4">
        <v>27.8</v>
      </c>
    </row>
    <row r="931" spans="1:10" x14ac:dyDescent="0.35">
      <c r="A931" s="3" t="s">
        <v>1874</v>
      </c>
      <c r="B931" s="3" t="s">
        <v>1875</v>
      </c>
      <c r="C931" s="4" t="s">
        <v>65</v>
      </c>
      <c r="D931" s="4">
        <v>27.3</v>
      </c>
      <c r="E931" s="4">
        <v>27.7</v>
      </c>
      <c r="F931" s="4">
        <v>0</v>
      </c>
      <c r="G931" s="4">
        <v>0</v>
      </c>
      <c r="H931" s="4">
        <v>0.4</v>
      </c>
      <c r="I931" s="4">
        <v>1.6</v>
      </c>
      <c r="J931" s="4">
        <v>3.9</v>
      </c>
    </row>
    <row r="932" spans="1:10" x14ac:dyDescent="0.35">
      <c r="A932" s="3" t="s">
        <v>1876</v>
      </c>
      <c r="B932" s="3" t="s">
        <v>1877</v>
      </c>
      <c r="C932" s="4" t="s">
        <v>65</v>
      </c>
      <c r="D932" s="4">
        <v>48.8</v>
      </c>
      <c r="E932" s="4">
        <v>50.7</v>
      </c>
      <c r="F932" s="4">
        <v>0</v>
      </c>
      <c r="G932" s="4">
        <v>0</v>
      </c>
      <c r="H932" s="4">
        <v>1.9</v>
      </c>
      <c r="I932" s="4">
        <v>3.9</v>
      </c>
      <c r="J932" s="4">
        <v>5.2</v>
      </c>
    </row>
    <row r="933" spans="1:10" x14ac:dyDescent="0.35">
      <c r="A933" s="3" t="s">
        <v>1878</v>
      </c>
      <c r="B933" s="3" t="s">
        <v>1879</v>
      </c>
      <c r="C933" s="4" t="s">
        <v>60</v>
      </c>
      <c r="D933" s="4">
        <v>1693.4</v>
      </c>
      <c r="E933" s="4">
        <v>1640.7</v>
      </c>
      <c r="F933" s="4">
        <v>1</v>
      </c>
      <c r="G933" s="4">
        <v>1</v>
      </c>
      <c r="H933" s="4">
        <v>-52.7</v>
      </c>
      <c r="I933" s="4">
        <v>-3.1</v>
      </c>
      <c r="J933" s="4">
        <v>156.9</v>
      </c>
    </row>
    <row r="934" spans="1:10" x14ac:dyDescent="0.35">
      <c r="A934" s="3" t="s">
        <v>1880</v>
      </c>
      <c r="B934" s="3" t="s">
        <v>1881</v>
      </c>
      <c r="C934" s="4" t="s">
        <v>60</v>
      </c>
      <c r="D934" s="4">
        <v>103.4</v>
      </c>
      <c r="E934" s="4">
        <v>97.5</v>
      </c>
      <c r="F934" s="4">
        <v>0.1</v>
      </c>
      <c r="G934" s="4">
        <v>0.1</v>
      </c>
      <c r="H934" s="4">
        <v>-5.9</v>
      </c>
      <c r="I934" s="4">
        <v>-5.7</v>
      </c>
      <c r="J934" s="4">
        <v>9.6</v>
      </c>
    </row>
    <row r="935" spans="1:10" x14ac:dyDescent="0.35">
      <c r="A935" s="3" t="s">
        <v>1882</v>
      </c>
      <c r="B935" s="3" t="s">
        <v>1883</v>
      </c>
      <c r="C935" s="4" t="s">
        <v>65</v>
      </c>
      <c r="D935" s="4">
        <v>64.3</v>
      </c>
      <c r="E935" s="4">
        <v>63.1</v>
      </c>
      <c r="F935" s="4">
        <v>0</v>
      </c>
      <c r="G935" s="4">
        <v>0</v>
      </c>
      <c r="H935" s="4">
        <v>-1.2</v>
      </c>
      <c r="I935" s="4">
        <v>-1.9</v>
      </c>
      <c r="J935" s="4">
        <v>6.4</v>
      </c>
    </row>
    <row r="936" spans="1:10" x14ac:dyDescent="0.35">
      <c r="A936" s="3" t="s">
        <v>1884</v>
      </c>
      <c r="B936" s="3" t="s">
        <v>1885</v>
      </c>
      <c r="C936" s="4" t="s">
        <v>65</v>
      </c>
      <c r="D936" s="4">
        <v>10.9</v>
      </c>
      <c r="E936" s="4">
        <v>9.3000000000000007</v>
      </c>
      <c r="F936" s="4">
        <v>0</v>
      </c>
      <c r="G936" s="4">
        <v>0</v>
      </c>
      <c r="H936" s="4">
        <v>-1.6</v>
      </c>
      <c r="I936" s="4">
        <v>-14.6</v>
      </c>
      <c r="J936" s="4">
        <v>0.9</v>
      </c>
    </row>
    <row r="937" spans="1:10" x14ac:dyDescent="0.35">
      <c r="A937" s="3" t="s">
        <v>1886</v>
      </c>
      <c r="B937" s="3" t="s">
        <v>1887</v>
      </c>
      <c r="C937" s="4" t="s">
        <v>65</v>
      </c>
      <c r="D937" s="4">
        <v>28.2</v>
      </c>
      <c r="E937" s="4">
        <v>25.1</v>
      </c>
      <c r="F937" s="4">
        <v>0</v>
      </c>
      <c r="G937" s="4">
        <v>0</v>
      </c>
      <c r="H937" s="4">
        <v>-3.1</v>
      </c>
      <c r="I937" s="4">
        <v>-11</v>
      </c>
      <c r="J937" s="4">
        <v>2.4</v>
      </c>
    </row>
    <row r="938" spans="1:10" x14ac:dyDescent="0.35">
      <c r="A938" s="3" t="s">
        <v>1888</v>
      </c>
      <c r="B938" s="3" t="s">
        <v>1889</v>
      </c>
      <c r="C938" s="4" t="s">
        <v>60</v>
      </c>
      <c r="D938" s="4">
        <v>301.8</v>
      </c>
      <c r="E938" s="4">
        <v>269.3</v>
      </c>
      <c r="F938" s="4">
        <v>0.2</v>
      </c>
      <c r="G938" s="4">
        <v>0.2</v>
      </c>
      <c r="H938" s="4">
        <v>-32.5</v>
      </c>
      <c r="I938" s="4">
        <v>-10.8</v>
      </c>
      <c r="J938" s="4">
        <v>26.1</v>
      </c>
    </row>
    <row r="939" spans="1:10" x14ac:dyDescent="0.35">
      <c r="A939" s="3" t="s">
        <v>1890</v>
      </c>
      <c r="B939" s="3" t="s">
        <v>1891</v>
      </c>
      <c r="C939" s="4" t="s">
        <v>65</v>
      </c>
      <c r="D939" s="4">
        <v>184.8</v>
      </c>
      <c r="E939" s="4">
        <v>164.7</v>
      </c>
      <c r="F939" s="4">
        <v>0.1</v>
      </c>
      <c r="G939" s="4">
        <v>0.1</v>
      </c>
      <c r="H939" s="4">
        <v>-20.100000000000001</v>
      </c>
      <c r="I939" s="4">
        <v>-10.9</v>
      </c>
      <c r="J939" s="4">
        <v>14.9</v>
      </c>
    </row>
    <row r="940" spans="1:10" x14ac:dyDescent="0.35">
      <c r="A940" s="3" t="s">
        <v>1892</v>
      </c>
      <c r="B940" s="3" t="s">
        <v>1893</v>
      </c>
      <c r="C940" s="4" t="s">
        <v>65</v>
      </c>
      <c r="D940" s="4">
        <v>6.6</v>
      </c>
      <c r="E940" s="4">
        <v>5.4</v>
      </c>
      <c r="F940" s="4">
        <v>0</v>
      </c>
      <c r="G940" s="4">
        <v>0</v>
      </c>
      <c r="H940" s="4">
        <v>-1.2</v>
      </c>
      <c r="I940" s="4">
        <v>-18.3</v>
      </c>
      <c r="J940" s="4">
        <v>0.6</v>
      </c>
    </row>
    <row r="941" spans="1:10" x14ac:dyDescent="0.35">
      <c r="A941" s="3" t="s">
        <v>1894</v>
      </c>
      <c r="B941" s="3" t="s">
        <v>1895</v>
      </c>
      <c r="C941" s="4" t="s">
        <v>65</v>
      </c>
      <c r="D941" s="4">
        <v>75</v>
      </c>
      <c r="E941" s="4">
        <v>67.900000000000006</v>
      </c>
      <c r="F941" s="4">
        <v>0</v>
      </c>
      <c r="G941" s="4">
        <v>0</v>
      </c>
      <c r="H941" s="4">
        <v>-7.1</v>
      </c>
      <c r="I941" s="4">
        <v>-9.5</v>
      </c>
      <c r="J941" s="4">
        <v>6.8</v>
      </c>
    </row>
    <row r="942" spans="1:10" x14ac:dyDescent="0.35">
      <c r="A942" s="3" t="s">
        <v>1896</v>
      </c>
      <c r="B942" s="3" t="s">
        <v>1897</v>
      </c>
      <c r="C942" s="4" t="s">
        <v>65</v>
      </c>
      <c r="D942" s="4">
        <v>19.7</v>
      </c>
      <c r="E942" s="4">
        <v>17.8</v>
      </c>
      <c r="F942" s="4">
        <v>0</v>
      </c>
      <c r="G942" s="4">
        <v>0</v>
      </c>
      <c r="H942" s="4">
        <v>-1.9</v>
      </c>
      <c r="I942" s="4">
        <v>-9.4</v>
      </c>
      <c r="J942" s="4">
        <v>2.2000000000000002</v>
      </c>
    </row>
    <row r="943" spans="1:10" x14ac:dyDescent="0.35">
      <c r="A943" s="3" t="s">
        <v>1898</v>
      </c>
      <c r="B943" s="3" t="s">
        <v>1899</v>
      </c>
      <c r="C943" s="4" t="s">
        <v>65</v>
      </c>
      <c r="D943" s="4">
        <v>15.7</v>
      </c>
      <c r="E943" s="4">
        <v>13.5</v>
      </c>
      <c r="F943" s="4">
        <v>0</v>
      </c>
      <c r="G943" s="4">
        <v>0</v>
      </c>
      <c r="H943" s="4">
        <v>-2.2000000000000002</v>
      </c>
      <c r="I943" s="4">
        <v>-13.9</v>
      </c>
      <c r="J943" s="4">
        <v>1.6</v>
      </c>
    </row>
    <row r="944" spans="1:10" x14ac:dyDescent="0.35">
      <c r="A944" s="3" t="s">
        <v>1900</v>
      </c>
      <c r="B944" s="3" t="s">
        <v>1901</v>
      </c>
      <c r="C944" s="4" t="s">
        <v>65</v>
      </c>
      <c r="D944" s="4">
        <v>327</v>
      </c>
      <c r="E944" s="4">
        <v>333.3</v>
      </c>
      <c r="F944" s="4">
        <v>0.2</v>
      </c>
      <c r="G944" s="4">
        <v>0.2</v>
      </c>
      <c r="H944" s="4">
        <v>6.3</v>
      </c>
      <c r="I944" s="4">
        <v>1.9</v>
      </c>
      <c r="J944" s="4">
        <v>32.6</v>
      </c>
    </row>
    <row r="945" spans="1:10" x14ac:dyDescent="0.35">
      <c r="A945" s="3" t="s">
        <v>1902</v>
      </c>
      <c r="B945" s="3" t="s">
        <v>1903</v>
      </c>
      <c r="C945" s="4" t="s">
        <v>60</v>
      </c>
      <c r="D945" s="4">
        <v>25.9</v>
      </c>
      <c r="E945" s="4">
        <v>23.7</v>
      </c>
      <c r="F945" s="4">
        <v>0</v>
      </c>
      <c r="G945" s="4">
        <v>0</v>
      </c>
      <c r="H945" s="4">
        <v>-2.2000000000000002</v>
      </c>
      <c r="I945" s="4">
        <v>-8.4</v>
      </c>
      <c r="J945" s="4">
        <v>2.2000000000000002</v>
      </c>
    </row>
    <row r="946" spans="1:10" x14ac:dyDescent="0.35">
      <c r="A946" s="3" t="s">
        <v>1904</v>
      </c>
      <c r="B946" s="3" t="s">
        <v>1905</v>
      </c>
      <c r="C946" s="4" t="s">
        <v>65</v>
      </c>
      <c r="D946" s="4">
        <v>19.7</v>
      </c>
      <c r="E946" s="4">
        <v>18.100000000000001</v>
      </c>
      <c r="F946" s="4">
        <v>0</v>
      </c>
      <c r="G946" s="4">
        <v>0</v>
      </c>
      <c r="H946" s="4">
        <v>-1.6</v>
      </c>
      <c r="I946" s="4">
        <v>-8.1999999999999993</v>
      </c>
      <c r="J946" s="4">
        <v>1.7</v>
      </c>
    </row>
    <row r="947" spans="1:10" x14ac:dyDescent="0.35">
      <c r="A947" s="3" t="s">
        <v>1906</v>
      </c>
      <c r="B947" s="3" t="s">
        <v>1907</v>
      </c>
      <c r="C947" s="4" t="s">
        <v>65</v>
      </c>
      <c r="D947" s="4">
        <v>6.2</v>
      </c>
      <c r="E947" s="4">
        <v>5.6</v>
      </c>
      <c r="F947" s="4">
        <v>0</v>
      </c>
      <c r="G947" s="4">
        <v>0</v>
      </c>
      <c r="H947" s="4">
        <v>-0.6</v>
      </c>
      <c r="I947" s="4">
        <v>-9.1</v>
      </c>
      <c r="J947" s="4">
        <v>0.5</v>
      </c>
    </row>
    <row r="948" spans="1:10" x14ac:dyDescent="0.35">
      <c r="A948" s="3" t="s">
        <v>1908</v>
      </c>
      <c r="B948" s="3" t="s">
        <v>1909</v>
      </c>
      <c r="C948" s="4" t="s">
        <v>60</v>
      </c>
      <c r="D948" s="4">
        <v>5.7</v>
      </c>
      <c r="E948" s="4">
        <v>4.5</v>
      </c>
      <c r="F948" s="4">
        <v>0</v>
      </c>
      <c r="G948" s="4">
        <v>0</v>
      </c>
      <c r="H948" s="4">
        <v>-1.1000000000000001</v>
      </c>
      <c r="I948" s="4">
        <v>-19.899999999999999</v>
      </c>
      <c r="J948" s="4">
        <v>0.3</v>
      </c>
    </row>
    <row r="949" spans="1:10" x14ac:dyDescent="0.35">
      <c r="A949" s="3" t="s">
        <v>1910</v>
      </c>
      <c r="B949" s="3" t="s">
        <v>1911</v>
      </c>
      <c r="C949" s="4" t="s">
        <v>65</v>
      </c>
      <c r="D949" s="4">
        <v>3.4</v>
      </c>
      <c r="E949" s="4">
        <v>2.8</v>
      </c>
      <c r="F949" s="4">
        <v>0</v>
      </c>
      <c r="G949" s="4">
        <v>0</v>
      </c>
      <c r="H949" s="4">
        <v>-0.6</v>
      </c>
      <c r="I949" s="4">
        <v>-18.8</v>
      </c>
      <c r="J949" s="4">
        <v>0.2</v>
      </c>
    </row>
    <row r="950" spans="1:10" x14ac:dyDescent="0.35">
      <c r="A950" s="3" t="s">
        <v>1912</v>
      </c>
      <c r="B950" s="3" t="s">
        <v>1913</v>
      </c>
      <c r="C950" s="4" t="s">
        <v>65</v>
      </c>
      <c r="D950" s="4">
        <v>2.2999999999999998</v>
      </c>
      <c r="E950" s="4">
        <v>1.8</v>
      </c>
      <c r="F950" s="4">
        <v>0</v>
      </c>
      <c r="G950" s="4">
        <v>0</v>
      </c>
      <c r="H950" s="4">
        <v>-0.5</v>
      </c>
      <c r="I950" s="4">
        <v>-21.6</v>
      </c>
      <c r="J950" s="4">
        <v>0.1</v>
      </c>
    </row>
    <row r="951" spans="1:10" x14ac:dyDescent="0.35">
      <c r="A951" s="3" t="s">
        <v>1914</v>
      </c>
      <c r="B951" s="3" t="s">
        <v>1915</v>
      </c>
      <c r="C951" s="4" t="s">
        <v>60</v>
      </c>
      <c r="D951" s="4">
        <v>179.4</v>
      </c>
      <c r="E951" s="4">
        <v>170.5</v>
      </c>
      <c r="F951" s="4">
        <v>0.1</v>
      </c>
      <c r="G951" s="4">
        <v>0.1</v>
      </c>
      <c r="H951" s="4">
        <v>-8.9</v>
      </c>
      <c r="I951" s="4">
        <v>-5</v>
      </c>
      <c r="J951" s="4">
        <v>14.6</v>
      </c>
    </row>
    <row r="952" spans="1:10" x14ac:dyDescent="0.35">
      <c r="A952" s="3" t="s">
        <v>1916</v>
      </c>
      <c r="B952" s="3" t="s">
        <v>1917</v>
      </c>
      <c r="C952" s="4" t="s">
        <v>65</v>
      </c>
      <c r="D952" s="4">
        <v>11.5</v>
      </c>
      <c r="E952" s="4">
        <v>8.8000000000000007</v>
      </c>
      <c r="F952" s="4">
        <v>0</v>
      </c>
      <c r="G952" s="4">
        <v>0</v>
      </c>
      <c r="H952" s="4">
        <v>-2.7</v>
      </c>
      <c r="I952" s="4">
        <v>-23.5</v>
      </c>
      <c r="J952" s="4">
        <v>0.6</v>
      </c>
    </row>
    <row r="953" spans="1:10" x14ac:dyDescent="0.35">
      <c r="A953" s="3" t="s">
        <v>1918</v>
      </c>
      <c r="B953" s="3" t="s">
        <v>1919</v>
      </c>
      <c r="C953" s="4" t="s">
        <v>65</v>
      </c>
      <c r="D953" s="4">
        <v>167.9</v>
      </c>
      <c r="E953" s="4">
        <v>161.69999999999999</v>
      </c>
      <c r="F953" s="4">
        <v>0.1</v>
      </c>
      <c r="G953" s="4">
        <v>0.1</v>
      </c>
      <c r="H953" s="4">
        <v>-6.2</v>
      </c>
      <c r="I953" s="4">
        <v>-3.7</v>
      </c>
      <c r="J953" s="4">
        <v>13.9</v>
      </c>
    </row>
    <row r="954" spans="1:10" x14ac:dyDescent="0.35">
      <c r="A954" s="3" t="s">
        <v>1920</v>
      </c>
      <c r="B954" s="3" t="s">
        <v>1921</v>
      </c>
      <c r="C954" s="4" t="s">
        <v>65</v>
      </c>
      <c r="D954" s="4">
        <v>139.9</v>
      </c>
      <c r="E954" s="4">
        <v>140.69999999999999</v>
      </c>
      <c r="F954" s="4">
        <v>0.1</v>
      </c>
      <c r="G954" s="4">
        <v>0.1</v>
      </c>
      <c r="H954" s="4">
        <v>0.8</v>
      </c>
      <c r="I954" s="4">
        <v>0.6</v>
      </c>
      <c r="J954" s="4">
        <v>13.6</v>
      </c>
    </row>
    <row r="955" spans="1:10" x14ac:dyDescent="0.35">
      <c r="A955" s="3" t="s">
        <v>1922</v>
      </c>
      <c r="B955" s="3" t="s">
        <v>1923</v>
      </c>
      <c r="C955" s="4" t="s">
        <v>65</v>
      </c>
      <c r="D955" s="4">
        <v>62.7</v>
      </c>
      <c r="E955" s="4">
        <v>57.4</v>
      </c>
      <c r="F955" s="4">
        <v>0</v>
      </c>
      <c r="G955" s="4">
        <v>0</v>
      </c>
      <c r="H955" s="4">
        <v>-5.3</v>
      </c>
      <c r="I955" s="4">
        <v>-8.5</v>
      </c>
      <c r="J955" s="4">
        <v>5.6</v>
      </c>
    </row>
    <row r="956" spans="1:10" x14ac:dyDescent="0.35">
      <c r="A956" s="3" t="s">
        <v>1924</v>
      </c>
      <c r="B956" s="3" t="s">
        <v>1925</v>
      </c>
      <c r="C956" s="4" t="s">
        <v>60</v>
      </c>
      <c r="D956" s="4">
        <v>464.7</v>
      </c>
      <c r="E956" s="4">
        <v>468.1</v>
      </c>
      <c r="F956" s="4">
        <v>0.3</v>
      </c>
      <c r="G956" s="4">
        <v>0.3</v>
      </c>
      <c r="H956" s="4">
        <v>3.4</v>
      </c>
      <c r="I956" s="4">
        <v>0.7</v>
      </c>
      <c r="J956" s="4">
        <v>45.4</v>
      </c>
    </row>
    <row r="957" spans="1:10" x14ac:dyDescent="0.35">
      <c r="A957" s="3" t="s">
        <v>1926</v>
      </c>
      <c r="B957" s="3" t="s">
        <v>1927</v>
      </c>
      <c r="C957" s="4" t="s">
        <v>65</v>
      </c>
      <c r="D957" s="4">
        <v>431.8</v>
      </c>
      <c r="E957" s="4">
        <v>438</v>
      </c>
      <c r="F957" s="4">
        <v>0.3</v>
      </c>
      <c r="G957" s="4">
        <v>0.3</v>
      </c>
      <c r="H957" s="4">
        <v>6.2</v>
      </c>
      <c r="I957" s="4">
        <v>1.4</v>
      </c>
      <c r="J957" s="4">
        <v>42.6</v>
      </c>
    </row>
    <row r="958" spans="1:10" x14ac:dyDescent="0.35">
      <c r="A958" s="3" t="s">
        <v>1928</v>
      </c>
      <c r="B958" s="3" t="s">
        <v>1929</v>
      </c>
      <c r="C958" s="4" t="s">
        <v>65</v>
      </c>
      <c r="D958" s="4">
        <v>32.9</v>
      </c>
      <c r="E958" s="4">
        <v>30.1</v>
      </c>
      <c r="F958" s="4">
        <v>0</v>
      </c>
      <c r="G958" s="4">
        <v>0</v>
      </c>
      <c r="H958" s="4">
        <v>-2.8</v>
      </c>
      <c r="I958" s="4">
        <v>-8.4</v>
      </c>
      <c r="J958" s="4">
        <v>2.8</v>
      </c>
    </row>
    <row r="959" spans="1:10" x14ac:dyDescent="0.35">
      <c r="A959" s="3" t="s">
        <v>1930</v>
      </c>
      <c r="B959" s="3" t="s">
        <v>1931</v>
      </c>
      <c r="C959" s="4" t="s">
        <v>60</v>
      </c>
      <c r="D959" s="4">
        <v>83</v>
      </c>
      <c r="E959" s="4">
        <v>75.5</v>
      </c>
      <c r="F959" s="4">
        <v>0.1</v>
      </c>
      <c r="G959" s="4">
        <v>0</v>
      </c>
      <c r="H959" s="4">
        <v>-7.4</v>
      </c>
      <c r="I959" s="4">
        <v>-8.9</v>
      </c>
      <c r="J959" s="4">
        <v>6.9</v>
      </c>
    </row>
    <row r="960" spans="1:10" x14ac:dyDescent="0.35">
      <c r="A960" s="3" t="s">
        <v>1932</v>
      </c>
      <c r="B960" s="3" t="s">
        <v>1933</v>
      </c>
      <c r="C960" s="4" t="s">
        <v>65</v>
      </c>
      <c r="D960" s="4">
        <v>16</v>
      </c>
      <c r="E960" s="4">
        <v>14.6</v>
      </c>
      <c r="F960" s="4">
        <v>0</v>
      </c>
      <c r="G960" s="4">
        <v>0</v>
      </c>
      <c r="H960" s="4">
        <v>-1.5</v>
      </c>
      <c r="I960" s="4">
        <v>-9.1</v>
      </c>
      <c r="J960" s="4">
        <v>1.3</v>
      </c>
    </row>
    <row r="961" spans="1:10" x14ac:dyDescent="0.35">
      <c r="A961" s="3" t="s">
        <v>1934</v>
      </c>
      <c r="B961" s="3" t="s">
        <v>1935</v>
      </c>
      <c r="C961" s="4" t="s">
        <v>65</v>
      </c>
      <c r="D961" s="4">
        <v>7.1</v>
      </c>
      <c r="E961" s="4">
        <v>6.4</v>
      </c>
      <c r="F961" s="4">
        <v>0</v>
      </c>
      <c r="G961" s="4">
        <v>0</v>
      </c>
      <c r="H961" s="4">
        <v>-0.7</v>
      </c>
      <c r="I961" s="4">
        <v>-10.199999999999999</v>
      </c>
      <c r="J961" s="4">
        <v>0.6</v>
      </c>
    </row>
    <row r="962" spans="1:10" x14ac:dyDescent="0.35">
      <c r="A962" s="3" t="s">
        <v>1936</v>
      </c>
      <c r="B962" s="3" t="s">
        <v>1937</v>
      </c>
      <c r="C962" s="4" t="s">
        <v>65</v>
      </c>
      <c r="D962" s="4">
        <v>32.9</v>
      </c>
      <c r="E962" s="4">
        <v>29.8</v>
      </c>
      <c r="F962" s="4">
        <v>0</v>
      </c>
      <c r="G962" s="4">
        <v>0</v>
      </c>
      <c r="H962" s="4">
        <v>-3.1</v>
      </c>
      <c r="I962" s="4">
        <v>-9.4</v>
      </c>
      <c r="J962" s="4">
        <v>2.7</v>
      </c>
    </row>
    <row r="963" spans="1:10" x14ac:dyDescent="0.35">
      <c r="A963" s="3" t="s">
        <v>1938</v>
      </c>
      <c r="B963" s="3" t="s">
        <v>1939</v>
      </c>
      <c r="C963" s="4" t="s">
        <v>65</v>
      </c>
      <c r="D963" s="4">
        <v>5.5</v>
      </c>
      <c r="E963" s="4">
        <v>5</v>
      </c>
      <c r="F963" s="4">
        <v>0</v>
      </c>
      <c r="G963" s="4">
        <v>0</v>
      </c>
      <c r="H963" s="4">
        <v>-0.5</v>
      </c>
      <c r="I963" s="4">
        <v>-8.5</v>
      </c>
      <c r="J963" s="4">
        <v>0.5</v>
      </c>
    </row>
    <row r="964" spans="1:10" x14ac:dyDescent="0.35">
      <c r="A964" s="3" t="s">
        <v>1940</v>
      </c>
      <c r="B964" s="3" t="s">
        <v>1941</v>
      </c>
      <c r="C964" s="4" t="s">
        <v>65</v>
      </c>
      <c r="D964" s="4">
        <v>21.4</v>
      </c>
      <c r="E964" s="4">
        <v>19.8</v>
      </c>
      <c r="F964" s="4">
        <v>0</v>
      </c>
      <c r="G964" s="4">
        <v>0</v>
      </c>
      <c r="H964" s="4">
        <v>-1.7</v>
      </c>
      <c r="I964" s="4">
        <v>-7.8</v>
      </c>
      <c r="J964" s="4">
        <v>1.8</v>
      </c>
    </row>
    <row r="965" spans="1:10" x14ac:dyDescent="0.35">
      <c r="A965" s="3" t="s">
        <v>1942</v>
      </c>
      <c r="B965" s="3" t="s">
        <v>1943</v>
      </c>
      <c r="C965" s="4" t="s">
        <v>60</v>
      </c>
      <c r="D965" s="4">
        <v>222.5</v>
      </c>
      <c r="E965" s="4">
        <v>198.1</v>
      </c>
      <c r="F965" s="4">
        <v>0.1</v>
      </c>
      <c r="G965" s="4">
        <v>0.1</v>
      </c>
      <c r="H965" s="4">
        <v>-24.4</v>
      </c>
      <c r="I965" s="4">
        <v>-11</v>
      </c>
      <c r="J965" s="4">
        <v>19.7</v>
      </c>
    </row>
    <row r="966" spans="1:10" x14ac:dyDescent="0.35">
      <c r="A966" s="3" t="s">
        <v>1944</v>
      </c>
      <c r="B966" s="3" t="s">
        <v>1945</v>
      </c>
      <c r="C966" s="4" t="s">
        <v>65</v>
      </c>
      <c r="D966" s="4">
        <v>25.7</v>
      </c>
      <c r="E966" s="4">
        <v>21.3</v>
      </c>
      <c r="F966" s="4">
        <v>0</v>
      </c>
      <c r="G966" s="4">
        <v>0</v>
      </c>
      <c r="H966" s="4">
        <v>-4.4000000000000004</v>
      </c>
      <c r="I966" s="4">
        <v>-17.100000000000001</v>
      </c>
      <c r="J966" s="4">
        <v>2.5</v>
      </c>
    </row>
    <row r="967" spans="1:10" x14ac:dyDescent="0.35">
      <c r="A967" s="3" t="s">
        <v>1946</v>
      </c>
      <c r="B967" s="3" t="s">
        <v>1947</v>
      </c>
      <c r="C967" s="4" t="s">
        <v>65</v>
      </c>
      <c r="D967" s="4">
        <v>155.5</v>
      </c>
      <c r="E967" s="4">
        <v>142.30000000000001</v>
      </c>
      <c r="F967" s="4">
        <v>0.1</v>
      </c>
      <c r="G967" s="4">
        <v>0.1</v>
      </c>
      <c r="H967" s="4">
        <v>-13.2</v>
      </c>
      <c r="I967" s="4">
        <v>-8.5</v>
      </c>
      <c r="J967" s="4">
        <v>14.4</v>
      </c>
    </row>
    <row r="968" spans="1:10" x14ac:dyDescent="0.35">
      <c r="A968" s="3" t="s">
        <v>1948</v>
      </c>
      <c r="B968" s="3" t="s">
        <v>1949</v>
      </c>
      <c r="C968" s="4" t="s">
        <v>65</v>
      </c>
      <c r="D968" s="4">
        <v>41.4</v>
      </c>
      <c r="E968" s="4">
        <v>34.6</v>
      </c>
      <c r="F968" s="4">
        <v>0</v>
      </c>
      <c r="G968" s="4">
        <v>0</v>
      </c>
      <c r="H968" s="4">
        <v>-6.8</v>
      </c>
      <c r="I968" s="4">
        <v>-16.399999999999999</v>
      </c>
      <c r="J968" s="4">
        <v>2.8</v>
      </c>
    </row>
    <row r="969" spans="1:10" x14ac:dyDescent="0.35">
      <c r="A969" s="3" t="s">
        <v>1950</v>
      </c>
      <c r="B969" s="3" t="s">
        <v>1951</v>
      </c>
      <c r="C969" s="4" t="s">
        <v>60</v>
      </c>
      <c r="D969" s="4">
        <v>536.29999999999995</v>
      </c>
      <c r="E969" s="4">
        <v>490.3</v>
      </c>
      <c r="F969" s="4">
        <v>0.3</v>
      </c>
      <c r="G969" s="4">
        <v>0.3</v>
      </c>
      <c r="H969" s="4">
        <v>-46</v>
      </c>
      <c r="I969" s="4">
        <v>-8.6</v>
      </c>
      <c r="J969" s="4">
        <v>57.7</v>
      </c>
    </row>
    <row r="970" spans="1:10" x14ac:dyDescent="0.35">
      <c r="A970" s="3" t="s">
        <v>1952</v>
      </c>
      <c r="B970" s="3" t="s">
        <v>1953</v>
      </c>
      <c r="C970" s="4" t="s">
        <v>65</v>
      </c>
      <c r="D970" s="4">
        <v>184.4</v>
      </c>
      <c r="E970" s="4">
        <v>182</v>
      </c>
      <c r="F970" s="4">
        <v>0.1</v>
      </c>
      <c r="G970" s="4">
        <v>0.1</v>
      </c>
      <c r="H970" s="4">
        <v>-2.2999999999999998</v>
      </c>
      <c r="I970" s="4">
        <v>-1.3</v>
      </c>
      <c r="J970" s="4">
        <v>24.5</v>
      </c>
    </row>
    <row r="971" spans="1:10" x14ac:dyDescent="0.35">
      <c r="A971" s="3" t="s">
        <v>1954</v>
      </c>
      <c r="B971" s="3" t="s">
        <v>1955</v>
      </c>
      <c r="C971" s="4" t="s">
        <v>65</v>
      </c>
      <c r="D971" s="4">
        <v>29.8</v>
      </c>
      <c r="E971" s="4">
        <v>23.3</v>
      </c>
      <c r="F971" s="4">
        <v>0</v>
      </c>
      <c r="G971" s="4">
        <v>0</v>
      </c>
      <c r="H971" s="4">
        <v>-6.5</v>
      </c>
      <c r="I971" s="4">
        <v>-21.8</v>
      </c>
      <c r="J971" s="4">
        <v>2.7</v>
      </c>
    </row>
    <row r="972" spans="1:10" x14ac:dyDescent="0.35">
      <c r="A972" s="3" t="s">
        <v>1956</v>
      </c>
      <c r="B972" s="3" t="s">
        <v>1957</v>
      </c>
      <c r="C972" s="4" t="s">
        <v>65</v>
      </c>
      <c r="D972" s="4">
        <v>141.9</v>
      </c>
      <c r="E972" s="4">
        <v>120.3</v>
      </c>
      <c r="F972" s="4">
        <v>0.1</v>
      </c>
      <c r="G972" s="4">
        <v>0.1</v>
      </c>
      <c r="H972" s="4">
        <v>-21.6</v>
      </c>
      <c r="I972" s="4">
        <v>-15.2</v>
      </c>
      <c r="J972" s="4">
        <v>12.5</v>
      </c>
    </row>
    <row r="973" spans="1:10" x14ac:dyDescent="0.35">
      <c r="A973" s="3" t="s">
        <v>1958</v>
      </c>
      <c r="B973" s="3" t="s">
        <v>1959</v>
      </c>
      <c r="C973" s="4" t="s">
        <v>60</v>
      </c>
      <c r="D973" s="4">
        <v>13.1</v>
      </c>
      <c r="E973" s="4">
        <v>11.7</v>
      </c>
      <c r="F973" s="4">
        <v>0</v>
      </c>
      <c r="G973" s="4">
        <v>0</v>
      </c>
      <c r="H973" s="4">
        <v>-1.4</v>
      </c>
      <c r="I973" s="4">
        <v>-10.9</v>
      </c>
      <c r="J973" s="4">
        <v>1.3</v>
      </c>
    </row>
    <row r="974" spans="1:10" x14ac:dyDescent="0.35">
      <c r="A974" s="3" t="s">
        <v>1960</v>
      </c>
      <c r="B974" s="3" t="s">
        <v>1961</v>
      </c>
      <c r="C974" s="4" t="s">
        <v>65</v>
      </c>
      <c r="D974" s="4">
        <v>9.8000000000000007</v>
      </c>
      <c r="E974" s="4">
        <v>8.6999999999999993</v>
      </c>
      <c r="F974" s="4">
        <v>0</v>
      </c>
      <c r="G974" s="4">
        <v>0</v>
      </c>
      <c r="H974" s="4">
        <v>-1.1000000000000001</v>
      </c>
      <c r="I974" s="4">
        <v>-11</v>
      </c>
      <c r="J974" s="4">
        <v>1</v>
      </c>
    </row>
    <row r="975" spans="1:10" x14ac:dyDescent="0.35">
      <c r="A975" s="3" t="s">
        <v>1962</v>
      </c>
      <c r="B975" s="3" t="s">
        <v>1963</v>
      </c>
      <c r="C975" s="4" t="s">
        <v>65</v>
      </c>
      <c r="D975" s="4">
        <v>3.3</v>
      </c>
      <c r="E975" s="4">
        <v>2.9</v>
      </c>
      <c r="F975" s="4">
        <v>0</v>
      </c>
      <c r="G975" s="4">
        <v>0</v>
      </c>
      <c r="H975" s="4">
        <v>-0.4</v>
      </c>
      <c r="I975" s="4">
        <v>-10.9</v>
      </c>
      <c r="J975" s="4">
        <v>0.3</v>
      </c>
    </row>
    <row r="976" spans="1:10" x14ac:dyDescent="0.35">
      <c r="A976" s="3" t="s">
        <v>1964</v>
      </c>
      <c r="B976" s="3" t="s">
        <v>1965</v>
      </c>
      <c r="C976" s="4" t="s">
        <v>60</v>
      </c>
      <c r="D976" s="4">
        <v>40.9</v>
      </c>
      <c r="E976" s="4">
        <v>35.1</v>
      </c>
      <c r="F976" s="4">
        <v>0</v>
      </c>
      <c r="G976" s="4">
        <v>0</v>
      </c>
      <c r="H976" s="4">
        <v>-5.7</v>
      </c>
      <c r="I976" s="4">
        <v>-14</v>
      </c>
      <c r="J976" s="4">
        <v>4.5999999999999996</v>
      </c>
    </row>
    <row r="977" spans="1:10" x14ac:dyDescent="0.35">
      <c r="A977" s="3" t="s">
        <v>1966</v>
      </c>
      <c r="B977" s="3" t="s">
        <v>1967</v>
      </c>
      <c r="C977" s="4" t="s">
        <v>65</v>
      </c>
      <c r="D977" s="4">
        <v>6.9</v>
      </c>
      <c r="E977" s="4">
        <v>5.8</v>
      </c>
      <c r="F977" s="4">
        <v>0</v>
      </c>
      <c r="G977" s="4">
        <v>0</v>
      </c>
      <c r="H977" s="4">
        <v>-1.1000000000000001</v>
      </c>
      <c r="I977" s="4">
        <v>-15.8</v>
      </c>
      <c r="J977" s="4">
        <v>0.8</v>
      </c>
    </row>
    <row r="978" spans="1:10" x14ac:dyDescent="0.35">
      <c r="A978" s="3" t="s">
        <v>1968</v>
      </c>
      <c r="B978" s="3" t="s">
        <v>1969</v>
      </c>
      <c r="C978" s="4" t="s">
        <v>65</v>
      </c>
      <c r="D978" s="4">
        <v>33.9</v>
      </c>
      <c r="E978" s="4">
        <v>29.3</v>
      </c>
      <c r="F978" s="4">
        <v>0</v>
      </c>
      <c r="G978" s="4">
        <v>0</v>
      </c>
      <c r="H978" s="4">
        <v>-4.5999999999999996</v>
      </c>
      <c r="I978" s="4">
        <v>-13.6</v>
      </c>
      <c r="J978" s="4">
        <v>3.8</v>
      </c>
    </row>
    <row r="979" spans="1:10" x14ac:dyDescent="0.35">
      <c r="A979" s="3" t="s">
        <v>1970</v>
      </c>
      <c r="B979" s="3" t="s">
        <v>1971</v>
      </c>
      <c r="C979" s="4" t="s">
        <v>60</v>
      </c>
      <c r="D979" s="4">
        <v>60.9</v>
      </c>
      <c r="E979" s="4">
        <v>55</v>
      </c>
      <c r="F979" s="4">
        <v>0</v>
      </c>
      <c r="G979" s="4">
        <v>0</v>
      </c>
      <c r="H979" s="4">
        <v>-5.9</v>
      </c>
      <c r="I979" s="4">
        <v>-9.6999999999999993</v>
      </c>
      <c r="J979" s="4">
        <v>5.8</v>
      </c>
    </row>
    <row r="980" spans="1:10" x14ac:dyDescent="0.35">
      <c r="A980" s="3" t="s">
        <v>1972</v>
      </c>
      <c r="B980" s="3" t="s">
        <v>1973</v>
      </c>
      <c r="C980" s="4" t="s">
        <v>65</v>
      </c>
      <c r="D980" s="4">
        <v>7</v>
      </c>
      <c r="E980" s="4">
        <v>6.4</v>
      </c>
      <c r="F980" s="4">
        <v>0</v>
      </c>
      <c r="G980" s="4">
        <v>0</v>
      </c>
      <c r="H980" s="4">
        <v>-0.7</v>
      </c>
      <c r="I980" s="4">
        <v>-9.5</v>
      </c>
      <c r="J980" s="4">
        <v>0.7</v>
      </c>
    </row>
    <row r="981" spans="1:10" x14ac:dyDescent="0.35">
      <c r="A981" s="3" t="s">
        <v>1974</v>
      </c>
      <c r="B981" s="3" t="s">
        <v>1975</v>
      </c>
      <c r="C981" s="4" t="s">
        <v>65</v>
      </c>
      <c r="D981" s="4">
        <v>11.1</v>
      </c>
      <c r="E981" s="4">
        <v>9.9</v>
      </c>
      <c r="F981" s="4">
        <v>0</v>
      </c>
      <c r="G981" s="4">
        <v>0</v>
      </c>
      <c r="H981" s="4">
        <v>-1.2</v>
      </c>
      <c r="I981" s="4">
        <v>-10.8</v>
      </c>
      <c r="J981" s="4">
        <v>1</v>
      </c>
    </row>
    <row r="982" spans="1:10" x14ac:dyDescent="0.35">
      <c r="A982" s="3" t="s">
        <v>1976</v>
      </c>
      <c r="B982" s="3" t="s">
        <v>1977</v>
      </c>
      <c r="C982" s="4" t="s">
        <v>65</v>
      </c>
      <c r="D982" s="4">
        <v>17.8</v>
      </c>
      <c r="E982" s="4">
        <v>15.9</v>
      </c>
      <c r="F982" s="4">
        <v>0</v>
      </c>
      <c r="G982" s="4">
        <v>0</v>
      </c>
      <c r="H982" s="4">
        <v>-1.9</v>
      </c>
      <c r="I982" s="4">
        <v>-10.5</v>
      </c>
      <c r="J982" s="4">
        <v>1.7</v>
      </c>
    </row>
    <row r="983" spans="1:10" x14ac:dyDescent="0.35">
      <c r="A983" s="3" t="s">
        <v>1978</v>
      </c>
      <c r="B983" s="3" t="s">
        <v>1979</v>
      </c>
      <c r="C983" s="4" t="s">
        <v>65</v>
      </c>
      <c r="D983" s="4">
        <v>25</v>
      </c>
      <c r="E983" s="4">
        <v>22.9</v>
      </c>
      <c r="F983" s="4">
        <v>0</v>
      </c>
      <c r="G983" s="4">
        <v>0</v>
      </c>
      <c r="H983" s="4">
        <v>-2.2000000000000002</v>
      </c>
      <c r="I983" s="4">
        <v>-8.6</v>
      </c>
      <c r="J983" s="4">
        <v>2.4</v>
      </c>
    </row>
    <row r="984" spans="1:10" x14ac:dyDescent="0.35">
      <c r="A984" s="3" t="s">
        <v>1980</v>
      </c>
      <c r="B984" s="3" t="s">
        <v>1981</v>
      </c>
      <c r="C984" s="4" t="s">
        <v>60</v>
      </c>
      <c r="D984" s="4">
        <v>65.400000000000006</v>
      </c>
      <c r="E984" s="4">
        <v>62.8</v>
      </c>
      <c r="F984" s="4">
        <v>0</v>
      </c>
      <c r="G984" s="4">
        <v>0</v>
      </c>
      <c r="H984" s="4">
        <v>-2.5</v>
      </c>
      <c r="I984" s="4">
        <v>-3.9</v>
      </c>
      <c r="J984" s="4">
        <v>6.3</v>
      </c>
    </row>
    <row r="985" spans="1:10" x14ac:dyDescent="0.35">
      <c r="A985" s="3" t="s">
        <v>1982</v>
      </c>
      <c r="B985" s="3" t="s">
        <v>1983</v>
      </c>
      <c r="C985" s="4" t="s">
        <v>65</v>
      </c>
      <c r="D985" s="4">
        <v>16.3</v>
      </c>
      <c r="E985" s="4">
        <v>15.9</v>
      </c>
      <c r="F985" s="4">
        <v>0</v>
      </c>
      <c r="G985" s="4">
        <v>0</v>
      </c>
      <c r="H985" s="4">
        <v>-0.4</v>
      </c>
      <c r="I985" s="4">
        <v>-2.2999999999999998</v>
      </c>
      <c r="J985" s="4">
        <v>1.7</v>
      </c>
    </row>
    <row r="986" spans="1:10" x14ac:dyDescent="0.35">
      <c r="A986" s="3" t="s">
        <v>1984</v>
      </c>
      <c r="B986" s="3" t="s">
        <v>1985</v>
      </c>
      <c r="C986" s="4" t="s">
        <v>65</v>
      </c>
      <c r="D986" s="4">
        <v>3.4</v>
      </c>
      <c r="E986" s="4">
        <v>3.1</v>
      </c>
      <c r="F986" s="4">
        <v>0</v>
      </c>
      <c r="G986" s="4">
        <v>0</v>
      </c>
      <c r="H986" s="4">
        <v>-0.2</v>
      </c>
      <c r="I986" s="4">
        <v>-7.4</v>
      </c>
      <c r="J986" s="4">
        <v>0.3</v>
      </c>
    </row>
    <row r="987" spans="1:10" x14ac:dyDescent="0.35">
      <c r="A987" s="3" t="s">
        <v>1986</v>
      </c>
      <c r="B987" s="3" t="s">
        <v>1987</v>
      </c>
      <c r="C987" s="4" t="s">
        <v>65</v>
      </c>
      <c r="D987" s="4">
        <v>31.5</v>
      </c>
      <c r="E987" s="4">
        <v>30.7</v>
      </c>
      <c r="F987" s="4">
        <v>0</v>
      </c>
      <c r="G987" s="4">
        <v>0</v>
      </c>
      <c r="H987" s="4">
        <v>-0.8</v>
      </c>
      <c r="I987" s="4">
        <v>-2.5</v>
      </c>
      <c r="J987" s="4">
        <v>2.8</v>
      </c>
    </row>
    <row r="988" spans="1:10" x14ac:dyDescent="0.35">
      <c r="A988" s="3" t="s">
        <v>1988</v>
      </c>
      <c r="B988" s="3" t="s">
        <v>1989</v>
      </c>
      <c r="C988" s="4" t="s">
        <v>65</v>
      </c>
      <c r="D988" s="4">
        <v>14.3</v>
      </c>
      <c r="E988" s="4">
        <v>13.2</v>
      </c>
      <c r="F988" s="4">
        <v>0</v>
      </c>
      <c r="G988" s="4">
        <v>0</v>
      </c>
      <c r="H988" s="4">
        <v>-1.1000000000000001</v>
      </c>
      <c r="I988" s="4">
        <v>-7.8</v>
      </c>
      <c r="J988" s="4">
        <v>1.4</v>
      </c>
    </row>
    <row r="989" spans="1:10" x14ac:dyDescent="0.35">
      <c r="A989" s="3" t="s">
        <v>1990</v>
      </c>
      <c r="B989" s="3" t="s">
        <v>1991</v>
      </c>
      <c r="C989" s="4" t="s">
        <v>60</v>
      </c>
      <c r="D989" s="4">
        <v>253.9</v>
      </c>
      <c r="E989" s="4">
        <v>250.7</v>
      </c>
      <c r="F989" s="4">
        <v>0.2</v>
      </c>
      <c r="G989" s="4">
        <v>0.1</v>
      </c>
      <c r="H989" s="4">
        <v>-3.2</v>
      </c>
      <c r="I989" s="4">
        <v>-1.3</v>
      </c>
      <c r="J989" s="4">
        <v>25</v>
      </c>
    </row>
    <row r="990" spans="1:10" x14ac:dyDescent="0.35">
      <c r="A990" s="3" t="s">
        <v>1992</v>
      </c>
      <c r="B990" s="3" t="s">
        <v>1993</v>
      </c>
      <c r="C990" s="4" t="s">
        <v>65</v>
      </c>
      <c r="D990" s="4">
        <v>105.7</v>
      </c>
      <c r="E990" s="4">
        <v>103.7</v>
      </c>
      <c r="F990" s="4">
        <v>0.1</v>
      </c>
      <c r="G990" s="4">
        <v>0.1</v>
      </c>
      <c r="H990" s="4">
        <v>-2</v>
      </c>
      <c r="I990" s="4">
        <v>-1.9</v>
      </c>
      <c r="J990" s="4">
        <v>9.8000000000000007</v>
      </c>
    </row>
    <row r="991" spans="1:10" x14ac:dyDescent="0.35">
      <c r="A991" s="3" t="s">
        <v>1994</v>
      </c>
      <c r="B991" s="3" t="s">
        <v>1995</v>
      </c>
      <c r="C991" s="4" t="s">
        <v>65</v>
      </c>
      <c r="D991" s="4">
        <v>19.2</v>
      </c>
      <c r="E991" s="4">
        <v>19.100000000000001</v>
      </c>
      <c r="F991" s="4">
        <v>0</v>
      </c>
      <c r="G991" s="4">
        <v>0</v>
      </c>
      <c r="H991" s="4">
        <v>-0.1</v>
      </c>
      <c r="I991" s="4">
        <v>-0.7</v>
      </c>
      <c r="J991" s="4">
        <v>2.2000000000000002</v>
      </c>
    </row>
    <row r="992" spans="1:10" x14ac:dyDescent="0.35">
      <c r="A992" s="3" t="s">
        <v>1996</v>
      </c>
      <c r="B992" s="3" t="s">
        <v>1997</v>
      </c>
      <c r="C992" s="4" t="s">
        <v>60</v>
      </c>
      <c r="D992" s="4">
        <v>1.6</v>
      </c>
      <c r="E992" s="4">
        <v>1.5</v>
      </c>
      <c r="F992" s="4">
        <v>0</v>
      </c>
      <c r="G992" s="4">
        <v>0</v>
      </c>
      <c r="H992" s="4">
        <v>-0.1</v>
      </c>
      <c r="I992" s="4">
        <v>-4</v>
      </c>
      <c r="J992" s="4">
        <v>0.2</v>
      </c>
    </row>
    <row r="993" spans="1:10" x14ac:dyDescent="0.35">
      <c r="A993" s="3" t="s">
        <v>1998</v>
      </c>
      <c r="B993" s="3" t="s">
        <v>1999</v>
      </c>
      <c r="C993" s="4" t="s">
        <v>65</v>
      </c>
      <c r="D993" s="4">
        <v>1.1000000000000001</v>
      </c>
      <c r="E993" s="4">
        <v>1</v>
      </c>
      <c r="F993" s="4">
        <v>0</v>
      </c>
      <c r="G993" s="4">
        <v>0</v>
      </c>
      <c r="H993" s="4">
        <v>0</v>
      </c>
      <c r="I993" s="4">
        <v>-3.6</v>
      </c>
      <c r="J993" s="4">
        <v>0.1</v>
      </c>
    </row>
    <row r="994" spans="1:10" x14ac:dyDescent="0.35">
      <c r="A994" s="3" t="s">
        <v>2000</v>
      </c>
      <c r="B994" s="3" t="s">
        <v>2001</v>
      </c>
      <c r="C994" s="4" t="s">
        <v>65</v>
      </c>
      <c r="D994" s="4">
        <v>0.5</v>
      </c>
      <c r="E994" s="4">
        <v>0.5</v>
      </c>
      <c r="F994" s="4">
        <v>0</v>
      </c>
      <c r="G994" s="4">
        <v>0</v>
      </c>
      <c r="H994" s="4">
        <v>0</v>
      </c>
      <c r="I994" s="4">
        <v>-5.0999999999999996</v>
      </c>
      <c r="J994" s="4">
        <v>0.1</v>
      </c>
    </row>
    <row r="995" spans="1:10" x14ac:dyDescent="0.35">
      <c r="A995" s="3" t="s">
        <v>2002</v>
      </c>
      <c r="B995" s="3" t="s">
        <v>2003</v>
      </c>
      <c r="C995" s="4" t="s">
        <v>60</v>
      </c>
      <c r="D995" s="4">
        <v>114</v>
      </c>
      <c r="E995" s="4">
        <v>113.4</v>
      </c>
      <c r="F995" s="4">
        <v>0.1</v>
      </c>
      <c r="G995" s="4">
        <v>0.1</v>
      </c>
      <c r="H995" s="4">
        <v>-0.6</v>
      </c>
      <c r="I995" s="4">
        <v>-0.5</v>
      </c>
      <c r="J995" s="4">
        <v>11.4</v>
      </c>
    </row>
    <row r="996" spans="1:10" x14ac:dyDescent="0.35">
      <c r="A996" s="3" t="s">
        <v>2004</v>
      </c>
      <c r="B996" s="3" t="s">
        <v>2005</v>
      </c>
      <c r="C996" s="4" t="s">
        <v>65</v>
      </c>
      <c r="D996" s="4">
        <v>49.4</v>
      </c>
      <c r="E996" s="4">
        <v>49.5</v>
      </c>
      <c r="F996" s="4">
        <v>0</v>
      </c>
      <c r="G996" s="4">
        <v>0</v>
      </c>
      <c r="H996" s="4">
        <v>0.1</v>
      </c>
      <c r="I996" s="4">
        <v>0.1</v>
      </c>
      <c r="J996" s="4">
        <v>5.5</v>
      </c>
    </row>
    <row r="997" spans="1:10" x14ac:dyDescent="0.35">
      <c r="A997" s="3" t="s">
        <v>2006</v>
      </c>
      <c r="B997" s="3" t="s">
        <v>2007</v>
      </c>
      <c r="C997" s="4" t="s">
        <v>65</v>
      </c>
      <c r="D997" s="4">
        <v>64.599999999999994</v>
      </c>
      <c r="E997" s="4">
        <v>63.9</v>
      </c>
      <c r="F997" s="4">
        <v>0</v>
      </c>
      <c r="G997" s="4">
        <v>0</v>
      </c>
      <c r="H997" s="4">
        <v>-0.6</v>
      </c>
      <c r="I997" s="4">
        <v>-1</v>
      </c>
      <c r="J997" s="4">
        <v>5.9</v>
      </c>
    </row>
    <row r="998" spans="1:10" x14ac:dyDescent="0.35">
      <c r="A998" s="3" t="s">
        <v>2008</v>
      </c>
      <c r="B998" s="3" t="s">
        <v>2009</v>
      </c>
      <c r="C998" s="4" t="s">
        <v>65</v>
      </c>
      <c r="D998" s="4">
        <v>13.5</v>
      </c>
      <c r="E998" s="4">
        <v>13</v>
      </c>
      <c r="F998" s="4">
        <v>0</v>
      </c>
      <c r="G998" s="4">
        <v>0</v>
      </c>
      <c r="H998" s="4">
        <v>-0.5</v>
      </c>
      <c r="I998" s="4">
        <v>-3.6</v>
      </c>
      <c r="J998" s="4">
        <v>1.5</v>
      </c>
    </row>
    <row r="999" spans="1:10" x14ac:dyDescent="0.35">
      <c r="A999" s="3" t="s">
        <v>2010</v>
      </c>
      <c r="B999" s="3" t="s">
        <v>2011</v>
      </c>
      <c r="C999" s="4" t="s">
        <v>60</v>
      </c>
      <c r="D999" s="4">
        <v>287.8</v>
      </c>
      <c r="E999" s="4">
        <v>273</v>
      </c>
      <c r="F999" s="4">
        <v>0.2</v>
      </c>
      <c r="G999" s="4">
        <v>0.2</v>
      </c>
      <c r="H999" s="4">
        <v>-14.8</v>
      </c>
      <c r="I999" s="4">
        <v>-5.0999999999999996</v>
      </c>
      <c r="J999" s="4">
        <v>24.2</v>
      </c>
    </row>
    <row r="1000" spans="1:10" x14ac:dyDescent="0.35">
      <c r="A1000" s="3" t="s">
        <v>2012</v>
      </c>
      <c r="B1000" s="3" t="s">
        <v>2013</v>
      </c>
      <c r="C1000" s="4" t="s">
        <v>60</v>
      </c>
      <c r="D1000" s="4">
        <v>47.3</v>
      </c>
      <c r="E1000" s="4">
        <v>42.6</v>
      </c>
      <c r="F1000" s="4">
        <v>0</v>
      </c>
      <c r="G1000" s="4">
        <v>0</v>
      </c>
      <c r="H1000" s="4">
        <v>-4.7</v>
      </c>
      <c r="I1000" s="4">
        <v>-10</v>
      </c>
      <c r="J1000" s="4">
        <v>3.2</v>
      </c>
    </row>
    <row r="1001" spans="1:10" x14ac:dyDescent="0.35">
      <c r="A1001" s="3" t="s">
        <v>2014</v>
      </c>
      <c r="B1001" s="3" t="s">
        <v>2015</v>
      </c>
      <c r="C1001" s="4" t="s">
        <v>65</v>
      </c>
      <c r="D1001" s="4">
        <v>5.5</v>
      </c>
      <c r="E1001" s="4">
        <v>5.3</v>
      </c>
      <c r="F1001" s="4">
        <v>0</v>
      </c>
      <c r="G1001" s="4">
        <v>0</v>
      </c>
      <c r="H1001" s="4">
        <v>-0.2</v>
      </c>
      <c r="I1001" s="4">
        <v>-3.3</v>
      </c>
      <c r="J1001" s="4">
        <v>0.4</v>
      </c>
    </row>
    <row r="1002" spans="1:10" x14ac:dyDescent="0.35">
      <c r="A1002" s="3" t="s">
        <v>2016</v>
      </c>
      <c r="B1002" s="3" t="s">
        <v>2017</v>
      </c>
      <c r="C1002" s="4" t="s">
        <v>65</v>
      </c>
      <c r="D1002" s="4">
        <v>9.6</v>
      </c>
      <c r="E1002" s="4">
        <v>9.1</v>
      </c>
      <c r="F1002" s="4">
        <v>0</v>
      </c>
      <c r="G1002" s="4">
        <v>0</v>
      </c>
      <c r="H1002" s="4">
        <v>-0.5</v>
      </c>
      <c r="I1002" s="4">
        <v>-5</v>
      </c>
      <c r="J1002" s="4">
        <v>0.7</v>
      </c>
    </row>
    <row r="1003" spans="1:10" x14ac:dyDescent="0.35">
      <c r="A1003" s="3" t="s">
        <v>2018</v>
      </c>
      <c r="B1003" s="3" t="s">
        <v>2019</v>
      </c>
      <c r="C1003" s="4" t="s">
        <v>65</v>
      </c>
      <c r="D1003" s="4">
        <v>32.200000000000003</v>
      </c>
      <c r="E1003" s="4">
        <v>28.2</v>
      </c>
      <c r="F1003" s="4">
        <v>0</v>
      </c>
      <c r="G1003" s="4">
        <v>0</v>
      </c>
      <c r="H1003" s="4">
        <v>-4</v>
      </c>
      <c r="I1003" s="4">
        <v>-12.5</v>
      </c>
      <c r="J1003" s="4">
        <v>2.1</v>
      </c>
    </row>
    <row r="1004" spans="1:10" x14ac:dyDescent="0.35">
      <c r="A1004" s="3" t="s">
        <v>2020</v>
      </c>
      <c r="B1004" s="3" t="s">
        <v>2021</v>
      </c>
      <c r="C1004" s="4" t="s">
        <v>65</v>
      </c>
      <c r="D1004" s="4">
        <v>33.5</v>
      </c>
      <c r="E1004" s="4">
        <v>34.4</v>
      </c>
      <c r="F1004" s="4">
        <v>0</v>
      </c>
      <c r="G1004" s="4">
        <v>0</v>
      </c>
      <c r="H1004" s="4">
        <v>1</v>
      </c>
      <c r="I1004" s="4">
        <v>2.8</v>
      </c>
      <c r="J1004" s="4">
        <v>3.6</v>
      </c>
    </row>
    <row r="1005" spans="1:10" x14ac:dyDescent="0.35">
      <c r="A1005" s="3" t="s">
        <v>2022</v>
      </c>
      <c r="B1005" s="3" t="s">
        <v>2023</v>
      </c>
      <c r="C1005" s="4" t="s">
        <v>65</v>
      </c>
      <c r="D1005" s="4">
        <v>124.8</v>
      </c>
      <c r="E1005" s="4">
        <v>116.9</v>
      </c>
      <c r="F1005" s="4">
        <v>0.1</v>
      </c>
      <c r="G1005" s="4">
        <v>0.1</v>
      </c>
      <c r="H1005" s="4">
        <v>-7.9</v>
      </c>
      <c r="I1005" s="4">
        <v>-6.3</v>
      </c>
      <c r="J1005" s="4">
        <v>10.5</v>
      </c>
    </row>
    <row r="1006" spans="1:10" x14ac:dyDescent="0.35">
      <c r="A1006" s="3" t="s">
        <v>2024</v>
      </c>
      <c r="B1006" s="3" t="s">
        <v>2025</v>
      </c>
      <c r="C1006" s="4" t="s">
        <v>60</v>
      </c>
      <c r="D1006" s="4">
        <v>82.2</v>
      </c>
      <c r="E1006" s="4">
        <v>79.099999999999994</v>
      </c>
      <c r="F1006" s="4">
        <v>0</v>
      </c>
      <c r="G1006" s="4">
        <v>0</v>
      </c>
      <c r="H1006" s="4">
        <v>-3.1</v>
      </c>
      <c r="I1006" s="4">
        <v>-3.8</v>
      </c>
      <c r="J1006" s="4">
        <v>7</v>
      </c>
    </row>
    <row r="1007" spans="1:10" x14ac:dyDescent="0.35">
      <c r="A1007" s="3" t="s">
        <v>2026</v>
      </c>
      <c r="B1007" s="3" t="s">
        <v>2027</v>
      </c>
      <c r="C1007" s="4" t="s">
        <v>65</v>
      </c>
      <c r="D1007" s="4">
        <v>19.3</v>
      </c>
      <c r="E1007" s="4">
        <v>18.600000000000001</v>
      </c>
      <c r="F1007" s="4">
        <v>0</v>
      </c>
      <c r="G1007" s="4">
        <v>0</v>
      </c>
      <c r="H1007" s="4">
        <v>-0.6</v>
      </c>
      <c r="I1007" s="4">
        <v>-3.2</v>
      </c>
      <c r="J1007" s="4">
        <v>1.7</v>
      </c>
    </row>
    <row r="1008" spans="1:10" x14ac:dyDescent="0.35">
      <c r="A1008" s="3" t="s">
        <v>2028</v>
      </c>
      <c r="B1008" s="3" t="s">
        <v>2029</v>
      </c>
      <c r="C1008" s="4" t="s">
        <v>65</v>
      </c>
      <c r="D1008" s="4">
        <v>14.8</v>
      </c>
      <c r="E1008" s="4">
        <v>13</v>
      </c>
      <c r="F1008" s="4">
        <v>0</v>
      </c>
      <c r="G1008" s="4">
        <v>0</v>
      </c>
      <c r="H1008" s="4">
        <v>-1.7</v>
      </c>
      <c r="I1008" s="4">
        <v>-11.7</v>
      </c>
      <c r="J1008" s="4">
        <v>1.1000000000000001</v>
      </c>
    </row>
    <row r="1009" spans="1:10" x14ac:dyDescent="0.35">
      <c r="A1009" s="3" t="s">
        <v>2030</v>
      </c>
      <c r="B1009" s="3" t="s">
        <v>2031</v>
      </c>
      <c r="C1009" s="4" t="s">
        <v>65</v>
      </c>
      <c r="D1009" s="4">
        <v>32.200000000000003</v>
      </c>
      <c r="E1009" s="4">
        <v>31.5</v>
      </c>
      <c r="F1009" s="4">
        <v>0</v>
      </c>
      <c r="G1009" s="4">
        <v>0</v>
      </c>
      <c r="H1009" s="4">
        <v>-0.7</v>
      </c>
      <c r="I1009" s="4">
        <v>-2.2999999999999998</v>
      </c>
      <c r="J1009" s="4">
        <v>2.8</v>
      </c>
    </row>
    <row r="1010" spans="1:10" x14ac:dyDescent="0.35">
      <c r="A1010" s="3" t="s">
        <v>2032</v>
      </c>
      <c r="B1010" s="3" t="s">
        <v>2033</v>
      </c>
      <c r="C1010" s="4" t="s">
        <v>65</v>
      </c>
      <c r="D1010" s="4">
        <v>15.9</v>
      </c>
      <c r="E1010" s="4">
        <v>15.9</v>
      </c>
      <c r="F1010" s="4">
        <v>0</v>
      </c>
      <c r="G1010" s="4">
        <v>0</v>
      </c>
      <c r="H1010" s="4">
        <v>0</v>
      </c>
      <c r="I1010" s="4">
        <v>-0.2</v>
      </c>
      <c r="J1010" s="4">
        <v>1.4</v>
      </c>
    </row>
    <row r="1011" spans="1:10" x14ac:dyDescent="0.35">
      <c r="A1011" s="3" t="s">
        <v>2034</v>
      </c>
      <c r="B1011" s="3" t="s">
        <v>2035</v>
      </c>
      <c r="C1011" s="4" t="s">
        <v>60</v>
      </c>
      <c r="D1011" s="4">
        <v>2655.3</v>
      </c>
      <c r="E1011" s="4">
        <v>2603.9</v>
      </c>
      <c r="F1011" s="4">
        <v>1.6</v>
      </c>
      <c r="G1011" s="4">
        <v>1.5</v>
      </c>
      <c r="H1011" s="4">
        <v>-51.4</v>
      </c>
      <c r="I1011" s="4">
        <v>-1.9</v>
      </c>
      <c r="J1011" s="4">
        <v>282.10000000000002</v>
      </c>
    </row>
    <row r="1012" spans="1:10" x14ac:dyDescent="0.35">
      <c r="A1012" s="3" t="s">
        <v>2036</v>
      </c>
      <c r="B1012" s="3" t="s">
        <v>2037</v>
      </c>
      <c r="C1012" s="4" t="s">
        <v>60</v>
      </c>
      <c r="D1012" s="4">
        <v>175.9</v>
      </c>
      <c r="E1012" s="4">
        <v>171.2</v>
      </c>
      <c r="F1012" s="4">
        <v>0.1</v>
      </c>
      <c r="G1012" s="4">
        <v>0.1</v>
      </c>
      <c r="H1012" s="4">
        <v>-4.5999999999999996</v>
      </c>
      <c r="I1012" s="4">
        <v>-2.6</v>
      </c>
      <c r="J1012" s="4">
        <v>15.6</v>
      </c>
    </row>
    <row r="1013" spans="1:10" x14ac:dyDescent="0.35">
      <c r="A1013" s="3" t="s">
        <v>2038</v>
      </c>
      <c r="B1013" s="3" t="s">
        <v>2039</v>
      </c>
      <c r="C1013" s="4" t="s">
        <v>65</v>
      </c>
      <c r="D1013" s="4">
        <v>120.2</v>
      </c>
      <c r="E1013" s="4">
        <v>113.7</v>
      </c>
      <c r="F1013" s="4">
        <v>0.1</v>
      </c>
      <c r="G1013" s="4">
        <v>0.1</v>
      </c>
      <c r="H1013" s="4">
        <v>-6.6</v>
      </c>
      <c r="I1013" s="4">
        <v>-5.5</v>
      </c>
      <c r="J1013" s="4">
        <v>10.199999999999999</v>
      </c>
    </row>
    <row r="1014" spans="1:10" x14ac:dyDescent="0.35">
      <c r="A1014" s="3" t="s">
        <v>2040</v>
      </c>
      <c r="B1014" s="3" t="s">
        <v>2041</v>
      </c>
      <c r="C1014" s="4" t="s">
        <v>65</v>
      </c>
      <c r="D1014" s="4">
        <v>55.6</v>
      </c>
      <c r="E1014" s="4">
        <v>57.6</v>
      </c>
      <c r="F1014" s="4">
        <v>0</v>
      </c>
      <c r="G1014" s="4">
        <v>0</v>
      </c>
      <c r="H1014" s="4">
        <v>1.9</v>
      </c>
      <c r="I1014" s="4">
        <v>3.4</v>
      </c>
      <c r="J1014" s="4">
        <v>5.4</v>
      </c>
    </row>
    <row r="1015" spans="1:10" x14ac:dyDescent="0.35">
      <c r="A1015" s="3" t="s">
        <v>2042</v>
      </c>
      <c r="B1015" s="3" t="s">
        <v>2043</v>
      </c>
      <c r="C1015" s="4" t="s">
        <v>60</v>
      </c>
      <c r="D1015" s="4">
        <v>157.30000000000001</v>
      </c>
      <c r="E1015" s="4">
        <v>155.19999999999999</v>
      </c>
      <c r="F1015" s="4">
        <v>0.1</v>
      </c>
      <c r="G1015" s="4">
        <v>0.1</v>
      </c>
      <c r="H1015" s="4">
        <v>-2.1</v>
      </c>
      <c r="I1015" s="4">
        <v>-1.3</v>
      </c>
      <c r="J1015" s="4">
        <v>15.7</v>
      </c>
    </row>
    <row r="1016" spans="1:10" x14ac:dyDescent="0.35">
      <c r="A1016" s="3" t="s">
        <v>2044</v>
      </c>
      <c r="B1016" s="3" t="s">
        <v>2045</v>
      </c>
      <c r="C1016" s="4" t="s">
        <v>65</v>
      </c>
      <c r="D1016" s="4">
        <v>28.8</v>
      </c>
      <c r="E1016" s="4">
        <v>27.8</v>
      </c>
      <c r="F1016" s="4">
        <v>0</v>
      </c>
      <c r="G1016" s="4">
        <v>0</v>
      </c>
      <c r="H1016" s="4">
        <v>-1</v>
      </c>
      <c r="I1016" s="4">
        <v>-3.5</v>
      </c>
      <c r="J1016" s="4">
        <v>2.8</v>
      </c>
    </row>
    <row r="1017" spans="1:10" x14ac:dyDescent="0.35">
      <c r="A1017" s="3" t="s">
        <v>2046</v>
      </c>
      <c r="B1017" s="3" t="s">
        <v>2047</v>
      </c>
      <c r="C1017" s="4" t="s">
        <v>65</v>
      </c>
      <c r="D1017" s="4">
        <v>14.5</v>
      </c>
      <c r="E1017" s="4">
        <v>11.7</v>
      </c>
      <c r="F1017" s="4">
        <v>0</v>
      </c>
      <c r="G1017" s="4">
        <v>0</v>
      </c>
      <c r="H1017" s="4">
        <v>-2.8</v>
      </c>
      <c r="I1017" s="4">
        <v>-19.5</v>
      </c>
      <c r="J1017" s="4">
        <v>1</v>
      </c>
    </row>
    <row r="1018" spans="1:10" x14ac:dyDescent="0.35">
      <c r="A1018" s="3" t="s">
        <v>2048</v>
      </c>
      <c r="B1018" s="3" t="s">
        <v>2049</v>
      </c>
      <c r="C1018" s="4" t="s">
        <v>65</v>
      </c>
      <c r="D1018" s="4">
        <v>114</v>
      </c>
      <c r="E1018" s="4">
        <v>115.8</v>
      </c>
      <c r="F1018" s="4">
        <v>0.1</v>
      </c>
      <c r="G1018" s="4">
        <v>0.1</v>
      </c>
      <c r="H1018" s="4">
        <v>1.7</v>
      </c>
      <c r="I1018" s="4">
        <v>1.5</v>
      </c>
      <c r="J1018" s="4">
        <v>11.8</v>
      </c>
    </row>
    <row r="1019" spans="1:10" x14ac:dyDescent="0.35">
      <c r="A1019" s="3" t="s">
        <v>2050</v>
      </c>
      <c r="B1019" s="3" t="s">
        <v>2051</v>
      </c>
      <c r="C1019" s="4" t="s">
        <v>60</v>
      </c>
      <c r="D1019" s="4">
        <v>64</v>
      </c>
      <c r="E1019" s="4">
        <v>59.4</v>
      </c>
      <c r="F1019" s="4">
        <v>0</v>
      </c>
      <c r="G1019" s="4">
        <v>0</v>
      </c>
      <c r="H1019" s="4">
        <v>-4.5999999999999996</v>
      </c>
      <c r="I1019" s="4">
        <v>-7.2</v>
      </c>
      <c r="J1019" s="4">
        <v>6.1</v>
      </c>
    </row>
    <row r="1020" spans="1:10" x14ac:dyDescent="0.35">
      <c r="A1020" s="3" t="s">
        <v>2052</v>
      </c>
      <c r="B1020" s="3" t="s">
        <v>2053</v>
      </c>
      <c r="C1020" s="4" t="s">
        <v>65</v>
      </c>
      <c r="D1020" s="4">
        <v>8.3000000000000007</v>
      </c>
      <c r="E1020" s="4">
        <v>5.9</v>
      </c>
      <c r="F1020" s="4">
        <v>0</v>
      </c>
      <c r="G1020" s="4">
        <v>0</v>
      </c>
      <c r="H1020" s="4">
        <v>-2.2999999999999998</v>
      </c>
      <c r="I1020" s="4">
        <v>-28.2</v>
      </c>
      <c r="J1020" s="4">
        <v>0.5</v>
      </c>
    </row>
    <row r="1021" spans="1:10" x14ac:dyDescent="0.35">
      <c r="A1021" s="3" t="s">
        <v>2054</v>
      </c>
      <c r="B1021" s="3" t="s">
        <v>2055</v>
      </c>
      <c r="C1021" s="4" t="s">
        <v>65</v>
      </c>
      <c r="D1021" s="4">
        <v>55.8</v>
      </c>
      <c r="E1021" s="4">
        <v>53.4</v>
      </c>
      <c r="F1021" s="4">
        <v>0</v>
      </c>
      <c r="G1021" s="4">
        <v>0</v>
      </c>
      <c r="H1021" s="4">
        <v>-2.2999999999999998</v>
      </c>
      <c r="I1021" s="4">
        <v>-4.0999999999999996</v>
      </c>
      <c r="J1021" s="4">
        <v>5.6</v>
      </c>
    </row>
    <row r="1022" spans="1:10" x14ac:dyDescent="0.35">
      <c r="A1022" s="3" t="s">
        <v>2056</v>
      </c>
      <c r="B1022" s="3" t="s">
        <v>2057</v>
      </c>
      <c r="C1022" s="4" t="s">
        <v>65</v>
      </c>
      <c r="D1022" s="4">
        <v>60</v>
      </c>
      <c r="E1022" s="4">
        <v>59.2</v>
      </c>
      <c r="F1022" s="4">
        <v>0</v>
      </c>
      <c r="G1022" s="4">
        <v>0</v>
      </c>
      <c r="H1022" s="4">
        <v>-0.8</v>
      </c>
      <c r="I1022" s="4">
        <v>-1.3</v>
      </c>
      <c r="J1022" s="4">
        <v>5.8</v>
      </c>
    </row>
    <row r="1023" spans="1:10" x14ac:dyDescent="0.35">
      <c r="A1023" s="3" t="s">
        <v>2058</v>
      </c>
      <c r="B1023" s="3" t="s">
        <v>2059</v>
      </c>
      <c r="C1023" s="4" t="s">
        <v>65</v>
      </c>
      <c r="D1023" s="4">
        <v>16.2</v>
      </c>
      <c r="E1023" s="4">
        <v>16.2</v>
      </c>
      <c r="F1023" s="4">
        <v>0</v>
      </c>
      <c r="G1023" s="4">
        <v>0</v>
      </c>
      <c r="H1023" s="4">
        <v>0.1</v>
      </c>
      <c r="I1023" s="4">
        <v>0.4</v>
      </c>
      <c r="J1023" s="4">
        <v>1.8</v>
      </c>
    </row>
    <row r="1024" spans="1:10" x14ac:dyDescent="0.35">
      <c r="A1024" s="3" t="s">
        <v>2060</v>
      </c>
      <c r="B1024" s="3" t="s">
        <v>2061</v>
      </c>
      <c r="C1024" s="4" t="s">
        <v>65</v>
      </c>
      <c r="D1024" s="4">
        <v>595.4</v>
      </c>
      <c r="E1024" s="4">
        <v>572.4</v>
      </c>
      <c r="F1024" s="4">
        <v>0.4</v>
      </c>
      <c r="G1024" s="4">
        <v>0.3</v>
      </c>
      <c r="H1024" s="4">
        <v>-23</v>
      </c>
      <c r="I1024" s="4">
        <v>-3.9</v>
      </c>
      <c r="J1024" s="4">
        <v>64.3</v>
      </c>
    </row>
    <row r="1025" spans="1:10" x14ac:dyDescent="0.35">
      <c r="A1025" s="3" t="s">
        <v>2062</v>
      </c>
      <c r="B1025" s="3" t="s">
        <v>2063</v>
      </c>
      <c r="C1025" s="4" t="s">
        <v>65</v>
      </c>
      <c r="D1025" s="4">
        <v>47.2</v>
      </c>
      <c r="E1025" s="4">
        <v>45.8</v>
      </c>
      <c r="F1025" s="4">
        <v>0</v>
      </c>
      <c r="G1025" s="4">
        <v>0</v>
      </c>
      <c r="H1025" s="4">
        <v>-1.4</v>
      </c>
      <c r="I1025" s="4">
        <v>-2.9</v>
      </c>
      <c r="J1025" s="4">
        <v>6.1</v>
      </c>
    </row>
    <row r="1026" spans="1:10" x14ac:dyDescent="0.35">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35">
      <c r="A1027" s="3" t="s">
        <v>2066</v>
      </c>
      <c r="B1027" s="3" t="s">
        <v>2067</v>
      </c>
      <c r="C1027" s="4" t="s">
        <v>65</v>
      </c>
      <c r="D1027" s="4">
        <v>35.4</v>
      </c>
      <c r="E1027" s="4">
        <v>33.799999999999997</v>
      </c>
      <c r="F1027" s="4">
        <v>0</v>
      </c>
      <c r="G1027" s="4">
        <v>0</v>
      </c>
      <c r="H1027" s="4">
        <v>-1.6</v>
      </c>
      <c r="I1027" s="4">
        <v>-4.5</v>
      </c>
      <c r="J1027" s="4">
        <v>3.8</v>
      </c>
    </row>
    <row r="1028" spans="1:10" x14ac:dyDescent="0.35">
      <c r="A1028" s="3" t="s">
        <v>2068</v>
      </c>
      <c r="B1028" s="3" t="s">
        <v>2069</v>
      </c>
      <c r="C1028" s="4" t="s">
        <v>65</v>
      </c>
      <c r="D1028" s="4">
        <v>16.600000000000001</v>
      </c>
      <c r="E1028" s="4">
        <v>17.100000000000001</v>
      </c>
      <c r="F1028" s="4">
        <v>0</v>
      </c>
      <c r="G1028" s="4">
        <v>0</v>
      </c>
      <c r="H1028" s="4">
        <v>0.4</v>
      </c>
      <c r="I1028" s="4">
        <v>2.5</v>
      </c>
      <c r="J1028" s="4">
        <v>2</v>
      </c>
    </row>
    <row r="1029" spans="1:10" x14ac:dyDescent="0.35">
      <c r="A1029" s="3" t="s">
        <v>2070</v>
      </c>
      <c r="B1029" s="3" t="s">
        <v>2071</v>
      </c>
      <c r="C1029" s="4" t="s">
        <v>65</v>
      </c>
      <c r="D1029" s="4">
        <v>21.3</v>
      </c>
      <c r="E1029" s="4">
        <v>21.6</v>
      </c>
      <c r="F1029" s="4">
        <v>0</v>
      </c>
      <c r="G1029" s="4">
        <v>0</v>
      </c>
      <c r="H1029" s="4">
        <v>0.2</v>
      </c>
      <c r="I1029" s="4">
        <v>1.1000000000000001</v>
      </c>
      <c r="J1029" s="4">
        <v>2.5</v>
      </c>
    </row>
    <row r="1030" spans="1:10" x14ac:dyDescent="0.35">
      <c r="A1030" s="3" t="s">
        <v>2072</v>
      </c>
      <c r="B1030" s="3" t="s">
        <v>2073</v>
      </c>
      <c r="C1030" s="4" t="s">
        <v>65</v>
      </c>
      <c r="D1030" s="4">
        <v>373.2</v>
      </c>
      <c r="E1030" s="4">
        <v>390.5</v>
      </c>
      <c r="F1030" s="4">
        <v>0.2</v>
      </c>
      <c r="G1030" s="4">
        <v>0.2</v>
      </c>
      <c r="H1030" s="4">
        <v>17.3</v>
      </c>
      <c r="I1030" s="4">
        <v>4.5999999999999996</v>
      </c>
      <c r="J1030" s="4">
        <v>42.4</v>
      </c>
    </row>
    <row r="1031" spans="1:10" x14ac:dyDescent="0.35">
      <c r="A1031" s="3" t="s">
        <v>2074</v>
      </c>
      <c r="B1031" s="3" t="s">
        <v>2075</v>
      </c>
      <c r="C1031" s="4" t="s">
        <v>60</v>
      </c>
      <c r="D1031" s="4">
        <v>185.9</v>
      </c>
      <c r="E1031" s="4">
        <v>186.9</v>
      </c>
      <c r="F1031" s="4">
        <v>0.1</v>
      </c>
      <c r="G1031" s="4">
        <v>0.1</v>
      </c>
      <c r="H1031" s="4">
        <v>1</v>
      </c>
      <c r="I1031" s="4">
        <v>0.5</v>
      </c>
      <c r="J1031" s="4">
        <v>16.7</v>
      </c>
    </row>
    <row r="1032" spans="1:10" x14ac:dyDescent="0.35">
      <c r="A1032" s="3" t="s">
        <v>2076</v>
      </c>
      <c r="B1032" s="3" t="s">
        <v>2077</v>
      </c>
      <c r="C1032" s="4" t="s">
        <v>65</v>
      </c>
      <c r="D1032" s="4">
        <v>13.5</v>
      </c>
      <c r="E1032" s="4">
        <v>13.5</v>
      </c>
      <c r="F1032" s="4">
        <v>0</v>
      </c>
      <c r="G1032" s="4">
        <v>0</v>
      </c>
      <c r="H1032" s="4">
        <v>0</v>
      </c>
      <c r="I1032" s="4">
        <v>0.1</v>
      </c>
      <c r="J1032" s="4">
        <v>1.2</v>
      </c>
    </row>
    <row r="1033" spans="1:10" x14ac:dyDescent="0.35">
      <c r="A1033" s="3" t="s">
        <v>2078</v>
      </c>
      <c r="B1033" s="3" t="s">
        <v>2079</v>
      </c>
      <c r="C1033" s="4" t="s">
        <v>65</v>
      </c>
      <c r="D1033" s="4">
        <v>172.4</v>
      </c>
      <c r="E1033" s="4">
        <v>173.4</v>
      </c>
      <c r="F1033" s="4">
        <v>0.1</v>
      </c>
      <c r="G1033" s="4">
        <v>0.1</v>
      </c>
      <c r="H1033" s="4">
        <v>1</v>
      </c>
      <c r="I1033" s="4">
        <v>0.6</v>
      </c>
      <c r="J1033" s="4">
        <v>15.5</v>
      </c>
    </row>
    <row r="1034" spans="1:10" x14ac:dyDescent="0.35">
      <c r="A1034" s="3" t="s">
        <v>2080</v>
      </c>
      <c r="B1034" s="3" t="s">
        <v>2081</v>
      </c>
      <c r="C1034" s="4" t="s">
        <v>65</v>
      </c>
      <c r="D1034" s="4">
        <v>24.6</v>
      </c>
      <c r="E1034" s="4">
        <v>26.6</v>
      </c>
      <c r="F1034" s="4">
        <v>0</v>
      </c>
      <c r="G1034" s="4">
        <v>0</v>
      </c>
      <c r="H1034" s="4">
        <v>2</v>
      </c>
      <c r="I1034" s="4">
        <v>8</v>
      </c>
      <c r="J1034" s="4">
        <v>2.9</v>
      </c>
    </row>
    <row r="1035" spans="1:10" x14ac:dyDescent="0.35">
      <c r="A1035" s="3" t="s">
        <v>2082</v>
      </c>
      <c r="B1035" s="3" t="s">
        <v>2083</v>
      </c>
      <c r="C1035" s="4" t="s">
        <v>65</v>
      </c>
      <c r="D1035" s="4">
        <v>6.4</v>
      </c>
      <c r="E1035" s="4">
        <v>5.6</v>
      </c>
      <c r="F1035" s="4">
        <v>0</v>
      </c>
      <c r="G1035" s="4">
        <v>0</v>
      </c>
      <c r="H1035" s="4">
        <v>-0.8</v>
      </c>
      <c r="I1035" s="4">
        <v>-12.5</v>
      </c>
      <c r="J1035" s="4">
        <v>0.7</v>
      </c>
    </row>
    <row r="1036" spans="1:10" x14ac:dyDescent="0.35">
      <c r="A1036" s="3" t="s">
        <v>2084</v>
      </c>
      <c r="B1036" s="3" t="s">
        <v>2085</v>
      </c>
      <c r="C1036" s="4" t="s">
        <v>60</v>
      </c>
      <c r="D1036" s="4">
        <v>210.3</v>
      </c>
      <c r="E1036" s="4">
        <v>200.2</v>
      </c>
      <c r="F1036" s="4">
        <v>0.1</v>
      </c>
      <c r="G1036" s="4">
        <v>0.1</v>
      </c>
      <c r="H1036" s="4">
        <v>-10.1</v>
      </c>
      <c r="I1036" s="4">
        <v>-4.8</v>
      </c>
      <c r="J1036" s="4">
        <v>17.5</v>
      </c>
    </row>
    <row r="1037" spans="1:10" x14ac:dyDescent="0.35">
      <c r="A1037" s="3" t="s">
        <v>2086</v>
      </c>
      <c r="B1037" s="3" t="s">
        <v>2087</v>
      </c>
      <c r="C1037" s="4" t="s">
        <v>65</v>
      </c>
      <c r="D1037" s="4">
        <v>181.8</v>
      </c>
      <c r="E1037" s="4">
        <v>167.2</v>
      </c>
      <c r="F1037" s="4">
        <v>0.1</v>
      </c>
      <c r="G1037" s="4">
        <v>0.1</v>
      </c>
      <c r="H1037" s="4">
        <v>-14.6</v>
      </c>
      <c r="I1037" s="4">
        <v>-8.1</v>
      </c>
      <c r="J1037" s="4">
        <v>14.3</v>
      </c>
    </row>
    <row r="1038" spans="1:10" x14ac:dyDescent="0.35">
      <c r="A1038" s="3" t="s">
        <v>2088</v>
      </c>
      <c r="B1038" s="3" t="s">
        <v>2089</v>
      </c>
      <c r="C1038" s="4" t="s">
        <v>65</v>
      </c>
      <c r="D1038" s="4">
        <v>28.5</v>
      </c>
      <c r="E1038" s="4">
        <v>33</v>
      </c>
      <c r="F1038" s="4">
        <v>0</v>
      </c>
      <c r="G1038" s="4">
        <v>0</v>
      </c>
      <c r="H1038" s="4">
        <v>4.5999999999999996</v>
      </c>
      <c r="I1038" s="4">
        <v>16</v>
      </c>
      <c r="J1038" s="4">
        <v>3.2</v>
      </c>
    </row>
    <row r="1039" spans="1:10" x14ac:dyDescent="0.35">
      <c r="A1039" s="3" t="s">
        <v>2090</v>
      </c>
      <c r="B1039" s="3" t="s">
        <v>2091</v>
      </c>
      <c r="C1039" s="4" t="s">
        <v>60</v>
      </c>
      <c r="D1039" s="4">
        <v>665.6</v>
      </c>
      <c r="E1039" s="4">
        <v>642.29999999999995</v>
      </c>
      <c r="F1039" s="4">
        <v>0.4</v>
      </c>
      <c r="G1039" s="4">
        <v>0.4</v>
      </c>
      <c r="H1039" s="4">
        <v>-23.3</v>
      </c>
      <c r="I1039" s="4">
        <v>-3.5</v>
      </c>
      <c r="J1039" s="4">
        <v>78.099999999999994</v>
      </c>
    </row>
    <row r="1040" spans="1:10" x14ac:dyDescent="0.35">
      <c r="A1040" s="3" t="s">
        <v>2092</v>
      </c>
      <c r="B1040" s="3" t="s">
        <v>2093</v>
      </c>
      <c r="C1040" s="4" t="s">
        <v>65</v>
      </c>
      <c r="D1040" s="4">
        <v>11.4</v>
      </c>
      <c r="E1040" s="4">
        <v>11.2</v>
      </c>
      <c r="F1040" s="4">
        <v>0</v>
      </c>
      <c r="G1040" s="4">
        <v>0</v>
      </c>
      <c r="H1040" s="4">
        <v>-0.3</v>
      </c>
      <c r="I1040" s="4">
        <v>-2.2000000000000002</v>
      </c>
      <c r="J1040" s="4">
        <v>1</v>
      </c>
    </row>
    <row r="1041" spans="1:10" x14ac:dyDescent="0.35">
      <c r="A1041" s="3" t="s">
        <v>2094</v>
      </c>
      <c r="B1041" s="3" t="s">
        <v>2095</v>
      </c>
      <c r="C1041" s="4" t="s">
        <v>65</v>
      </c>
      <c r="D1041" s="4">
        <v>14</v>
      </c>
      <c r="E1041" s="4">
        <v>14.5</v>
      </c>
      <c r="F1041" s="4">
        <v>0</v>
      </c>
      <c r="G1041" s="4">
        <v>0</v>
      </c>
      <c r="H1041" s="4">
        <v>0.5</v>
      </c>
      <c r="I1041" s="4">
        <v>3.8</v>
      </c>
      <c r="J1041" s="4">
        <v>1.6</v>
      </c>
    </row>
    <row r="1042" spans="1:10" x14ac:dyDescent="0.35">
      <c r="A1042" s="3" t="s">
        <v>2096</v>
      </c>
      <c r="B1042" s="3" t="s">
        <v>2097</v>
      </c>
      <c r="C1042" s="4" t="s">
        <v>65</v>
      </c>
      <c r="D1042" s="4">
        <v>7.1</v>
      </c>
      <c r="E1042" s="4">
        <v>7.4</v>
      </c>
      <c r="F1042" s="4">
        <v>0</v>
      </c>
      <c r="G1042" s="4">
        <v>0</v>
      </c>
      <c r="H1042" s="4">
        <v>0.4</v>
      </c>
      <c r="I1042" s="4">
        <v>5.0999999999999996</v>
      </c>
      <c r="J1042" s="4">
        <v>0.8</v>
      </c>
    </row>
    <row r="1043" spans="1:10" x14ac:dyDescent="0.35">
      <c r="A1043" s="3" t="s">
        <v>2098</v>
      </c>
      <c r="B1043" s="3" t="s">
        <v>2099</v>
      </c>
      <c r="C1043" s="4" t="s">
        <v>65</v>
      </c>
      <c r="D1043" s="4">
        <v>8.5</v>
      </c>
      <c r="E1043" s="4">
        <v>8.4</v>
      </c>
      <c r="F1043" s="4">
        <v>0</v>
      </c>
      <c r="G1043" s="4">
        <v>0</v>
      </c>
      <c r="H1043" s="4">
        <v>0</v>
      </c>
      <c r="I1043" s="4">
        <v>-0.2</v>
      </c>
      <c r="J1043" s="4">
        <v>1.3</v>
      </c>
    </row>
    <row r="1044" spans="1:10" x14ac:dyDescent="0.35">
      <c r="A1044" s="3" t="s">
        <v>2100</v>
      </c>
      <c r="B1044" s="3" t="s">
        <v>2101</v>
      </c>
      <c r="C1044" s="4" t="s">
        <v>65</v>
      </c>
      <c r="D1044" s="4">
        <v>44.7</v>
      </c>
      <c r="E1044" s="4">
        <v>45.8</v>
      </c>
      <c r="F1044" s="4">
        <v>0</v>
      </c>
      <c r="G1044" s="4">
        <v>0</v>
      </c>
      <c r="H1044" s="4">
        <v>1.1000000000000001</v>
      </c>
      <c r="I1044" s="4">
        <v>2.4</v>
      </c>
      <c r="J1044" s="4">
        <v>5.8</v>
      </c>
    </row>
    <row r="1045" spans="1:10" x14ac:dyDescent="0.35">
      <c r="A1045" s="3" t="s">
        <v>2102</v>
      </c>
      <c r="B1045" s="3" t="s">
        <v>2103</v>
      </c>
      <c r="C1045" s="4" t="s">
        <v>65</v>
      </c>
      <c r="D1045" s="4">
        <v>92.7</v>
      </c>
      <c r="E1045" s="4">
        <v>82.5</v>
      </c>
      <c r="F1045" s="4">
        <v>0.1</v>
      </c>
      <c r="G1045" s="4">
        <v>0</v>
      </c>
      <c r="H1045" s="4">
        <v>-10.199999999999999</v>
      </c>
      <c r="I1045" s="4">
        <v>-11</v>
      </c>
      <c r="J1045" s="4">
        <v>8.8000000000000007</v>
      </c>
    </row>
    <row r="1046" spans="1:10" x14ac:dyDescent="0.35">
      <c r="A1046" s="3" t="s">
        <v>2104</v>
      </c>
      <c r="B1046" s="3" t="s">
        <v>2105</v>
      </c>
      <c r="C1046" s="4" t="s">
        <v>65</v>
      </c>
      <c r="D1046" s="4">
        <v>18.899999999999999</v>
      </c>
      <c r="E1046" s="4">
        <v>18.100000000000001</v>
      </c>
      <c r="F1046" s="4">
        <v>0</v>
      </c>
      <c r="G1046" s="4">
        <v>0</v>
      </c>
      <c r="H1046" s="4">
        <v>-0.8</v>
      </c>
      <c r="I1046" s="4">
        <v>-4.3</v>
      </c>
      <c r="J1046" s="4">
        <v>1.8</v>
      </c>
    </row>
    <row r="1047" spans="1:10" x14ac:dyDescent="0.35">
      <c r="A1047" s="3" t="s">
        <v>2106</v>
      </c>
      <c r="B1047" s="3" t="s">
        <v>2107</v>
      </c>
      <c r="C1047" s="4" t="s">
        <v>65</v>
      </c>
      <c r="D1047" s="4">
        <v>193</v>
      </c>
      <c r="E1047" s="4">
        <v>175.1</v>
      </c>
      <c r="F1047" s="4">
        <v>0.1</v>
      </c>
      <c r="G1047" s="4">
        <v>0.1</v>
      </c>
      <c r="H1047" s="4">
        <v>-17.899999999999999</v>
      </c>
      <c r="I1047" s="4">
        <v>-9.3000000000000007</v>
      </c>
      <c r="J1047" s="4">
        <v>26.9</v>
      </c>
    </row>
    <row r="1048" spans="1:10" x14ac:dyDescent="0.35">
      <c r="A1048" s="3" t="s">
        <v>2108</v>
      </c>
      <c r="B1048" s="3" t="s">
        <v>2109</v>
      </c>
      <c r="C1048" s="4" t="s">
        <v>65</v>
      </c>
      <c r="D1048" s="4">
        <v>275.3</v>
      </c>
      <c r="E1048" s="4">
        <v>279.2</v>
      </c>
      <c r="F1048" s="4">
        <v>0.2</v>
      </c>
      <c r="G1048" s="4">
        <v>0.2</v>
      </c>
      <c r="H1048" s="4">
        <v>3.9</v>
      </c>
      <c r="I1048" s="4">
        <v>1.4</v>
      </c>
      <c r="J1048" s="4">
        <v>30.1</v>
      </c>
    </row>
    <row r="1049" spans="1:10" x14ac:dyDescent="0.35">
      <c r="A1049" s="3" t="s">
        <v>50</v>
      </c>
      <c r="B1049" s="3" t="s">
        <v>51</v>
      </c>
      <c r="C1049" s="4" t="s">
        <v>60</v>
      </c>
      <c r="D1049" s="4">
        <v>14302.8</v>
      </c>
      <c r="E1049" s="4">
        <v>15082.2</v>
      </c>
      <c r="F1049" s="4">
        <v>8.6999999999999993</v>
      </c>
      <c r="G1049" s="4">
        <v>8.9</v>
      </c>
      <c r="H1049" s="4">
        <v>779.4</v>
      </c>
      <c r="I1049" s="4">
        <v>5.4</v>
      </c>
      <c r="J1049" s="4">
        <v>1920.8</v>
      </c>
    </row>
    <row r="1050" spans="1:10" x14ac:dyDescent="0.35">
      <c r="A1050" s="3" t="s">
        <v>2110</v>
      </c>
      <c r="B1050" s="3" t="s">
        <v>2111</v>
      </c>
      <c r="C1050" s="4" t="s">
        <v>60</v>
      </c>
      <c r="D1050" s="4">
        <v>609.1</v>
      </c>
      <c r="E1050" s="4">
        <v>637.9</v>
      </c>
      <c r="F1050" s="4">
        <v>0.4</v>
      </c>
      <c r="G1050" s="4">
        <v>0.4</v>
      </c>
      <c r="H1050" s="4">
        <v>28.8</v>
      </c>
      <c r="I1050" s="4">
        <v>4.7</v>
      </c>
      <c r="J1050" s="4">
        <v>64.8</v>
      </c>
    </row>
    <row r="1051" spans="1:10" x14ac:dyDescent="0.35">
      <c r="A1051" s="3" t="s">
        <v>2112</v>
      </c>
      <c r="B1051" s="3" t="s">
        <v>2113</v>
      </c>
      <c r="C1051" s="4" t="s">
        <v>65</v>
      </c>
      <c r="D1051" s="4">
        <v>8</v>
      </c>
      <c r="E1051" s="4">
        <v>8.6999999999999993</v>
      </c>
      <c r="F1051" s="4">
        <v>0</v>
      </c>
      <c r="G1051" s="4">
        <v>0</v>
      </c>
      <c r="H1051" s="4">
        <v>0.7</v>
      </c>
      <c r="I1051" s="4">
        <v>8.6</v>
      </c>
      <c r="J1051" s="4">
        <v>0.9</v>
      </c>
    </row>
    <row r="1052" spans="1:10" x14ac:dyDescent="0.35">
      <c r="A1052" s="3" t="s">
        <v>2114</v>
      </c>
      <c r="B1052" s="3" t="s">
        <v>2115</v>
      </c>
      <c r="C1052" s="4" t="s">
        <v>65</v>
      </c>
      <c r="D1052" s="4">
        <v>601.1</v>
      </c>
      <c r="E1052" s="4">
        <v>629.20000000000005</v>
      </c>
      <c r="F1052" s="4">
        <v>0.4</v>
      </c>
      <c r="G1052" s="4">
        <v>0.4</v>
      </c>
      <c r="H1052" s="4">
        <v>28.1</v>
      </c>
      <c r="I1052" s="4">
        <v>4.7</v>
      </c>
      <c r="J1052" s="4">
        <v>63.9</v>
      </c>
    </row>
    <row r="1053" spans="1:10" x14ac:dyDescent="0.35">
      <c r="A1053" s="3" t="s">
        <v>2116</v>
      </c>
      <c r="B1053" s="3" t="s">
        <v>2117</v>
      </c>
      <c r="C1053" s="4" t="s">
        <v>60</v>
      </c>
      <c r="D1053" s="4">
        <v>291.7</v>
      </c>
      <c r="E1053" s="4">
        <v>311</v>
      </c>
      <c r="F1053" s="4">
        <v>0.2</v>
      </c>
      <c r="G1053" s="4">
        <v>0.2</v>
      </c>
      <c r="H1053" s="4">
        <v>19.3</v>
      </c>
      <c r="I1053" s="4">
        <v>6.6</v>
      </c>
      <c r="J1053" s="4">
        <v>36.9</v>
      </c>
    </row>
    <row r="1054" spans="1:10" x14ac:dyDescent="0.35">
      <c r="A1054" s="3" t="s">
        <v>2118</v>
      </c>
      <c r="B1054" s="3" t="s">
        <v>2119</v>
      </c>
      <c r="C1054" s="4" t="s">
        <v>60</v>
      </c>
      <c r="D1054" s="4">
        <v>142.6</v>
      </c>
      <c r="E1054" s="4">
        <v>148.1</v>
      </c>
      <c r="F1054" s="4">
        <v>0.1</v>
      </c>
      <c r="G1054" s="4">
        <v>0.1</v>
      </c>
      <c r="H1054" s="4">
        <v>5.6</v>
      </c>
      <c r="I1054" s="4">
        <v>3.9</v>
      </c>
      <c r="J1054" s="4">
        <v>16.8</v>
      </c>
    </row>
    <row r="1055" spans="1:10" x14ac:dyDescent="0.35">
      <c r="A1055" s="3" t="s">
        <v>2120</v>
      </c>
      <c r="B1055" s="3" t="s">
        <v>2121</v>
      </c>
      <c r="C1055" s="4" t="s">
        <v>65</v>
      </c>
      <c r="D1055" s="4">
        <v>91.7</v>
      </c>
      <c r="E1055" s="4">
        <v>95.2</v>
      </c>
      <c r="F1055" s="4">
        <v>0.1</v>
      </c>
      <c r="G1055" s="4">
        <v>0.1</v>
      </c>
      <c r="H1055" s="4">
        <v>3.5</v>
      </c>
      <c r="I1055" s="4">
        <v>3.9</v>
      </c>
      <c r="J1055" s="4">
        <v>10.8</v>
      </c>
    </row>
    <row r="1056" spans="1:10" x14ac:dyDescent="0.35">
      <c r="A1056" s="3" t="s">
        <v>2122</v>
      </c>
      <c r="B1056" s="3" t="s">
        <v>2123</v>
      </c>
      <c r="C1056" s="4" t="s">
        <v>65</v>
      </c>
      <c r="D1056" s="4">
        <v>50.9</v>
      </c>
      <c r="E1056" s="4">
        <v>52.9</v>
      </c>
      <c r="F1056" s="4">
        <v>0</v>
      </c>
      <c r="G1056" s="4">
        <v>0</v>
      </c>
      <c r="H1056" s="4">
        <v>2.1</v>
      </c>
      <c r="I1056" s="4">
        <v>4</v>
      </c>
      <c r="J1056" s="4">
        <v>6</v>
      </c>
    </row>
    <row r="1057" spans="1:10" x14ac:dyDescent="0.35">
      <c r="A1057" s="3" t="s">
        <v>2124</v>
      </c>
      <c r="B1057" s="3" t="s">
        <v>2125</v>
      </c>
      <c r="C1057" s="4" t="s">
        <v>60</v>
      </c>
      <c r="D1057" s="4">
        <v>38</v>
      </c>
      <c r="E1057" s="4">
        <v>39.1</v>
      </c>
      <c r="F1057" s="4">
        <v>0</v>
      </c>
      <c r="G1057" s="4">
        <v>0</v>
      </c>
      <c r="H1057" s="4">
        <v>1.1000000000000001</v>
      </c>
      <c r="I1057" s="4">
        <v>2.8</v>
      </c>
      <c r="J1057" s="4">
        <v>3.4</v>
      </c>
    </row>
    <row r="1058" spans="1:10" x14ac:dyDescent="0.35">
      <c r="A1058" s="3" t="s">
        <v>2126</v>
      </c>
      <c r="B1058" s="3" t="s">
        <v>2127</v>
      </c>
      <c r="C1058" s="4" t="s">
        <v>65</v>
      </c>
      <c r="D1058" s="4">
        <v>23</v>
      </c>
      <c r="E1058" s="4">
        <v>23.3</v>
      </c>
      <c r="F1058" s="4">
        <v>0</v>
      </c>
      <c r="G1058" s="4">
        <v>0</v>
      </c>
      <c r="H1058" s="4">
        <v>0.3</v>
      </c>
      <c r="I1058" s="4">
        <v>1.4</v>
      </c>
      <c r="J1058" s="4">
        <v>2</v>
      </c>
    </row>
    <row r="1059" spans="1:10" x14ac:dyDescent="0.35">
      <c r="A1059" s="3" t="s">
        <v>2128</v>
      </c>
      <c r="B1059" s="3" t="s">
        <v>2129</v>
      </c>
      <c r="C1059" s="4" t="s">
        <v>65</v>
      </c>
      <c r="D1059" s="4">
        <v>15</v>
      </c>
      <c r="E1059" s="4">
        <v>15.8</v>
      </c>
      <c r="F1059" s="4">
        <v>0</v>
      </c>
      <c r="G1059" s="4">
        <v>0</v>
      </c>
      <c r="H1059" s="4">
        <v>0.7</v>
      </c>
      <c r="I1059" s="4">
        <v>4.9000000000000004</v>
      </c>
      <c r="J1059" s="4">
        <v>1.4</v>
      </c>
    </row>
    <row r="1060" spans="1:10" x14ac:dyDescent="0.35">
      <c r="A1060" s="3" t="s">
        <v>2130</v>
      </c>
      <c r="B1060" s="3" t="s">
        <v>2131</v>
      </c>
      <c r="C1060" s="4" t="s">
        <v>65</v>
      </c>
      <c r="D1060" s="4">
        <v>111.1</v>
      </c>
      <c r="E1060" s="4">
        <v>123.8</v>
      </c>
      <c r="F1060" s="4">
        <v>0.1</v>
      </c>
      <c r="G1060" s="4">
        <v>0.1</v>
      </c>
      <c r="H1060" s="4">
        <v>12.6</v>
      </c>
      <c r="I1060" s="4">
        <v>11.4</v>
      </c>
      <c r="J1060" s="4">
        <v>16.600000000000001</v>
      </c>
    </row>
    <row r="1061" spans="1:10" x14ac:dyDescent="0.35">
      <c r="A1061" s="3" t="s">
        <v>2132</v>
      </c>
      <c r="B1061" s="3" t="s">
        <v>2133</v>
      </c>
      <c r="C1061" s="4" t="s">
        <v>60</v>
      </c>
      <c r="D1061" s="4">
        <v>4887</v>
      </c>
      <c r="E1061" s="4">
        <v>5224.7</v>
      </c>
      <c r="F1061" s="4">
        <v>3</v>
      </c>
      <c r="G1061" s="4">
        <v>3.1</v>
      </c>
      <c r="H1061" s="4">
        <v>337.7</v>
      </c>
      <c r="I1061" s="4">
        <v>6.9</v>
      </c>
      <c r="J1061" s="4">
        <v>589.20000000000005</v>
      </c>
    </row>
    <row r="1062" spans="1:10" x14ac:dyDescent="0.35">
      <c r="A1062" s="3" t="s">
        <v>2134</v>
      </c>
      <c r="B1062" s="3" t="s">
        <v>2135</v>
      </c>
      <c r="C1062" s="4" t="s">
        <v>65</v>
      </c>
      <c r="D1062" s="4">
        <v>10.1</v>
      </c>
      <c r="E1062" s="4">
        <v>10.1</v>
      </c>
      <c r="F1062" s="4">
        <v>0</v>
      </c>
      <c r="G1062" s="4">
        <v>0</v>
      </c>
      <c r="H1062" s="4">
        <v>0</v>
      </c>
      <c r="I1062" s="4">
        <v>0.2</v>
      </c>
      <c r="J1062" s="4">
        <v>1.4</v>
      </c>
    </row>
    <row r="1063" spans="1:10" x14ac:dyDescent="0.35">
      <c r="A1063" s="3" t="s">
        <v>2136</v>
      </c>
      <c r="B1063" s="3" t="s">
        <v>2137</v>
      </c>
      <c r="C1063" s="4" t="s">
        <v>60</v>
      </c>
      <c r="D1063" s="4">
        <v>3897.8</v>
      </c>
      <c r="E1063" s="4">
        <v>4162.8</v>
      </c>
      <c r="F1063" s="4">
        <v>2.4</v>
      </c>
      <c r="G1063" s="4">
        <v>2.5</v>
      </c>
      <c r="H1063" s="4">
        <v>265</v>
      </c>
      <c r="I1063" s="4">
        <v>6.8</v>
      </c>
      <c r="J1063" s="4">
        <v>445</v>
      </c>
    </row>
    <row r="1064" spans="1:10" x14ac:dyDescent="0.35">
      <c r="A1064" s="3" t="s">
        <v>2138</v>
      </c>
      <c r="B1064" s="3" t="s">
        <v>2139</v>
      </c>
      <c r="C1064" s="4" t="s">
        <v>65</v>
      </c>
      <c r="D1064" s="4">
        <v>541</v>
      </c>
      <c r="E1064" s="4">
        <v>582.9</v>
      </c>
      <c r="F1064" s="4">
        <v>0.3</v>
      </c>
      <c r="G1064" s="4">
        <v>0.3</v>
      </c>
      <c r="H1064" s="4">
        <v>41.9</v>
      </c>
      <c r="I1064" s="4">
        <v>7.7</v>
      </c>
      <c r="J1064" s="4">
        <v>62.5</v>
      </c>
    </row>
    <row r="1065" spans="1:10" x14ac:dyDescent="0.35">
      <c r="A1065" s="3" t="s">
        <v>2140</v>
      </c>
      <c r="B1065" s="3" t="s">
        <v>2141</v>
      </c>
      <c r="C1065" s="4" t="s">
        <v>65</v>
      </c>
      <c r="D1065" s="4">
        <v>2192.3000000000002</v>
      </c>
      <c r="E1065" s="4">
        <v>2281.5</v>
      </c>
      <c r="F1065" s="4">
        <v>1.3</v>
      </c>
      <c r="G1065" s="4">
        <v>1.3</v>
      </c>
      <c r="H1065" s="4">
        <v>89.3</v>
      </c>
      <c r="I1065" s="4">
        <v>4.0999999999999996</v>
      </c>
      <c r="J1065" s="4">
        <v>241.2</v>
      </c>
    </row>
    <row r="1066" spans="1:10" x14ac:dyDescent="0.35">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35">
      <c r="A1067" s="3" t="s">
        <v>2144</v>
      </c>
      <c r="B1067" s="3" t="s">
        <v>2145</v>
      </c>
      <c r="C1067" s="4" t="s">
        <v>60</v>
      </c>
      <c r="D1067" s="4">
        <v>910.8</v>
      </c>
      <c r="E1067" s="4">
        <v>978.1</v>
      </c>
      <c r="F1067" s="4">
        <v>0.6</v>
      </c>
      <c r="G1067" s="4">
        <v>0.6</v>
      </c>
      <c r="H1067" s="4">
        <v>67.3</v>
      </c>
      <c r="I1067" s="4">
        <v>7.4</v>
      </c>
      <c r="J1067" s="4">
        <v>131.9</v>
      </c>
    </row>
    <row r="1068" spans="1:10" x14ac:dyDescent="0.35">
      <c r="A1068" s="3" t="s">
        <v>2146</v>
      </c>
      <c r="B1068" s="3" t="s">
        <v>2147</v>
      </c>
      <c r="C1068" s="4" t="s">
        <v>65</v>
      </c>
      <c r="D1068" s="4">
        <v>358.8</v>
      </c>
      <c r="E1068" s="4">
        <v>363.7</v>
      </c>
      <c r="F1068" s="4">
        <v>0.2</v>
      </c>
      <c r="G1068" s="4">
        <v>0.2</v>
      </c>
      <c r="H1068" s="4">
        <v>4.9000000000000004</v>
      </c>
      <c r="I1068" s="4">
        <v>1.4</v>
      </c>
      <c r="J1068" s="4">
        <v>55.2</v>
      </c>
    </row>
    <row r="1069" spans="1:10" x14ac:dyDescent="0.35">
      <c r="A1069" s="3" t="s">
        <v>2148</v>
      </c>
      <c r="B1069" s="3" t="s">
        <v>2149</v>
      </c>
      <c r="C1069" s="4" t="s">
        <v>65</v>
      </c>
      <c r="D1069" s="4">
        <v>156.4</v>
      </c>
      <c r="E1069" s="4">
        <v>164.8</v>
      </c>
      <c r="F1069" s="4">
        <v>0.1</v>
      </c>
      <c r="G1069" s="4">
        <v>0.1</v>
      </c>
      <c r="H1069" s="4">
        <v>8.4</v>
      </c>
      <c r="I1069" s="4">
        <v>5.4</v>
      </c>
      <c r="J1069" s="4">
        <v>21.2</v>
      </c>
    </row>
    <row r="1070" spans="1:10" x14ac:dyDescent="0.35">
      <c r="A1070" s="3" t="s">
        <v>2150</v>
      </c>
      <c r="B1070" s="3" t="s">
        <v>2151</v>
      </c>
      <c r="C1070" s="4" t="s">
        <v>65</v>
      </c>
      <c r="D1070" s="4">
        <v>218.4</v>
      </c>
      <c r="E1070" s="4">
        <v>235.9</v>
      </c>
      <c r="F1070" s="4">
        <v>0.1</v>
      </c>
      <c r="G1070" s="4">
        <v>0.1</v>
      </c>
      <c r="H1070" s="4">
        <v>17.5</v>
      </c>
      <c r="I1070" s="4">
        <v>8</v>
      </c>
      <c r="J1070" s="4">
        <v>32.6</v>
      </c>
    </row>
    <row r="1071" spans="1:10" x14ac:dyDescent="0.35">
      <c r="A1071" s="3" t="s">
        <v>2152</v>
      </c>
      <c r="B1071" s="3" t="s">
        <v>2153</v>
      </c>
      <c r="C1071" s="4" t="s">
        <v>65</v>
      </c>
      <c r="D1071" s="4">
        <v>177.3</v>
      </c>
      <c r="E1071" s="4">
        <v>213.7</v>
      </c>
      <c r="F1071" s="4">
        <v>0.1</v>
      </c>
      <c r="G1071" s="4">
        <v>0.1</v>
      </c>
      <c r="H1071" s="4">
        <v>36.4</v>
      </c>
      <c r="I1071" s="4">
        <v>20.6</v>
      </c>
      <c r="J1071" s="4">
        <v>22.8</v>
      </c>
    </row>
    <row r="1072" spans="1:10" x14ac:dyDescent="0.35">
      <c r="A1072" s="3" t="s">
        <v>2154</v>
      </c>
      <c r="B1072" s="3" t="s">
        <v>2155</v>
      </c>
      <c r="C1072" s="4" t="s">
        <v>65</v>
      </c>
      <c r="D1072" s="4">
        <v>68.3</v>
      </c>
      <c r="E1072" s="4">
        <v>73.7</v>
      </c>
      <c r="F1072" s="4">
        <v>0</v>
      </c>
      <c r="G1072" s="4">
        <v>0</v>
      </c>
      <c r="H1072" s="4">
        <v>5.4</v>
      </c>
      <c r="I1072" s="4">
        <v>7.9</v>
      </c>
      <c r="J1072" s="4">
        <v>10.9</v>
      </c>
    </row>
    <row r="1073" spans="1:10" x14ac:dyDescent="0.35">
      <c r="A1073" s="3" t="s">
        <v>2156</v>
      </c>
      <c r="B1073" s="3" t="s">
        <v>2157</v>
      </c>
      <c r="C1073" s="4" t="s">
        <v>60</v>
      </c>
      <c r="D1073" s="4">
        <v>90.5</v>
      </c>
      <c r="E1073" s="4">
        <v>91.8</v>
      </c>
      <c r="F1073" s="4">
        <v>0.1</v>
      </c>
      <c r="G1073" s="4">
        <v>0.1</v>
      </c>
      <c r="H1073" s="4">
        <v>1.2</v>
      </c>
      <c r="I1073" s="4">
        <v>1.4</v>
      </c>
      <c r="J1073" s="4">
        <v>7.7</v>
      </c>
    </row>
    <row r="1074" spans="1:10" x14ac:dyDescent="0.35">
      <c r="A1074" s="3" t="s">
        <v>2158</v>
      </c>
      <c r="B1074" s="3" t="s">
        <v>2159</v>
      </c>
      <c r="C1074" s="4" t="s">
        <v>60</v>
      </c>
      <c r="D1074" s="4">
        <v>32.299999999999997</v>
      </c>
      <c r="E1074" s="4">
        <v>32.6</v>
      </c>
      <c r="F1074" s="4">
        <v>0</v>
      </c>
      <c r="G1074" s="4">
        <v>0</v>
      </c>
      <c r="H1074" s="4">
        <v>0.3</v>
      </c>
      <c r="I1074" s="4">
        <v>1</v>
      </c>
      <c r="J1074" s="4">
        <v>2.6</v>
      </c>
    </row>
    <row r="1075" spans="1:10" x14ac:dyDescent="0.35">
      <c r="A1075" s="3" t="s">
        <v>2160</v>
      </c>
      <c r="B1075" s="3" t="s">
        <v>2161</v>
      </c>
      <c r="C1075" s="4" t="s">
        <v>65</v>
      </c>
      <c r="D1075" s="4">
        <v>29.7</v>
      </c>
      <c r="E1075" s="4">
        <v>29.9</v>
      </c>
      <c r="F1075" s="4">
        <v>0</v>
      </c>
      <c r="G1075" s="4">
        <v>0</v>
      </c>
      <c r="H1075" s="4">
        <v>0.2</v>
      </c>
      <c r="I1075" s="4">
        <v>0.8</v>
      </c>
      <c r="J1075" s="4">
        <v>2.4</v>
      </c>
    </row>
    <row r="1076" spans="1:10" x14ac:dyDescent="0.35">
      <c r="A1076" s="3" t="s">
        <v>2162</v>
      </c>
      <c r="B1076" s="3" t="s">
        <v>2163</v>
      </c>
      <c r="C1076" s="4" t="s">
        <v>65</v>
      </c>
      <c r="D1076" s="4">
        <v>2.6</v>
      </c>
      <c r="E1076" s="4">
        <v>2.6</v>
      </c>
      <c r="F1076" s="4">
        <v>0</v>
      </c>
      <c r="G1076" s="4">
        <v>0</v>
      </c>
      <c r="H1076" s="4">
        <v>0.1</v>
      </c>
      <c r="I1076" s="4">
        <v>2.4</v>
      </c>
      <c r="J1076" s="4">
        <v>0.2</v>
      </c>
    </row>
    <row r="1077" spans="1:10" x14ac:dyDescent="0.35">
      <c r="A1077" s="3" t="s">
        <v>2164</v>
      </c>
      <c r="B1077" s="3" t="s">
        <v>2165</v>
      </c>
      <c r="C1077" s="4" t="s">
        <v>65</v>
      </c>
      <c r="D1077" s="4">
        <v>12.2</v>
      </c>
      <c r="E1077" s="4">
        <v>12.3</v>
      </c>
      <c r="F1077" s="4">
        <v>0</v>
      </c>
      <c r="G1077" s="4">
        <v>0</v>
      </c>
      <c r="H1077" s="4">
        <v>0.1</v>
      </c>
      <c r="I1077" s="4">
        <v>1.2</v>
      </c>
      <c r="J1077" s="4">
        <v>1.2</v>
      </c>
    </row>
    <row r="1078" spans="1:10" x14ac:dyDescent="0.35">
      <c r="A1078" s="3" t="s">
        <v>2166</v>
      </c>
      <c r="B1078" s="3" t="s">
        <v>2167</v>
      </c>
      <c r="C1078" s="4" t="s">
        <v>65</v>
      </c>
      <c r="D1078" s="4">
        <v>34.200000000000003</v>
      </c>
      <c r="E1078" s="4">
        <v>34.6</v>
      </c>
      <c r="F1078" s="4">
        <v>0</v>
      </c>
      <c r="G1078" s="4">
        <v>0</v>
      </c>
      <c r="H1078" s="4">
        <v>0.4</v>
      </c>
      <c r="I1078" s="4">
        <v>1.1000000000000001</v>
      </c>
      <c r="J1078" s="4">
        <v>2.8</v>
      </c>
    </row>
    <row r="1079" spans="1:10" x14ac:dyDescent="0.35">
      <c r="A1079" s="3" t="s">
        <v>2168</v>
      </c>
      <c r="B1079" s="3" t="s">
        <v>2169</v>
      </c>
      <c r="C1079" s="4" t="s">
        <v>65</v>
      </c>
      <c r="D1079" s="4">
        <v>9.5</v>
      </c>
      <c r="E1079" s="4">
        <v>9.8000000000000007</v>
      </c>
      <c r="F1079" s="4">
        <v>0</v>
      </c>
      <c r="G1079" s="4">
        <v>0</v>
      </c>
      <c r="H1079" s="4">
        <v>0.3</v>
      </c>
      <c r="I1079" s="4">
        <v>3.5</v>
      </c>
      <c r="J1079" s="4">
        <v>1</v>
      </c>
    </row>
    <row r="1080" spans="1:10" x14ac:dyDescent="0.35">
      <c r="A1080" s="3" t="s">
        <v>2170</v>
      </c>
      <c r="B1080" s="3" t="s">
        <v>2171</v>
      </c>
      <c r="C1080" s="4" t="s">
        <v>65</v>
      </c>
      <c r="D1080" s="4">
        <v>2.4</v>
      </c>
      <c r="E1080" s="4">
        <v>2.4</v>
      </c>
      <c r="F1080" s="4">
        <v>0</v>
      </c>
      <c r="G1080" s="4">
        <v>0</v>
      </c>
      <c r="H1080" s="4">
        <v>0.1</v>
      </c>
      <c r="I1080" s="4">
        <v>2.2000000000000002</v>
      </c>
      <c r="J1080" s="4">
        <v>0.2</v>
      </c>
    </row>
    <row r="1081" spans="1:10" x14ac:dyDescent="0.35">
      <c r="A1081" s="3" t="s">
        <v>2172</v>
      </c>
      <c r="B1081" s="3" t="s">
        <v>2173</v>
      </c>
      <c r="C1081" s="4" t="s">
        <v>60</v>
      </c>
      <c r="D1081" s="4">
        <v>83.2</v>
      </c>
      <c r="E1081" s="4">
        <v>84.8</v>
      </c>
      <c r="F1081" s="4">
        <v>0.1</v>
      </c>
      <c r="G1081" s="4">
        <v>0.1</v>
      </c>
      <c r="H1081" s="4">
        <v>1.5</v>
      </c>
      <c r="I1081" s="4">
        <v>1.8</v>
      </c>
      <c r="J1081" s="4">
        <v>8.8000000000000007</v>
      </c>
    </row>
    <row r="1082" spans="1:10" x14ac:dyDescent="0.35">
      <c r="A1082" s="3" t="s">
        <v>2174</v>
      </c>
      <c r="B1082" s="3" t="s">
        <v>2175</v>
      </c>
      <c r="C1082" s="4" t="s">
        <v>65</v>
      </c>
      <c r="D1082" s="4">
        <v>30.7</v>
      </c>
      <c r="E1082" s="4">
        <v>31.3</v>
      </c>
      <c r="F1082" s="4">
        <v>0</v>
      </c>
      <c r="G1082" s="4">
        <v>0</v>
      </c>
      <c r="H1082" s="4">
        <v>0.6</v>
      </c>
      <c r="I1082" s="4">
        <v>2</v>
      </c>
      <c r="J1082" s="4">
        <v>3.3</v>
      </c>
    </row>
    <row r="1083" spans="1:10" x14ac:dyDescent="0.35">
      <c r="A1083" s="3" t="s">
        <v>2176</v>
      </c>
      <c r="B1083" s="3" t="s">
        <v>2177</v>
      </c>
      <c r="C1083" s="4" t="s">
        <v>60</v>
      </c>
      <c r="D1083" s="4">
        <v>43.2</v>
      </c>
      <c r="E1083" s="4">
        <v>44</v>
      </c>
      <c r="F1083" s="4">
        <v>0</v>
      </c>
      <c r="G1083" s="4">
        <v>0</v>
      </c>
      <c r="H1083" s="4">
        <v>0.8</v>
      </c>
      <c r="I1083" s="4">
        <v>1.8</v>
      </c>
      <c r="J1083" s="4">
        <v>4.5</v>
      </c>
    </row>
    <row r="1084" spans="1:10" x14ac:dyDescent="0.35">
      <c r="A1084" s="3" t="s">
        <v>2178</v>
      </c>
      <c r="B1084" s="3" t="s">
        <v>2179</v>
      </c>
      <c r="C1084" s="4" t="s">
        <v>65</v>
      </c>
      <c r="D1084" s="4">
        <v>39.6</v>
      </c>
      <c r="E1084" s="4">
        <v>40.299999999999997</v>
      </c>
      <c r="F1084" s="4">
        <v>0</v>
      </c>
      <c r="G1084" s="4">
        <v>0</v>
      </c>
      <c r="H1084" s="4">
        <v>0.7</v>
      </c>
      <c r="I1084" s="4">
        <v>1.7</v>
      </c>
      <c r="J1084" s="4">
        <v>4.0999999999999996</v>
      </c>
    </row>
    <row r="1085" spans="1:10" x14ac:dyDescent="0.35">
      <c r="A1085" s="3" t="s">
        <v>2180</v>
      </c>
      <c r="B1085" s="3" t="s">
        <v>2181</v>
      </c>
      <c r="C1085" s="4" t="s">
        <v>65</v>
      </c>
      <c r="D1085" s="4">
        <v>3.6</v>
      </c>
      <c r="E1085" s="4">
        <v>3.7</v>
      </c>
      <c r="F1085" s="4">
        <v>0</v>
      </c>
      <c r="G1085" s="4">
        <v>0</v>
      </c>
      <c r="H1085" s="4">
        <v>0.1</v>
      </c>
      <c r="I1085" s="4">
        <v>2.9</v>
      </c>
      <c r="J1085" s="4">
        <v>0.4</v>
      </c>
    </row>
    <row r="1086" spans="1:10" x14ac:dyDescent="0.35">
      <c r="A1086" s="3" t="s">
        <v>2182</v>
      </c>
      <c r="B1086" s="3" t="s">
        <v>2183</v>
      </c>
      <c r="C1086" s="4" t="s">
        <v>65</v>
      </c>
      <c r="D1086" s="4">
        <v>9.3000000000000007</v>
      </c>
      <c r="E1086" s="4">
        <v>9.4</v>
      </c>
      <c r="F1086" s="4">
        <v>0</v>
      </c>
      <c r="G1086" s="4">
        <v>0</v>
      </c>
      <c r="H1086" s="4">
        <v>0.1</v>
      </c>
      <c r="I1086" s="4">
        <v>1.3</v>
      </c>
      <c r="J1086" s="4">
        <v>1</v>
      </c>
    </row>
    <row r="1087" spans="1:10" x14ac:dyDescent="0.35">
      <c r="A1087" s="3" t="s">
        <v>2184</v>
      </c>
      <c r="B1087" s="3" t="s">
        <v>2185</v>
      </c>
      <c r="C1087" s="4" t="s">
        <v>60</v>
      </c>
      <c r="D1087" s="4">
        <v>291.7</v>
      </c>
      <c r="E1087" s="4">
        <v>296.39999999999998</v>
      </c>
      <c r="F1087" s="4">
        <v>0.2</v>
      </c>
      <c r="G1087" s="4">
        <v>0.2</v>
      </c>
      <c r="H1087" s="4">
        <v>4.7</v>
      </c>
      <c r="I1087" s="4">
        <v>1.6</v>
      </c>
      <c r="J1087" s="4">
        <v>40.700000000000003</v>
      </c>
    </row>
    <row r="1088" spans="1:10" x14ac:dyDescent="0.35">
      <c r="A1088" s="3" t="s">
        <v>2186</v>
      </c>
      <c r="B1088" s="3" t="s">
        <v>2187</v>
      </c>
      <c r="C1088" s="4" t="s">
        <v>65</v>
      </c>
      <c r="D1088" s="4">
        <v>3.8</v>
      </c>
      <c r="E1088" s="4">
        <v>3.8</v>
      </c>
      <c r="F1088" s="4">
        <v>0</v>
      </c>
      <c r="G1088" s="4">
        <v>0</v>
      </c>
      <c r="H1088" s="4">
        <v>0</v>
      </c>
      <c r="I1088" s="4">
        <v>-0.8</v>
      </c>
      <c r="J1088" s="4">
        <v>0.4</v>
      </c>
    </row>
    <row r="1089" spans="1:10" x14ac:dyDescent="0.35">
      <c r="A1089" s="3" t="s">
        <v>2188</v>
      </c>
      <c r="B1089" s="3" t="s">
        <v>2189</v>
      </c>
      <c r="C1089" s="4" t="s">
        <v>65</v>
      </c>
      <c r="D1089" s="4">
        <v>108.4</v>
      </c>
      <c r="E1089" s="4">
        <v>110</v>
      </c>
      <c r="F1089" s="4">
        <v>0.1</v>
      </c>
      <c r="G1089" s="4">
        <v>0.1</v>
      </c>
      <c r="H1089" s="4">
        <v>1.6</v>
      </c>
      <c r="I1089" s="4">
        <v>1.5</v>
      </c>
      <c r="J1089" s="4">
        <v>15.7</v>
      </c>
    </row>
    <row r="1090" spans="1:10" x14ac:dyDescent="0.35">
      <c r="A1090" s="3" t="s">
        <v>2190</v>
      </c>
      <c r="B1090" s="3" t="s">
        <v>2191</v>
      </c>
      <c r="C1090" s="4" t="s">
        <v>60</v>
      </c>
      <c r="D1090" s="4">
        <v>120.6</v>
      </c>
      <c r="E1090" s="4">
        <v>121.7</v>
      </c>
      <c r="F1090" s="4">
        <v>0.1</v>
      </c>
      <c r="G1090" s="4">
        <v>0.1</v>
      </c>
      <c r="H1090" s="4">
        <v>1.1000000000000001</v>
      </c>
      <c r="I1090" s="4">
        <v>0.9</v>
      </c>
      <c r="J1090" s="4">
        <v>17.7</v>
      </c>
    </row>
    <row r="1091" spans="1:10" x14ac:dyDescent="0.35">
      <c r="A1091" s="3" t="s">
        <v>2192</v>
      </c>
      <c r="B1091" s="3" t="s">
        <v>2193</v>
      </c>
      <c r="C1091" s="4" t="s">
        <v>65</v>
      </c>
      <c r="D1091" s="4">
        <v>100.7</v>
      </c>
      <c r="E1091" s="4">
        <v>100.9</v>
      </c>
      <c r="F1091" s="4">
        <v>0.1</v>
      </c>
      <c r="G1091" s="4">
        <v>0.1</v>
      </c>
      <c r="H1091" s="4">
        <v>0.2</v>
      </c>
      <c r="I1091" s="4">
        <v>0.2</v>
      </c>
      <c r="J1091" s="4">
        <v>14.6</v>
      </c>
    </row>
    <row r="1092" spans="1:10" x14ac:dyDescent="0.35">
      <c r="A1092" s="3" t="s">
        <v>2194</v>
      </c>
      <c r="B1092" s="3" t="s">
        <v>2195</v>
      </c>
      <c r="C1092" s="4" t="s">
        <v>65</v>
      </c>
      <c r="D1092" s="4">
        <v>19.899999999999999</v>
      </c>
      <c r="E1092" s="4">
        <v>20.8</v>
      </c>
      <c r="F1092" s="4">
        <v>0</v>
      </c>
      <c r="G1092" s="4">
        <v>0</v>
      </c>
      <c r="H1092" s="4">
        <v>0.9</v>
      </c>
      <c r="I1092" s="4">
        <v>4.7</v>
      </c>
      <c r="J1092" s="4">
        <v>3</v>
      </c>
    </row>
    <row r="1093" spans="1:10" x14ac:dyDescent="0.35">
      <c r="A1093" s="3" t="s">
        <v>2196</v>
      </c>
      <c r="B1093" s="3" t="s">
        <v>2197</v>
      </c>
      <c r="C1093" s="4" t="s">
        <v>65</v>
      </c>
      <c r="D1093" s="4">
        <v>7.6</v>
      </c>
      <c r="E1093" s="4">
        <v>7.9</v>
      </c>
      <c r="F1093" s="4">
        <v>0</v>
      </c>
      <c r="G1093" s="4">
        <v>0</v>
      </c>
      <c r="H1093" s="4">
        <v>0.3</v>
      </c>
      <c r="I1093" s="4">
        <v>3.5</v>
      </c>
      <c r="J1093" s="4">
        <v>0.8</v>
      </c>
    </row>
    <row r="1094" spans="1:10" x14ac:dyDescent="0.35">
      <c r="A1094" s="3" t="s">
        <v>2198</v>
      </c>
      <c r="B1094" s="3" t="s">
        <v>2199</v>
      </c>
      <c r="C1094" s="4" t="s">
        <v>65</v>
      </c>
      <c r="D1094" s="4">
        <v>25.7</v>
      </c>
      <c r="E1094" s="4">
        <v>26.4</v>
      </c>
      <c r="F1094" s="4">
        <v>0</v>
      </c>
      <c r="G1094" s="4">
        <v>0</v>
      </c>
      <c r="H1094" s="4">
        <v>0.7</v>
      </c>
      <c r="I1094" s="4">
        <v>2.7</v>
      </c>
      <c r="J1094" s="4">
        <v>2.4</v>
      </c>
    </row>
    <row r="1095" spans="1:10" x14ac:dyDescent="0.35">
      <c r="A1095" s="3" t="s">
        <v>2200</v>
      </c>
      <c r="B1095" s="3" t="s">
        <v>2201</v>
      </c>
      <c r="C1095" s="4" t="s">
        <v>65</v>
      </c>
      <c r="D1095" s="4">
        <v>13.5</v>
      </c>
      <c r="E1095" s="4">
        <v>14</v>
      </c>
      <c r="F1095" s="4">
        <v>0</v>
      </c>
      <c r="G1095" s="4">
        <v>0</v>
      </c>
      <c r="H1095" s="4">
        <v>0.6</v>
      </c>
      <c r="I1095" s="4">
        <v>4.0999999999999996</v>
      </c>
      <c r="J1095" s="4">
        <v>2.4</v>
      </c>
    </row>
    <row r="1096" spans="1:10" x14ac:dyDescent="0.35">
      <c r="A1096" s="3" t="s">
        <v>2202</v>
      </c>
      <c r="B1096" s="3" t="s">
        <v>2203</v>
      </c>
      <c r="C1096" s="4" t="s">
        <v>65</v>
      </c>
      <c r="D1096" s="4">
        <v>12.1</v>
      </c>
      <c r="E1096" s="4">
        <v>12.6</v>
      </c>
      <c r="F1096" s="4">
        <v>0</v>
      </c>
      <c r="G1096" s="4">
        <v>0</v>
      </c>
      <c r="H1096" s="4">
        <v>0.5</v>
      </c>
      <c r="I1096" s="4">
        <v>3.9</v>
      </c>
      <c r="J1096" s="4">
        <v>1.3</v>
      </c>
    </row>
    <row r="1097" spans="1:10" x14ac:dyDescent="0.35">
      <c r="A1097" s="3" t="s">
        <v>2204</v>
      </c>
      <c r="B1097" s="3" t="s">
        <v>2205</v>
      </c>
      <c r="C1097" s="4" t="s">
        <v>60</v>
      </c>
      <c r="D1097" s="4">
        <v>8049.4</v>
      </c>
      <c r="E1097" s="4">
        <v>8435.6</v>
      </c>
      <c r="F1097" s="4">
        <v>4.9000000000000004</v>
      </c>
      <c r="G1097" s="4">
        <v>5</v>
      </c>
      <c r="H1097" s="4">
        <v>386.2</v>
      </c>
      <c r="I1097" s="4">
        <v>4.8</v>
      </c>
      <c r="J1097" s="4">
        <v>1172.5999999999999</v>
      </c>
    </row>
    <row r="1098" spans="1:10" x14ac:dyDescent="0.35">
      <c r="A1098" s="3" t="s">
        <v>2206</v>
      </c>
      <c r="B1098" s="3" t="s">
        <v>2207</v>
      </c>
      <c r="C1098" s="4" t="s">
        <v>65</v>
      </c>
      <c r="D1098" s="4">
        <v>30.6</v>
      </c>
      <c r="E1098" s="4">
        <v>32.4</v>
      </c>
      <c r="F1098" s="4">
        <v>0</v>
      </c>
      <c r="G1098" s="4">
        <v>0</v>
      </c>
      <c r="H1098" s="4">
        <v>1.8</v>
      </c>
      <c r="I1098" s="4">
        <v>5.8</v>
      </c>
      <c r="J1098" s="4">
        <v>3.3</v>
      </c>
    </row>
    <row r="1099" spans="1:10" x14ac:dyDescent="0.35">
      <c r="A1099" s="3" t="s">
        <v>2208</v>
      </c>
      <c r="B1099" s="3" t="s">
        <v>2209</v>
      </c>
      <c r="C1099" s="4" t="s">
        <v>65</v>
      </c>
      <c r="D1099" s="4">
        <v>48.4</v>
      </c>
      <c r="E1099" s="4">
        <v>48.5</v>
      </c>
      <c r="F1099" s="4">
        <v>0</v>
      </c>
      <c r="G1099" s="4">
        <v>0</v>
      </c>
      <c r="H1099" s="4">
        <v>0.1</v>
      </c>
      <c r="I1099" s="4">
        <v>0.2</v>
      </c>
      <c r="J1099" s="4">
        <v>4.5</v>
      </c>
    </row>
    <row r="1100" spans="1:10" x14ac:dyDescent="0.35">
      <c r="A1100" s="3" t="s">
        <v>2210</v>
      </c>
      <c r="B1100" s="3" t="s">
        <v>2211</v>
      </c>
      <c r="C1100" s="4" t="s">
        <v>65</v>
      </c>
      <c r="D1100" s="4">
        <v>1</v>
      </c>
      <c r="E1100" s="4">
        <v>1.1000000000000001</v>
      </c>
      <c r="F1100" s="4">
        <v>0</v>
      </c>
      <c r="G1100" s="4">
        <v>0</v>
      </c>
      <c r="H1100" s="4">
        <v>0</v>
      </c>
      <c r="I1100" s="4">
        <v>0.3</v>
      </c>
      <c r="J1100" s="4">
        <v>0.1</v>
      </c>
    </row>
    <row r="1101" spans="1:10" x14ac:dyDescent="0.35">
      <c r="A1101" s="3" t="s">
        <v>2212</v>
      </c>
      <c r="B1101" s="3" t="s">
        <v>2213</v>
      </c>
      <c r="C1101" s="4" t="s">
        <v>65</v>
      </c>
      <c r="D1101" s="4">
        <v>2.8</v>
      </c>
      <c r="E1101" s="4">
        <v>2.7</v>
      </c>
      <c r="F1101" s="4">
        <v>0</v>
      </c>
      <c r="G1101" s="4">
        <v>0</v>
      </c>
      <c r="H1101" s="4">
        <v>0</v>
      </c>
      <c r="I1101" s="4">
        <v>-1.8</v>
      </c>
      <c r="J1101" s="4">
        <v>0.3</v>
      </c>
    </row>
    <row r="1102" spans="1:10" x14ac:dyDescent="0.35">
      <c r="A1102" s="3" t="s">
        <v>2214</v>
      </c>
      <c r="B1102" s="3" t="s">
        <v>2215</v>
      </c>
      <c r="C1102" s="4" t="s">
        <v>65</v>
      </c>
      <c r="D1102" s="4">
        <v>796.6</v>
      </c>
      <c r="E1102" s="4">
        <v>826.5</v>
      </c>
      <c r="F1102" s="4">
        <v>0.5</v>
      </c>
      <c r="G1102" s="4">
        <v>0.5</v>
      </c>
      <c r="H1102" s="4">
        <v>29.9</v>
      </c>
      <c r="I1102" s="4">
        <v>3.7</v>
      </c>
      <c r="J1102" s="4">
        <v>80.900000000000006</v>
      </c>
    </row>
    <row r="1103" spans="1:10" x14ac:dyDescent="0.35">
      <c r="A1103" s="3" t="s">
        <v>2216</v>
      </c>
      <c r="B1103" s="3" t="s">
        <v>2217</v>
      </c>
      <c r="C1103" s="4" t="s">
        <v>60</v>
      </c>
      <c r="D1103" s="4">
        <v>6952.9</v>
      </c>
      <c r="E1103" s="4">
        <v>7301.6</v>
      </c>
      <c r="F1103" s="4">
        <v>4.2</v>
      </c>
      <c r="G1103" s="4">
        <v>4.3</v>
      </c>
      <c r="H1103" s="4">
        <v>348.7</v>
      </c>
      <c r="I1103" s="4">
        <v>5</v>
      </c>
      <c r="J1103" s="4">
        <v>1057.0999999999999</v>
      </c>
    </row>
    <row r="1104" spans="1:10" x14ac:dyDescent="0.35">
      <c r="A1104" s="3" t="s">
        <v>2218</v>
      </c>
      <c r="B1104" s="3" t="s">
        <v>2219</v>
      </c>
      <c r="C1104" s="4" t="s">
        <v>65</v>
      </c>
      <c r="D1104" s="4">
        <v>401.8</v>
      </c>
      <c r="E1104" s="4">
        <v>416.8</v>
      </c>
      <c r="F1104" s="4">
        <v>0.2</v>
      </c>
      <c r="G1104" s="4">
        <v>0.2</v>
      </c>
      <c r="H1104" s="4">
        <v>15</v>
      </c>
      <c r="I1104" s="4">
        <v>3.7</v>
      </c>
      <c r="J1104" s="4">
        <v>55.3</v>
      </c>
    </row>
    <row r="1105" spans="1:10" x14ac:dyDescent="0.35">
      <c r="A1105" s="3" t="s">
        <v>2220</v>
      </c>
      <c r="B1105" s="3" t="s">
        <v>2221</v>
      </c>
      <c r="C1105" s="4" t="s">
        <v>65</v>
      </c>
      <c r="D1105" s="4">
        <v>2988.5</v>
      </c>
      <c r="E1105" s="4">
        <v>3147.3</v>
      </c>
      <c r="F1105" s="4">
        <v>1.8</v>
      </c>
      <c r="G1105" s="4">
        <v>1.9</v>
      </c>
      <c r="H1105" s="4">
        <v>158.80000000000001</v>
      </c>
      <c r="I1105" s="4">
        <v>5.3</v>
      </c>
      <c r="J1105" s="4">
        <v>411.7</v>
      </c>
    </row>
    <row r="1106" spans="1:10" x14ac:dyDescent="0.35">
      <c r="A1106" s="3" t="s">
        <v>2222</v>
      </c>
      <c r="B1106" s="3" t="s">
        <v>2223</v>
      </c>
      <c r="C1106" s="4" t="s">
        <v>65</v>
      </c>
      <c r="D1106" s="4">
        <v>51.5</v>
      </c>
      <c r="E1106" s="4">
        <v>54.3</v>
      </c>
      <c r="F1106" s="4">
        <v>0</v>
      </c>
      <c r="G1106" s="4">
        <v>0</v>
      </c>
      <c r="H1106" s="4">
        <v>2.8</v>
      </c>
      <c r="I1106" s="4">
        <v>5.5</v>
      </c>
      <c r="J1106" s="4">
        <v>8.5</v>
      </c>
    </row>
    <row r="1107" spans="1:10" x14ac:dyDescent="0.35">
      <c r="A1107" s="3" t="s">
        <v>2224</v>
      </c>
      <c r="B1107" s="3" t="s">
        <v>2225</v>
      </c>
      <c r="C1107" s="4" t="s">
        <v>65</v>
      </c>
      <c r="D1107" s="4">
        <v>659.6</v>
      </c>
      <c r="E1107" s="4">
        <v>652.9</v>
      </c>
      <c r="F1107" s="4">
        <v>0.4</v>
      </c>
      <c r="G1107" s="4">
        <v>0.4</v>
      </c>
      <c r="H1107" s="4">
        <v>-6.6</v>
      </c>
      <c r="I1107" s="4">
        <v>-1</v>
      </c>
      <c r="J1107" s="4">
        <v>93</v>
      </c>
    </row>
    <row r="1108" spans="1:10" x14ac:dyDescent="0.35">
      <c r="A1108" s="3" t="s">
        <v>2226</v>
      </c>
      <c r="B1108" s="3" t="s">
        <v>2227</v>
      </c>
      <c r="C1108" s="4" t="s">
        <v>65</v>
      </c>
      <c r="D1108" s="4">
        <v>2851.6</v>
      </c>
      <c r="E1108" s="4">
        <v>3030.3</v>
      </c>
      <c r="F1108" s="4">
        <v>1.7</v>
      </c>
      <c r="G1108" s="4">
        <v>1.8</v>
      </c>
      <c r="H1108" s="4">
        <v>178.6</v>
      </c>
      <c r="I1108" s="4">
        <v>6.3</v>
      </c>
      <c r="J1108" s="4">
        <v>488.7</v>
      </c>
    </row>
    <row r="1109" spans="1:10" x14ac:dyDescent="0.35">
      <c r="A1109" s="3" t="s">
        <v>2228</v>
      </c>
      <c r="B1109" s="3" t="s">
        <v>2229</v>
      </c>
      <c r="C1109" s="4" t="s">
        <v>60</v>
      </c>
      <c r="D1109" s="4">
        <v>31.3</v>
      </c>
      <c r="E1109" s="4">
        <v>31.2</v>
      </c>
      <c r="F1109" s="4">
        <v>0</v>
      </c>
      <c r="G1109" s="4">
        <v>0</v>
      </c>
      <c r="H1109" s="4">
        <v>0</v>
      </c>
      <c r="I1109" s="4">
        <v>-0.1</v>
      </c>
      <c r="J1109" s="4">
        <v>3.1</v>
      </c>
    </row>
    <row r="1110" spans="1:10" x14ac:dyDescent="0.35">
      <c r="A1110" s="3" t="s">
        <v>2230</v>
      </c>
      <c r="B1110" s="3" t="s">
        <v>2231</v>
      </c>
      <c r="C1110" s="4" t="s">
        <v>65</v>
      </c>
      <c r="D1110" s="4">
        <v>3.9</v>
      </c>
      <c r="E1110" s="4">
        <v>3.8</v>
      </c>
      <c r="F1110" s="4">
        <v>0</v>
      </c>
      <c r="G1110" s="4">
        <v>0</v>
      </c>
      <c r="H1110" s="4">
        <v>-0.1</v>
      </c>
      <c r="I1110" s="4">
        <v>-2.1</v>
      </c>
      <c r="J1110" s="4">
        <v>0.4</v>
      </c>
    </row>
    <row r="1111" spans="1:10" x14ac:dyDescent="0.35">
      <c r="A1111" s="3" t="s">
        <v>2232</v>
      </c>
      <c r="B1111" s="3" t="s">
        <v>2233</v>
      </c>
      <c r="C1111" s="4" t="s">
        <v>65</v>
      </c>
      <c r="D1111" s="4">
        <v>11.2</v>
      </c>
      <c r="E1111" s="4">
        <v>11.6</v>
      </c>
      <c r="F1111" s="4">
        <v>0</v>
      </c>
      <c r="G1111" s="4">
        <v>0</v>
      </c>
      <c r="H1111" s="4">
        <v>0.4</v>
      </c>
      <c r="I1111" s="4">
        <v>3.6</v>
      </c>
      <c r="J1111" s="4">
        <v>1.2</v>
      </c>
    </row>
    <row r="1112" spans="1:10" x14ac:dyDescent="0.35">
      <c r="A1112" s="3" t="s">
        <v>2234</v>
      </c>
      <c r="B1112" s="3" t="s">
        <v>2235</v>
      </c>
      <c r="C1112" s="4" t="s">
        <v>65</v>
      </c>
      <c r="D1112" s="4">
        <v>16.2</v>
      </c>
      <c r="E1112" s="4">
        <v>15.9</v>
      </c>
      <c r="F1112" s="4">
        <v>0</v>
      </c>
      <c r="G1112" s="4">
        <v>0</v>
      </c>
      <c r="H1112" s="4">
        <v>-0.4</v>
      </c>
      <c r="I1112" s="4">
        <v>-2.2000000000000002</v>
      </c>
      <c r="J1112" s="4">
        <v>1.6</v>
      </c>
    </row>
    <row r="1113" spans="1:10" x14ac:dyDescent="0.35">
      <c r="A1113" s="3" t="s">
        <v>2236</v>
      </c>
      <c r="B1113" s="3" t="s">
        <v>2237</v>
      </c>
      <c r="C1113" s="4" t="s">
        <v>65</v>
      </c>
      <c r="D1113" s="4">
        <v>146.4</v>
      </c>
      <c r="E1113" s="4">
        <v>151.1</v>
      </c>
      <c r="F1113" s="4">
        <v>0.1</v>
      </c>
      <c r="G1113" s="4">
        <v>0.1</v>
      </c>
      <c r="H1113" s="4">
        <v>4.7</v>
      </c>
      <c r="I1113" s="4">
        <v>3.2</v>
      </c>
      <c r="J1113" s="4">
        <v>18.600000000000001</v>
      </c>
    </row>
    <row r="1114" spans="1:10" x14ac:dyDescent="0.35">
      <c r="A1114" s="3" t="s">
        <v>2238</v>
      </c>
      <c r="B1114" s="3" t="s">
        <v>2239</v>
      </c>
      <c r="C1114" s="4" t="s">
        <v>65</v>
      </c>
      <c r="D1114" s="4">
        <v>13.3</v>
      </c>
      <c r="E1114" s="4">
        <v>13.5</v>
      </c>
      <c r="F1114" s="4">
        <v>0</v>
      </c>
      <c r="G1114" s="4">
        <v>0</v>
      </c>
      <c r="H1114" s="4">
        <v>0.2</v>
      </c>
      <c r="I1114" s="4">
        <v>1.6</v>
      </c>
      <c r="J1114" s="4">
        <v>1.6</v>
      </c>
    </row>
    <row r="1115" spans="1:10" x14ac:dyDescent="0.35">
      <c r="A1115" s="3" t="s">
        <v>2240</v>
      </c>
      <c r="B1115" s="3" t="s">
        <v>2241</v>
      </c>
      <c r="C1115" s="4" t="s">
        <v>65</v>
      </c>
      <c r="D1115" s="4">
        <v>26.1</v>
      </c>
      <c r="E1115" s="4">
        <v>27</v>
      </c>
      <c r="F1115" s="4">
        <v>0</v>
      </c>
      <c r="G1115" s="4">
        <v>0</v>
      </c>
      <c r="H1115" s="4">
        <v>0.9</v>
      </c>
      <c r="I1115" s="4">
        <v>3.5</v>
      </c>
      <c r="J1115" s="4">
        <v>3.2</v>
      </c>
    </row>
    <row r="1116" spans="1:10" x14ac:dyDescent="0.35">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4920</v>
      </c>
    </row>
    <row r="2" spans="1:7" ht="52.5" x14ac:dyDescent="0.35">
      <c r="A2" s="2" t="s">
        <v>0</v>
      </c>
      <c r="B2" s="2" t="s">
        <v>1</v>
      </c>
      <c r="C2" s="2" t="s">
        <v>2</v>
      </c>
      <c r="D2" s="2" t="s">
        <v>3</v>
      </c>
      <c r="E2" s="2" t="s">
        <v>4</v>
      </c>
      <c r="F2" s="2" t="s">
        <v>5</v>
      </c>
      <c r="G2" s="2" t="s">
        <v>4925</v>
      </c>
    </row>
    <row r="3" spans="1:7" x14ac:dyDescent="0.35">
      <c r="A3" s="3" t="s">
        <v>6</v>
      </c>
      <c r="B3" s="3" t="s">
        <v>7</v>
      </c>
      <c r="C3" s="4">
        <v>164482.6</v>
      </c>
      <c r="D3" s="4">
        <v>169148.1</v>
      </c>
      <c r="E3" s="4">
        <v>4665.5</v>
      </c>
      <c r="F3" s="4">
        <v>2.8</v>
      </c>
      <c r="G3" s="5">
        <v>46310</v>
      </c>
    </row>
    <row r="4" spans="1:7" x14ac:dyDescent="0.35">
      <c r="A4" s="3" t="s">
        <v>2242</v>
      </c>
      <c r="B4" s="3" t="s">
        <v>1813</v>
      </c>
      <c r="C4" s="4">
        <v>11.2</v>
      </c>
      <c r="D4" s="4">
        <v>16.2</v>
      </c>
      <c r="E4" s="4">
        <v>5</v>
      </c>
      <c r="F4" s="4">
        <v>44.9</v>
      </c>
      <c r="G4" s="5">
        <v>57320</v>
      </c>
    </row>
    <row r="5" spans="1:7" x14ac:dyDescent="0.35">
      <c r="A5" s="3" t="s">
        <v>2243</v>
      </c>
      <c r="B5" s="3" t="s">
        <v>917</v>
      </c>
      <c r="C5" s="4">
        <v>266.3</v>
      </c>
      <c r="D5" s="4">
        <v>384.9</v>
      </c>
      <c r="E5" s="4">
        <v>118.6</v>
      </c>
      <c r="F5" s="4">
        <v>44.5</v>
      </c>
      <c r="G5" s="5">
        <v>121610</v>
      </c>
    </row>
    <row r="6" spans="1:7" x14ac:dyDescent="0.35">
      <c r="A6" s="3" t="s">
        <v>2244</v>
      </c>
      <c r="B6" s="3" t="s">
        <v>289</v>
      </c>
      <c r="C6" s="4">
        <v>168.9</v>
      </c>
      <c r="D6" s="4">
        <v>228.2</v>
      </c>
      <c r="E6" s="4">
        <v>59.4</v>
      </c>
      <c r="F6" s="4">
        <v>35.200000000000003</v>
      </c>
      <c r="G6" s="5">
        <v>103500</v>
      </c>
    </row>
    <row r="7" spans="1:7" x14ac:dyDescent="0.35">
      <c r="A7" s="3" t="s">
        <v>2245</v>
      </c>
      <c r="B7" s="3" t="s">
        <v>287</v>
      </c>
      <c r="C7" s="4">
        <v>33.299999999999997</v>
      </c>
      <c r="D7" s="4">
        <v>43.9</v>
      </c>
      <c r="E7" s="4">
        <v>10.5</v>
      </c>
      <c r="F7" s="4">
        <v>31.6</v>
      </c>
      <c r="G7" s="5">
        <v>98920</v>
      </c>
    </row>
    <row r="8" spans="1:7" x14ac:dyDescent="0.35">
      <c r="A8" s="3" t="s">
        <v>2246</v>
      </c>
      <c r="B8" s="3" t="s">
        <v>245</v>
      </c>
      <c r="C8" s="4">
        <v>168.9</v>
      </c>
      <c r="D8" s="4">
        <v>222.2</v>
      </c>
      <c r="E8" s="4">
        <v>53.2</v>
      </c>
      <c r="F8" s="4">
        <v>31.5</v>
      </c>
      <c r="G8" s="5">
        <v>112000</v>
      </c>
    </row>
    <row r="9" spans="1:7" x14ac:dyDescent="0.35">
      <c r="A9" s="3" t="s">
        <v>2247</v>
      </c>
      <c r="B9" s="3" t="s">
        <v>139</v>
      </c>
      <c r="C9" s="4">
        <v>509.5</v>
      </c>
      <c r="D9" s="4">
        <v>654.20000000000005</v>
      </c>
      <c r="E9" s="4">
        <v>144.69999999999999</v>
      </c>
      <c r="F9" s="4">
        <v>28.4</v>
      </c>
      <c r="G9" s="5">
        <v>104830</v>
      </c>
    </row>
    <row r="10" spans="1:7" x14ac:dyDescent="0.35">
      <c r="A10" s="3" t="s">
        <v>2248</v>
      </c>
      <c r="B10" s="3" t="s">
        <v>411</v>
      </c>
      <c r="C10" s="4">
        <v>10</v>
      </c>
      <c r="D10" s="4">
        <v>12.7</v>
      </c>
      <c r="E10" s="4">
        <v>2.7</v>
      </c>
      <c r="F10" s="4">
        <v>26.7</v>
      </c>
      <c r="G10" s="5">
        <v>78520</v>
      </c>
    </row>
    <row r="11" spans="1:7" x14ac:dyDescent="0.35">
      <c r="A11" s="3" t="s">
        <v>2249</v>
      </c>
      <c r="B11" s="3" t="s">
        <v>887</v>
      </c>
      <c r="C11" s="4">
        <v>148</v>
      </c>
      <c r="D11" s="4">
        <v>187.3</v>
      </c>
      <c r="E11" s="4">
        <v>39.299999999999997</v>
      </c>
      <c r="F11" s="4">
        <v>26.5</v>
      </c>
      <c r="G11" s="5">
        <v>126010</v>
      </c>
    </row>
    <row r="12" spans="1:7" x14ac:dyDescent="0.35">
      <c r="A12" s="3" t="s">
        <v>2250</v>
      </c>
      <c r="B12" s="3" t="s">
        <v>1055</v>
      </c>
      <c r="C12" s="4">
        <v>100.7</v>
      </c>
      <c r="D12" s="4">
        <v>126.9</v>
      </c>
      <c r="E12" s="4">
        <v>26.3</v>
      </c>
      <c r="F12" s="4">
        <v>26.1</v>
      </c>
      <c r="G12" s="5">
        <v>62770</v>
      </c>
    </row>
    <row r="13" spans="1:7" x14ac:dyDescent="0.35">
      <c r="A13" s="3" t="s">
        <v>2251</v>
      </c>
      <c r="B13" s="3" t="s">
        <v>269</v>
      </c>
      <c r="C13" s="4">
        <v>1594.5</v>
      </c>
      <c r="D13" s="4">
        <v>2004.9</v>
      </c>
      <c r="E13" s="4">
        <v>410.4</v>
      </c>
      <c r="F13" s="4">
        <v>25.7</v>
      </c>
      <c r="G13" s="5">
        <v>127260</v>
      </c>
    </row>
    <row r="14" spans="1:7" x14ac:dyDescent="0.35">
      <c r="A14" s="3" t="s">
        <v>2252</v>
      </c>
      <c r="B14" s="3" t="s">
        <v>1049</v>
      </c>
      <c r="C14" s="4">
        <v>45.1</v>
      </c>
      <c r="D14" s="4">
        <v>56</v>
      </c>
      <c r="E14" s="4">
        <v>10.8</v>
      </c>
      <c r="F14" s="4">
        <v>24</v>
      </c>
      <c r="G14" s="5">
        <v>64250</v>
      </c>
    </row>
    <row r="15" spans="1:7" x14ac:dyDescent="0.35">
      <c r="A15" s="3" t="s">
        <v>2253</v>
      </c>
      <c r="B15" s="3" t="s">
        <v>281</v>
      </c>
      <c r="C15" s="4">
        <v>30</v>
      </c>
      <c r="D15" s="4">
        <v>36.9</v>
      </c>
      <c r="E15" s="4">
        <v>7</v>
      </c>
      <c r="F15" s="4">
        <v>23.2</v>
      </c>
      <c r="G15" s="5">
        <v>113990</v>
      </c>
    </row>
    <row r="16" spans="1:7" x14ac:dyDescent="0.35">
      <c r="A16" s="3" t="s">
        <v>2254</v>
      </c>
      <c r="B16" s="3" t="s">
        <v>247</v>
      </c>
      <c r="C16" s="4">
        <v>36.5</v>
      </c>
      <c r="D16" s="4">
        <v>44.8</v>
      </c>
      <c r="E16" s="4">
        <v>8.3000000000000007</v>
      </c>
      <c r="F16" s="4">
        <v>22.7</v>
      </c>
      <c r="G16" s="5">
        <v>136620</v>
      </c>
    </row>
    <row r="17" spans="1:7" x14ac:dyDescent="0.35">
      <c r="A17" s="3" t="s">
        <v>2255</v>
      </c>
      <c r="B17" s="3" t="s">
        <v>285</v>
      </c>
      <c r="C17" s="4">
        <v>109.9</v>
      </c>
      <c r="D17" s="4">
        <v>134.69999999999999</v>
      </c>
      <c r="E17" s="4">
        <v>24.7</v>
      </c>
      <c r="F17" s="4">
        <v>22.5</v>
      </c>
      <c r="G17" s="5">
        <v>85720</v>
      </c>
    </row>
    <row r="18" spans="1:7" x14ac:dyDescent="0.35">
      <c r="A18" s="3" t="s">
        <v>2256</v>
      </c>
      <c r="B18" s="3" t="s">
        <v>1629</v>
      </c>
      <c r="C18" s="4">
        <v>29.4</v>
      </c>
      <c r="D18" s="4">
        <v>35.9</v>
      </c>
      <c r="E18" s="4">
        <v>6.6</v>
      </c>
      <c r="F18" s="4">
        <v>22.3</v>
      </c>
      <c r="G18" s="5">
        <v>45230</v>
      </c>
    </row>
    <row r="19" spans="1:7" x14ac:dyDescent="0.35">
      <c r="A19" s="3" t="s">
        <v>2257</v>
      </c>
      <c r="B19" s="3" t="s">
        <v>1035</v>
      </c>
      <c r="C19" s="4">
        <v>3715.5</v>
      </c>
      <c r="D19" s="4">
        <v>4520.1000000000004</v>
      </c>
      <c r="E19" s="4">
        <v>804.6</v>
      </c>
      <c r="F19" s="4">
        <v>21.7</v>
      </c>
      <c r="G19" s="5">
        <v>30180</v>
      </c>
    </row>
    <row r="20" spans="1:7" x14ac:dyDescent="0.35">
      <c r="A20" s="3" t="s">
        <v>2258</v>
      </c>
      <c r="B20" s="3" t="s">
        <v>2153</v>
      </c>
      <c r="C20" s="4">
        <v>177.3</v>
      </c>
      <c r="D20" s="4">
        <v>213.7</v>
      </c>
      <c r="E20" s="4">
        <v>36.4</v>
      </c>
      <c r="F20" s="4">
        <v>20.6</v>
      </c>
      <c r="G20" s="5">
        <v>30670</v>
      </c>
    </row>
    <row r="21" spans="1:7" x14ac:dyDescent="0.35">
      <c r="A21" s="3" t="s">
        <v>2259</v>
      </c>
      <c r="B21" s="3" t="s">
        <v>1315</v>
      </c>
      <c r="C21" s="4">
        <v>87</v>
      </c>
      <c r="D21" s="4">
        <v>104.9</v>
      </c>
      <c r="E21" s="4">
        <v>17.899999999999999</v>
      </c>
      <c r="F21" s="4">
        <v>20.5</v>
      </c>
      <c r="G21" s="5">
        <v>34670</v>
      </c>
    </row>
    <row r="22" spans="1:7" x14ac:dyDescent="0.35">
      <c r="A22" s="3" t="s">
        <v>2260</v>
      </c>
      <c r="B22" s="3" t="s">
        <v>1075</v>
      </c>
      <c r="C22" s="4">
        <v>114.8</v>
      </c>
      <c r="D22" s="4">
        <v>138.30000000000001</v>
      </c>
      <c r="E22" s="4">
        <v>23.5</v>
      </c>
      <c r="F22" s="4">
        <v>20.5</v>
      </c>
      <c r="G22" s="5">
        <v>34740</v>
      </c>
    </row>
    <row r="23" spans="1:7" x14ac:dyDescent="0.35">
      <c r="A23" s="3" t="s">
        <v>2261</v>
      </c>
      <c r="B23" s="3" t="s">
        <v>1001</v>
      </c>
      <c r="C23" s="4">
        <v>122.9</v>
      </c>
      <c r="D23" s="4">
        <v>148.1</v>
      </c>
      <c r="E23" s="4">
        <v>25.2</v>
      </c>
      <c r="F23" s="4">
        <v>20.5</v>
      </c>
      <c r="G23" s="5">
        <v>38240</v>
      </c>
    </row>
    <row r="24" spans="1:7" x14ac:dyDescent="0.35">
      <c r="A24" s="3" t="s">
        <v>2262</v>
      </c>
      <c r="B24" s="3" t="s">
        <v>1167</v>
      </c>
      <c r="C24" s="4">
        <v>1361.2</v>
      </c>
      <c r="D24" s="4">
        <v>1638.9</v>
      </c>
      <c r="E24" s="4">
        <v>277.60000000000002</v>
      </c>
      <c r="F24" s="4">
        <v>20.399999999999999</v>
      </c>
      <c r="G24" s="5">
        <v>34110</v>
      </c>
    </row>
    <row r="25" spans="1:7" x14ac:dyDescent="0.35">
      <c r="A25" s="3" t="s">
        <v>2263</v>
      </c>
      <c r="B25" s="3" t="s">
        <v>271</v>
      </c>
      <c r="C25" s="4">
        <v>200.8</v>
      </c>
      <c r="D25" s="4">
        <v>241.6</v>
      </c>
      <c r="E25" s="4">
        <v>40.799999999999997</v>
      </c>
      <c r="F25" s="4">
        <v>20.3</v>
      </c>
      <c r="G25" s="5">
        <v>99620</v>
      </c>
    </row>
    <row r="26" spans="1:7" x14ac:dyDescent="0.35">
      <c r="A26" s="3" t="s">
        <v>2264</v>
      </c>
      <c r="B26" s="3" t="s">
        <v>909</v>
      </c>
      <c r="C26" s="4">
        <v>89.5</v>
      </c>
      <c r="D26" s="4">
        <v>107.2</v>
      </c>
      <c r="E26" s="4">
        <v>17.7</v>
      </c>
      <c r="F26" s="4">
        <v>19.7</v>
      </c>
      <c r="G26" s="5">
        <v>103260</v>
      </c>
    </row>
    <row r="27" spans="1:7" x14ac:dyDescent="0.35">
      <c r="A27" s="3" t="s">
        <v>2265</v>
      </c>
      <c r="B27" s="3" t="s">
        <v>223</v>
      </c>
      <c r="C27" s="4">
        <v>65.599999999999994</v>
      </c>
      <c r="D27" s="4">
        <v>78.5</v>
      </c>
      <c r="E27" s="4">
        <v>12.8</v>
      </c>
      <c r="F27" s="4">
        <v>19.5</v>
      </c>
      <c r="G27" s="5">
        <v>82210</v>
      </c>
    </row>
    <row r="28" spans="1:7" x14ac:dyDescent="0.35">
      <c r="A28" s="3" t="s">
        <v>2266</v>
      </c>
      <c r="B28" s="3" t="s">
        <v>903</v>
      </c>
      <c r="C28" s="4">
        <v>171.4</v>
      </c>
      <c r="D28" s="4">
        <v>204.5</v>
      </c>
      <c r="E28" s="4">
        <v>33.1</v>
      </c>
      <c r="F28" s="4">
        <v>19.3</v>
      </c>
      <c r="G28" s="5">
        <v>84140</v>
      </c>
    </row>
    <row r="29" spans="1:7" x14ac:dyDescent="0.35">
      <c r="A29" s="3" t="s">
        <v>2267</v>
      </c>
      <c r="B29" s="3" t="s">
        <v>637</v>
      </c>
      <c r="C29" s="4">
        <v>262.8</v>
      </c>
      <c r="D29" s="4">
        <v>313</v>
      </c>
      <c r="E29" s="4">
        <v>50.2</v>
      </c>
      <c r="F29" s="4">
        <v>19.100000000000001</v>
      </c>
      <c r="G29" s="5">
        <v>100300</v>
      </c>
    </row>
    <row r="30" spans="1:7" x14ac:dyDescent="0.35">
      <c r="A30" s="3" t="s">
        <v>2268</v>
      </c>
      <c r="B30" s="3" t="s">
        <v>523</v>
      </c>
      <c r="C30" s="4">
        <v>388.2</v>
      </c>
      <c r="D30" s="4">
        <v>459.6</v>
      </c>
      <c r="E30" s="4">
        <v>71.5</v>
      </c>
      <c r="F30" s="4">
        <v>18.399999999999999</v>
      </c>
      <c r="G30" s="5">
        <v>49710</v>
      </c>
    </row>
    <row r="31" spans="1:7" x14ac:dyDescent="0.35">
      <c r="A31" s="3" t="s">
        <v>2269</v>
      </c>
      <c r="B31" s="3" t="s">
        <v>1061</v>
      </c>
      <c r="C31" s="4">
        <v>134.30000000000001</v>
      </c>
      <c r="D31" s="4">
        <v>158.9</v>
      </c>
      <c r="E31" s="4">
        <v>24.6</v>
      </c>
      <c r="F31" s="4">
        <v>18.3</v>
      </c>
      <c r="G31" s="5">
        <v>49860</v>
      </c>
    </row>
    <row r="32" spans="1:7" x14ac:dyDescent="0.35">
      <c r="A32" s="3" t="s">
        <v>2270</v>
      </c>
      <c r="B32" s="3" t="s">
        <v>185</v>
      </c>
      <c r="C32" s="4">
        <v>208.7</v>
      </c>
      <c r="D32" s="4">
        <v>246.9</v>
      </c>
      <c r="E32" s="4">
        <v>38.299999999999997</v>
      </c>
      <c r="F32" s="4">
        <v>18.3</v>
      </c>
      <c r="G32" s="5">
        <v>77520</v>
      </c>
    </row>
    <row r="33" spans="1:7" x14ac:dyDescent="0.35">
      <c r="A33" s="3" t="s">
        <v>2271</v>
      </c>
      <c r="B33" s="3" t="s">
        <v>639</v>
      </c>
      <c r="C33" s="4">
        <v>85.9</v>
      </c>
      <c r="D33" s="4">
        <v>101.5</v>
      </c>
      <c r="E33" s="4">
        <v>15.6</v>
      </c>
      <c r="F33" s="4">
        <v>18.2</v>
      </c>
      <c r="G33" s="5">
        <v>78580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4921</v>
      </c>
    </row>
    <row r="2" spans="1:7" ht="52.5" x14ac:dyDescent="0.35">
      <c r="A2" s="2" t="s">
        <v>0</v>
      </c>
      <c r="B2" s="2" t="s">
        <v>1</v>
      </c>
      <c r="C2" s="2" t="s">
        <v>2</v>
      </c>
      <c r="D2" s="2" t="s">
        <v>3</v>
      </c>
      <c r="E2" s="2" t="s">
        <v>4</v>
      </c>
      <c r="F2" s="2" t="s">
        <v>5</v>
      </c>
      <c r="G2" s="2" t="s">
        <v>4925</v>
      </c>
    </row>
    <row r="3" spans="1:7" x14ac:dyDescent="0.35">
      <c r="A3" s="3" t="s">
        <v>6</v>
      </c>
      <c r="B3" s="3" t="s">
        <v>7</v>
      </c>
      <c r="C3" s="4">
        <v>164482.6</v>
      </c>
      <c r="D3" s="4">
        <v>169148.1</v>
      </c>
      <c r="E3" s="4">
        <v>4665.5</v>
      </c>
      <c r="F3" s="4">
        <v>2.8</v>
      </c>
      <c r="G3" s="5">
        <v>46310</v>
      </c>
    </row>
    <row r="4" spans="1:7" x14ac:dyDescent="0.35">
      <c r="A4" s="3" t="s">
        <v>2257</v>
      </c>
      <c r="B4" s="3" t="s">
        <v>1035</v>
      </c>
      <c r="C4" s="4">
        <v>3715.5</v>
      </c>
      <c r="D4" s="4">
        <v>4520.1000000000004</v>
      </c>
      <c r="E4" s="4">
        <v>804.6</v>
      </c>
      <c r="F4" s="4">
        <v>21.7</v>
      </c>
      <c r="G4" s="5">
        <v>30180</v>
      </c>
    </row>
    <row r="5" spans="1:7" x14ac:dyDescent="0.35">
      <c r="A5" s="3" t="s">
        <v>2251</v>
      </c>
      <c r="B5" s="3" t="s">
        <v>269</v>
      </c>
      <c r="C5" s="4">
        <v>1594.5</v>
      </c>
      <c r="D5" s="4">
        <v>2004.9</v>
      </c>
      <c r="E5" s="4">
        <v>410.4</v>
      </c>
      <c r="F5" s="4">
        <v>25.7</v>
      </c>
      <c r="G5" s="5">
        <v>127260</v>
      </c>
    </row>
    <row r="6" spans="1:7" x14ac:dyDescent="0.35">
      <c r="A6" s="3" t="s">
        <v>2262</v>
      </c>
      <c r="B6" s="3" t="s">
        <v>1167</v>
      </c>
      <c r="C6" s="4">
        <v>1361.2</v>
      </c>
      <c r="D6" s="4">
        <v>1638.9</v>
      </c>
      <c r="E6" s="4">
        <v>277.60000000000002</v>
      </c>
      <c r="F6" s="4">
        <v>20.399999999999999</v>
      </c>
      <c r="G6" s="5">
        <v>34110</v>
      </c>
    </row>
    <row r="7" spans="1:7" x14ac:dyDescent="0.35">
      <c r="A7" s="3" t="s">
        <v>2272</v>
      </c>
      <c r="B7" s="3" t="s">
        <v>2227</v>
      </c>
      <c r="C7" s="4">
        <v>2851.6</v>
      </c>
      <c r="D7" s="4">
        <v>3030.3</v>
      </c>
      <c r="E7" s="4">
        <v>178.6</v>
      </c>
      <c r="F7" s="4">
        <v>6.3</v>
      </c>
      <c r="G7" s="5">
        <v>34220</v>
      </c>
    </row>
    <row r="8" spans="1:7" x14ac:dyDescent="0.35">
      <c r="A8" s="3" t="s">
        <v>2273</v>
      </c>
      <c r="B8" s="3" t="s">
        <v>911</v>
      </c>
      <c r="C8" s="4">
        <v>3172.5</v>
      </c>
      <c r="D8" s="4">
        <v>3349.9</v>
      </c>
      <c r="E8" s="4">
        <v>177.4</v>
      </c>
      <c r="F8" s="4">
        <v>5.6</v>
      </c>
      <c r="G8" s="5">
        <v>81220</v>
      </c>
    </row>
    <row r="9" spans="1:7" x14ac:dyDescent="0.35">
      <c r="A9" s="3" t="s">
        <v>2274</v>
      </c>
      <c r="B9" s="3" t="s">
        <v>2221</v>
      </c>
      <c r="C9" s="4">
        <v>2988.5</v>
      </c>
      <c r="D9" s="4">
        <v>3147.3</v>
      </c>
      <c r="E9" s="4">
        <v>158.80000000000001</v>
      </c>
      <c r="F9" s="4">
        <v>5.3</v>
      </c>
      <c r="G9" s="5">
        <v>36110</v>
      </c>
    </row>
    <row r="10" spans="1:7" x14ac:dyDescent="0.35">
      <c r="A10" s="3" t="s">
        <v>2275</v>
      </c>
      <c r="B10" s="3" t="s">
        <v>67</v>
      </c>
      <c r="C10" s="4">
        <v>3507.8</v>
      </c>
      <c r="D10" s="4">
        <v>3655.1</v>
      </c>
      <c r="E10" s="4">
        <v>147.30000000000001</v>
      </c>
      <c r="F10" s="4">
        <v>4.2</v>
      </c>
      <c r="G10" s="5">
        <v>98100</v>
      </c>
    </row>
    <row r="11" spans="1:7" x14ac:dyDescent="0.35">
      <c r="A11" s="3" t="s">
        <v>2247</v>
      </c>
      <c r="B11" s="3" t="s">
        <v>139</v>
      </c>
      <c r="C11" s="4">
        <v>509.5</v>
      </c>
      <c r="D11" s="4">
        <v>654.20000000000005</v>
      </c>
      <c r="E11" s="4">
        <v>144.69999999999999</v>
      </c>
      <c r="F11" s="4">
        <v>28.4</v>
      </c>
      <c r="G11" s="5">
        <v>104830</v>
      </c>
    </row>
    <row r="12" spans="1:7" x14ac:dyDescent="0.35">
      <c r="A12" s="3" t="s">
        <v>2276</v>
      </c>
      <c r="B12" s="3" t="s">
        <v>2143</v>
      </c>
      <c r="C12" s="4">
        <v>1164.5999999999999</v>
      </c>
      <c r="D12" s="4">
        <v>1298.4000000000001</v>
      </c>
      <c r="E12" s="4">
        <v>133.80000000000001</v>
      </c>
      <c r="F12" s="4">
        <v>11.5</v>
      </c>
      <c r="G12" s="5">
        <v>40410</v>
      </c>
    </row>
    <row r="13" spans="1:7" x14ac:dyDescent="0.35">
      <c r="A13" s="3" t="s">
        <v>2277</v>
      </c>
      <c r="B13" s="3" t="s">
        <v>97</v>
      </c>
      <c r="C13" s="4">
        <v>792.6</v>
      </c>
      <c r="D13" s="4">
        <v>919.2</v>
      </c>
      <c r="E13" s="4">
        <v>126.6</v>
      </c>
      <c r="F13" s="4">
        <v>16</v>
      </c>
      <c r="G13" s="5">
        <v>139790</v>
      </c>
    </row>
    <row r="14" spans="1:7" x14ac:dyDescent="0.35">
      <c r="A14" s="3" t="s">
        <v>2243</v>
      </c>
      <c r="B14" s="3" t="s">
        <v>917</v>
      </c>
      <c r="C14" s="4">
        <v>266.3</v>
      </c>
      <c r="D14" s="4">
        <v>384.9</v>
      </c>
      <c r="E14" s="4">
        <v>118.6</v>
      </c>
      <c r="F14" s="4">
        <v>44.5</v>
      </c>
      <c r="G14" s="5">
        <v>121610</v>
      </c>
    </row>
    <row r="15" spans="1:7" x14ac:dyDescent="0.35">
      <c r="A15" s="3" t="s">
        <v>2278</v>
      </c>
      <c r="B15" s="3" t="s">
        <v>199</v>
      </c>
      <c r="C15" s="4">
        <v>868.6</v>
      </c>
      <c r="D15" s="4">
        <v>985.2</v>
      </c>
      <c r="E15" s="4">
        <v>116.6</v>
      </c>
      <c r="F15" s="4">
        <v>13.4</v>
      </c>
      <c r="G15" s="5">
        <v>68230</v>
      </c>
    </row>
    <row r="16" spans="1:7" x14ac:dyDescent="0.35">
      <c r="A16" s="3" t="s">
        <v>2279</v>
      </c>
      <c r="B16" s="3" t="s">
        <v>1067</v>
      </c>
      <c r="C16" s="4">
        <v>764.4</v>
      </c>
      <c r="D16" s="4">
        <v>870.2</v>
      </c>
      <c r="E16" s="4">
        <v>105.9</v>
      </c>
      <c r="F16" s="4">
        <v>13.9</v>
      </c>
      <c r="G16" s="5">
        <v>38270</v>
      </c>
    </row>
    <row r="17" spans="1:7" x14ac:dyDescent="0.35">
      <c r="A17" s="3" t="s">
        <v>2280</v>
      </c>
      <c r="B17" s="3" t="s">
        <v>189</v>
      </c>
      <c r="C17" s="4">
        <v>987.6</v>
      </c>
      <c r="D17" s="4">
        <v>1083.3</v>
      </c>
      <c r="E17" s="4">
        <v>95.7</v>
      </c>
      <c r="F17" s="4">
        <v>9.6999999999999993</v>
      </c>
      <c r="G17" s="5">
        <v>95290</v>
      </c>
    </row>
    <row r="18" spans="1:7" x14ac:dyDescent="0.35">
      <c r="A18" s="3" t="s">
        <v>2281</v>
      </c>
      <c r="B18" s="3" t="s">
        <v>2141</v>
      </c>
      <c r="C18" s="4">
        <v>2192.3000000000002</v>
      </c>
      <c r="D18" s="4">
        <v>2281.5</v>
      </c>
      <c r="E18" s="4">
        <v>89.3</v>
      </c>
      <c r="F18" s="4">
        <v>4.0999999999999996</v>
      </c>
      <c r="G18" s="5">
        <v>49920</v>
      </c>
    </row>
    <row r="19" spans="1:7" x14ac:dyDescent="0.35">
      <c r="A19" s="3" t="s">
        <v>2282</v>
      </c>
      <c r="B19" s="3" t="s">
        <v>95</v>
      </c>
      <c r="C19" s="4">
        <v>557.4</v>
      </c>
      <c r="D19" s="4">
        <v>643.29999999999995</v>
      </c>
      <c r="E19" s="4">
        <v>86</v>
      </c>
      <c r="F19" s="4">
        <v>15.4</v>
      </c>
      <c r="G19" s="5">
        <v>164070</v>
      </c>
    </row>
    <row r="20" spans="1:7" x14ac:dyDescent="0.35">
      <c r="A20" s="3" t="s">
        <v>2268</v>
      </c>
      <c r="B20" s="3" t="s">
        <v>523</v>
      </c>
      <c r="C20" s="4">
        <v>388.2</v>
      </c>
      <c r="D20" s="4">
        <v>459.6</v>
      </c>
      <c r="E20" s="4">
        <v>71.5</v>
      </c>
      <c r="F20" s="4">
        <v>18.399999999999999</v>
      </c>
      <c r="G20" s="5">
        <v>49710</v>
      </c>
    </row>
    <row r="21" spans="1:7" x14ac:dyDescent="0.35">
      <c r="A21" s="3" t="s">
        <v>2283</v>
      </c>
      <c r="B21" s="3" t="s">
        <v>205</v>
      </c>
      <c r="C21" s="4">
        <v>1538.4</v>
      </c>
      <c r="D21" s="4">
        <v>1605.8</v>
      </c>
      <c r="E21" s="4">
        <v>67.400000000000006</v>
      </c>
      <c r="F21" s="4">
        <v>4.4000000000000004</v>
      </c>
      <c r="G21" s="5">
        <v>78000</v>
      </c>
    </row>
    <row r="22" spans="1:7" x14ac:dyDescent="0.35">
      <c r="A22" s="3" t="s">
        <v>2284</v>
      </c>
      <c r="B22" s="3" t="s">
        <v>561</v>
      </c>
      <c r="C22" s="4">
        <v>826.3</v>
      </c>
      <c r="D22" s="4">
        <v>888.7</v>
      </c>
      <c r="E22" s="4">
        <v>62.4</v>
      </c>
      <c r="F22" s="4">
        <v>7.5</v>
      </c>
      <c r="G22" s="5">
        <v>135740</v>
      </c>
    </row>
    <row r="23" spans="1:7" x14ac:dyDescent="0.35">
      <c r="A23" s="3" t="s">
        <v>2285</v>
      </c>
      <c r="B23" s="3" t="s">
        <v>1581</v>
      </c>
      <c r="C23" s="4">
        <v>1418.6</v>
      </c>
      <c r="D23" s="4">
        <v>1480.5</v>
      </c>
      <c r="E23" s="4">
        <v>61.9</v>
      </c>
      <c r="F23" s="4">
        <v>4.4000000000000004</v>
      </c>
      <c r="G23" s="5">
        <v>40750</v>
      </c>
    </row>
    <row r="24" spans="1:7" x14ac:dyDescent="0.35">
      <c r="A24" s="3" t="s">
        <v>2286</v>
      </c>
      <c r="B24" s="3" t="s">
        <v>1155</v>
      </c>
      <c r="C24" s="4">
        <v>1221.7</v>
      </c>
      <c r="D24" s="4">
        <v>1281.8</v>
      </c>
      <c r="E24" s="4">
        <v>60</v>
      </c>
      <c r="F24" s="4">
        <v>4.9000000000000004</v>
      </c>
      <c r="G24" s="5">
        <v>37050</v>
      </c>
    </row>
    <row r="25" spans="1:7" x14ac:dyDescent="0.35">
      <c r="A25" s="3" t="s">
        <v>2287</v>
      </c>
      <c r="B25" s="3" t="s">
        <v>1785</v>
      </c>
      <c r="C25" s="4">
        <v>402.2</v>
      </c>
      <c r="D25" s="4">
        <v>462.1</v>
      </c>
      <c r="E25" s="4">
        <v>59.9</v>
      </c>
      <c r="F25" s="4">
        <v>14.9</v>
      </c>
      <c r="G25" s="5">
        <v>59830</v>
      </c>
    </row>
    <row r="26" spans="1:7" x14ac:dyDescent="0.35">
      <c r="A26" s="3" t="s">
        <v>2244</v>
      </c>
      <c r="B26" s="3" t="s">
        <v>289</v>
      </c>
      <c r="C26" s="4">
        <v>168.9</v>
      </c>
      <c r="D26" s="4">
        <v>228.2</v>
      </c>
      <c r="E26" s="4">
        <v>59.4</v>
      </c>
      <c r="F26" s="4">
        <v>35.200000000000003</v>
      </c>
      <c r="G26" s="5">
        <v>103500</v>
      </c>
    </row>
    <row r="27" spans="1:7" x14ac:dyDescent="0.35">
      <c r="A27" s="3" t="s">
        <v>2288</v>
      </c>
      <c r="B27" s="3" t="s">
        <v>1811</v>
      </c>
      <c r="C27" s="4">
        <v>1607.2</v>
      </c>
      <c r="D27" s="4">
        <v>1664.4</v>
      </c>
      <c r="E27" s="4">
        <v>57.2</v>
      </c>
      <c r="F27" s="4">
        <v>3.6</v>
      </c>
      <c r="G27" s="5">
        <v>44980</v>
      </c>
    </row>
    <row r="28" spans="1:7" x14ac:dyDescent="0.35">
      <c r="A28" s="3" t="s">
        <v>2289</v>
      </c>
      <c r="B28" s="3" t="s">
        <v>1039</v>
      </c>
      <c r="C28" s="4">
        <v>1361.3</v>
      </c>
      <c r="D28" s="4">
        <v>1417.8</v>
      </c>
      <c r="E28" s="4">
        <v>56.5</v>
      </c>
      <c r="F28" s="4">
        <v>4.0999999999999996</v>
      </c>
      <c r="G28" s="5">
        <v>35760</v>
      </c>
    </row>
    <row r="29" spans="1:7" x14ac:dyDescent="0.35">
      <c r="A29" s="3" t="s">
        <v>2290</v>
      </c>
      <c r="B29" s="3" t="s">
        <v>187</v>
      </c>
      <c r="C29" s="4">
        <v>881.3</v>
      </c>
      <c r="D29" s="4">
        <v>936</v>
      </c>
      <c r="E29" s="4">
        <v>54.7</v>
      </c>
      <c r="F29" s="4">
        <v>6.2</v>
      </c>
      <c r="G29" s="5">
        <v>95370</v>
      </c>
    </row>
    <row r="30" spans="1:7" x14ac:dyDescent="0.35">
      <c r="A30" s="3" t="s">
        <v>2246</v>
      </c>
      <c r="B30" s="3" t="s">
        <v>245</v>
      </c>
      <c r="C30" s="4">
        <v>168.9</v>
      </c>
      <c r="D30" s="4">
        <v>222.2</v>
      </c>
      <c r="E30" s="4">
        <v>53.2</v>
      </c>
      <c r="F30" s="4">
        <v>31.5</v>
      </c>
      <c r="G30" s="5">
        <v>112000</v>
      </c>
    </row>
    <row r="31" spans="1:7" x14ac:dyDescent="0.35">
      <c r="A31" s="3" t="s">
        <v>2291</v>
      </c>
      <c r="B31" s="3" t="s">
        <v>1237</v>
      </c>
      <c r="C31" s="4">
        <v>339</v>
      </c>
      <c r="D31" s="4">
        <v>391.5</v>
      </c>
      <c r="E31" s="4">
        <v>52.5</v>
      </c>
      <c r="F31" s="4">
        <v>15.5</v>
      </c>
      <c r="G31" s="5">
        <v>29530</v>
      </c>
    </row>
    <row r="32" spans="1:7" x14ac:dyDescent="0.35">
      <c r="A32" s="3" t="s">
        <v>2292</v>
      </c>
      <c r="B32" s="3" t="s">
        <v>177</v>
      </c>
      <c r="C32" s="4">
        <v>874.5</v>
      </c>
      <c r="D32" s="4">
        <v>925.9</v>
      </c>
      <c r="E32" s="4">
        <v>51.4</v>
      </c>
      <c r="F32" s="4">
        <v>5.9</v>
      </c>
      <c r="G32" s="5">
        <v>64240</v>
      </c>
    </row>
    <row r="33" spans="1:7" x14ac:dyDescent="0.35">
      <c r="A33" s="3" t="s">
        <v>2293</v>
      </c>
      <c r="B33" s="3" t="s">
        <v>243</v>
      </c>
      <c r="C33" s="4">
        <v>531.4</v>
      </c>
      <c r="D33" s="4">
        <v>582.6</v>
      </c>
      <c r="E33" s="4">
        <v>51.1</v>
      </c>
      <c r="F33" s="4">
        <v>9.6</v>
      </c>
      <c r="G33" s="5">
        <v>102240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 t="s">
        <v>4927</v>
      </c>
    </row>
    <row r="2" spans="1:7" ht="52.5" x14ac:dyDescent="0.35">
      <c r="A2" s="2" t="s">
        <v>0</v>
      </c>
      <c r="B2" s="2" t="s">
        <v>1</v>
      </c>
      <c r="C2" s="2" t="s">
        <v>2</v>
      </c>
      <c r="D2" s="2" t="s">
        <v>3</v>
      </c>
      <c r="E2" s="2" t="s">
        <v>4</v>
      </c>
      <c r="F2" s="2" t="s">
        <v>5</v>
      </c>
      <c r="G2" s="2" t="s">
        <v>4925</v>
      </c>
    </row>
    <row r="3" spans="1:7" x14ac:dyDescent="0.35">
      <c r="A3" s="3" t="s">
        <v>6</v>
      </c>
      <c r="B3" s="3" t="s">
        <v>7</v>
      </c>
      <c r="C3" s="4">
        <v>164482.6</v>
      </c>
      <c r="D3" s="4">
        <v>169148.1</v>
      </c>
      <c r="E3" s="4">
        <v>4665.5</v>
      </c>
      <c r="F3" s="4">
        <v>2.8</v>
      </c>
      <c r="G3" s="5">
        <v>46310</v>
      </c>
    </row>
    <row r="4" spans="1:7" x14ac:dyDescent="0.35">
      <c r="A4" s="3" t="s">
        <v>2294</v>
      </c>
      <c r="B4" s="3" t="s">
        <v>1491</v>
      </c>
      <c r="C4" s="4">
        <v>44</v>
      </c>
      <c r="D4" s="4">
        <v>27</v>
      </c>
      <c r="E4" s="4">
        <v>-17</v>
      </c>
      <c r="F4" s="4">
        <v>-38.6</v>
      </c>
      <c r="G4" s="5">
        <v>44330</v>
      </c>
    </row>
    <row r="5" spans="1:7" x14ac:dyDescent="0.35">
      <c r="A5" s="3" t="s">
        <v>2295</v>
      </c>
      <c r="B5" s="3" t="s">
        <v>1807</v>
      </c>
      <c r="C5" s="4">
        <v>2.1</v>
      </c>
      <c r="D5" s="4">
        <v>1.4</v>
      </c>
      <c r="E5" s="4">
        <v>-0.6</v>
      </c>
      <c r="F5" s="4">
        <v>-29.8</v>
      </c>
      <c r="G5" s="5">
        <v>48370</v>
      </c>
    </row>
    <row r="6" spans="1:7" x14ac:dyDescent="0.35">
      <c r="A6" s="3" t="s">
        <v>2296</v>
      </c>
      <c r="B6" s="3" t="s">
        <v>1687</v>
      </c>
      <c r="C6" s="4">
        <v>1.8</v>
      </c>
      <c r="D6" s="4">
        <v>1.3</v>
      </c>
      <c r="E6" s="4">
        <v>-0.5</v>
      </c>
      <c r="F6" s="4">
        <v>-28.5</v>
      </c>
      <c r="G6" s="5">
        <v>60210</v>
      </c>
    </row>
    <row r="7" spans="1:7" x14ac:dyDescent="0.35">
      <c r="A7" s="3" t="s">
        <v>2297</v>
      </c>
      <c r="B7" s="3" t="s">
        <v>2053</v>
      </c>
      <c r="C7" s="4">
        <v>8.3000000000000007</v>
      </c>
      <c r="D7" s="4">
        <v>5.9</v>
      </c>
      <c r="E7" s="4">
        <v>-2.2999999999999998</v>
      </c>
      <c r="F7" s="4">
        <v>-28.2</v>
      </c>
      <c r="G7" s="5">
        <v>36130</v>
      </c>
    </row>
    <row r="8" spans="1:7" x14ac:dyDescent="0.35">
      <c r="A8" s="3" t="s">
        <v>2298</v>
      </c>
      <c r="B8" s="3" t="s">
        <v>1389</v>
      </c>
      <c r="C8" s="4">
        <v>4.0999999999999996</v>
      </c>
      <c r="D8" s="4">
        <v>3</v>
      </c>
      <c r="E8" s="4">
        <v>-1.1000000000000001</v>
      </c>
      <c r="F8" s="4">
        <v>-26.6</v>
      </c>
      <c r="G8" s="5">
        <v>38330</v>
      </c>
    </row>
    <row r="9" spans="1:7" x14ac:dyDescent="0.35">
      <c r="A9" s="3" t="s">
        <v>2299</v>
      </c>
      <c r="B9" s="3" t="s">
        <v>1489</v>
      </c>
      <c r="C9" s="4">
        <v>165.6</v>
      </c>
      <c r="D9" s="4">
        <v>122.5</v>
      </c>
      <c r="E9" s="4">
        <v>-43.1</v>
      </c>
      <c r="F9" s="4">
        <v>-26</v>
      </c>
      <c r="G9" s="5">
        <v>36190</v>
      </c>
    </row>
    <row r="10" spans="1:7" x14ac:dyDescent="0.35">
      <c r="A10" s="3" t="s">
        <v>2300</v>
      </c>
      <c r="B10" s="3" t="s">
        <v>1387</v>
      </c>
      <c r="C10" s="4">
        <v>48.4</v>
      </c>
      <c r="D10" s="4">
        <v>36.200000000000003</v>
      </c>
      <c r="E10" s="4">
        <v>-12.1</v>
      </c>
      <c r="F10" s="4">
        <v>-25.1</v>
      </c>
      <c r="G10" s="5">
        <v>34670</v>
      </c>
    </row>
    <row r="11" spans="1:7" x14ac:dyDescent="0.35">
      <c r="A11" s="3" t="s">
        <v>2301</v>
      </c>
      <c r="B11" s="3" t="s">
        <v>1917</v>
      </c>
      <c r="C11" s="4">
        <v>11.5</v>
      </c>
      <c r="D11" s="4">
        <v>8.8000000000000007</v>
      </c>
      <c r="E11" s="4">
        <v>-2.7</v>
      </c>
      <c r="F11" s="4">
        <v>-23.5</v>
      </c>
      <c r="G11" s="5">
        <v>40120</v>
      </c>
    </row>
    <row r="12" spans="1:7" x14ac:dyDescent="0.35">
      <c r="A12" s="3" t="s">
        <v>2302</v>
      </c>
      <c r="B12" s="3" t="s">
        <v>1479</v>
      </c>
      <c r="C12" s="4">
        <v>161.4</v>
      </c>
      <c r="D12" s="4">
        <v>126.2</v>
      </c>
      <c r="E12" s="4">
        <v>-35.299999999999997</v>
      </c>
      <c r="F12" s="4">
        <v>-21.8</v>
      </c>
      <c r="G12" s="5">
        <v>48780</v>
      </c>
    </row>
    <row r="13" spans="1:7" x14ac:dyDescent="0.35">
      <c r="A13" s="3" t="s">
        <v>2303</v>
      </c>
      <c r="B13" s="3" t="s">
        <v>1955</v>
      </c>
      <c r="C13" s="4">
        <v>29.8</v>
      </c>
      <c r="D13" s="4">
        <v>23.3</v>
      </c>
      <c r="E13" s="4">
        <v>-6.5</v>
      </c>
      <c r="F13" s="4">
        <v>-21.8</v>
      </c>
      <c r="G13" s="5">
        <v>29690</v>
      </c>
    </row>
    <row r="14" spans="1:7" x14ac:dyDescent="0.35">
      <c r="A14" s="3" t="s">
        <v>2304</v>
      </c>
      <c r="B14" s="3" t="s">
        <v>1913</v>
      </c>
      <c r="C14" s="4">
        <v>2.2999999999999998</v>
      </c>
      <c r="D14" s="4">
        <v>1.8</v>
      </c>
      <c r="E14" s="4">
        <v>-0.5</v>
      </c>
      <c r="F14" s="4">
        <v>-21.6</v>
      </c>
      <c r="G14" s="5">
        <v>54970</v>
      </c>
    </row>
    <row r="15" spans="1:7" x14ac:dyDescent="0.35">
      <c r="A15" s="3" t="s">
        <v>2305</v>
      </c>
      <c r="B15" s="3" t="s">
        <v>1791</v>
      </c>
      <c r="C15" s="4">
        <v>0.6</v>
      </c>
      <c r="D15" s="4">
        <v>0.5</v>
      </c>
      <c r="E15" s="4">
        <v>-0.1</v>
      </c>
      <c r="F15" s="4">
        <v>-21.4</v>
      </c>
      <c r="G15" s="5">
        <v>50550</v>
      </c>
    </row>
    <row r="16" spans="1:7" x14ac:dyDescent="0.35">
      <c r="A16" s="3" t="s">
        <v>2306</v>
      </c>
      <c r="B16" s="3" t="s">
        <v>1477</v>
      </c>
      <c r="C16" s="4">
        <v>511.1</v>
      </c>
      <c r="D16" s="4">
        <v>403</v>
      </c>
      <c r="E16" s="4">
        <v>-108.1</v>
      </c>
      <c r="F16" s="4">
        <v>-21.1</v>
      </c>
      <c r="G16" s="5">
        <v>65980</v>
      </c>
    </row>
    <row r="17" spans="1:7" x14ac:dyDescent="0.35">
      <c r="A17" s="3" t="s">
        <v>2307</v>
      </c>
      <c r="B17" s="3" t="s">
        <v>1823</v>
      </c>
      <c r="C17" s="4">
        <v>4.0999999999999996</v>
      </c>
      <c r="D17" s="4">
        <v>3.2</v>
      </c>
      <c r="E17" s="4">
        <v>-0.9</v>
      </c>
      <c r="F17" s="4">
        <v>-21</v>
      </c>
      <c r="G17" s="5">
        <v>36820</v>
      </c>
    </row>
    <row r="18" spans="1:7" x14ac:dyDescent="0.35">
      <c r="A18" s="3" t="s">
        <v>2308</v>
      </c>
      <c r="B18" s="3" t="s">
        <v>1373</v>
      </c>
      <c r="C18" s="4">
        <v>97.7</v>
      </c>
      <c r="D18" s="4">
        <v>77.599999999999994</v>
      </c>
      <c r="E18" s="4">
        <v>-20.100000000000001</v>
      </c>
      <c r="F18" s="4">
        <v>-20.6</v>
      </c>
      <c r="G18" s="5">
        <v>31030</v>
      </c>
    </row>
    <row r="19" spans="1:7" x14ac:dyDescent="0.35">
      <c r="A19" s="3" t="s">
        <v>2309</v>
      </c>
      <c r="B19" s="3" t="s">
        <v>2047</v>
      </c>
      <c r="C19" s="4">
        <v>14.5</v>
      </c>
      <c r="D19" s="4">
        <v>11.7</v>
      </c>
      <c r="E19" s="4">
        <v>-2.8</v>
      </c>
      <c r="F19" s="4">
        <v>-19.5</v>
      </c>
      <c r="G19" s="5">
        <v>36960</v>
      </c>
    </row>
    <row r="20" spans="1:7" x14ac:dyDescent="0.35">
      <c r="A20" s="3" t="s">
        <v>2310</v>
      </c>
      <c r="B20" s="3" t="s">
        <v>1847</v>
      </c>
      <c r="C20" s="4">
        <v>50.9</v>
      </c>
      <c r="D20" s="4">
        <v>41.3</v>
      </c>
      <c r="E20" s="4">
        <v>-9.6</v>
      </c>
      <c r="F20" s="4">
        <v>-18.899999999999999</v>
      </c>
      <c r="G20" s="5">
        <v>50850</v>
      </c>
    </row>
    <row r="21" spans="1:7" x14ac:dyDescent="0.35">
      <c r="A21" s="3" t="s">
        <v>2311</v>
      </c>
      <c r="B21" s="3" t="s">
        <v>1911</v>
      </c>
      <c r="C21" s="4">
        <v>3.4</v>
      </c>
      <c r="D21" s="4">
        <v>2.8</v>
      </c>
      <c r="E21" s="4">
        <v>-0.6</v>
      </c>
      <c r="F21" s="4">
        <v>-18.8</v>
      </c>
      <c r="G21" s="5">
        <v>57620</v>
      </c>
    </row>
    <row r="22" spans="1:7" x14ac:dyDescent="0.35">
      <c r="A22" s="3" t="s">
        <v>2312</v>
      </c>
      <c r="B22" s="3" t="s">
        <v>1853</v>
      </c>
      <c r="C22" s="4">
        <v>0.4</v>
      </c>
      <c r="D22" s="4">
        <v>0.3</v>
      </c>
      <c r="E22" s="4">
        <v>-0.1</v>
      </c>
      <c r="F22" s="4">
        <v>-18.7</v>
      </c>
      <c r="G22" s="5">
        <v>42290</v>
      </c>
    </row>
    <row r="23" spans="1:7" x14ac:dyDescent="0.35">
      <c r="A23" s="3" t="s">
        <v>2313</v>
      </c>
      <c r="B23" s="3" t="s">
        <v>1893</v>
      </c>
      <c r="C23" s="4">
        <v>6.6</v>
      </c>
      <c r="D23" s="4">
        <v>5.4</v>
      </c>
      <c r="E23" s="4">
        <v>-1.2</v>
      </c>
      <c r="F23" s="4">
        <v>-18.3</v>
      </c>
      <c r="G23" s="5">
        <v>42450</v>
      </c>
    </row>
    <row r="24" spans="1:7" x14ac:dyDescent="0.35">
      <c r="A24" s="3" t="s">
        <v>2314</v>
      </c>
      <c r="B24" s="3" t="s">
        <v>1437</v>
      </c>
      <c r="C24" s="4">
        <v>132.80000000000001</v>
      </c>
      <c r="D24" s="4">
        <v>108.6</v>
      </c>
      <c r="E24" s="4">
        <v>-24.2</v>
      </c>
      <c r="F24" s="4">
        <v>-18.2</v>
      </c>
      <c r="G24" s="5">
        <v>38060</v>
      </c>
    </row>
    <row r="25" spans="1:7" x14ac:dyDescent="0.35">
      <c r="A25" s="3" t="s">
        <v>2315</v>
      </c>
      <c r="B25" s="3" t="s">
        <v>773</v>
      </c>
      <c r="C25" s="4">
        <v>54.5</v>
      </c>
      <c r="D25" s="4">
        <v>44.7</v>
      </c>
      <c r="E25" s="4">
        <v>-9.8000000000000007</v>
      </c>
      <c r="F25" s="4">
        <v>-18</v>
      </c>
      <c r="G25" s="5">
        <v>33160</v>
      </c>
    </row>
    <row r="26" spans="1:7" x14ac:dyDescent="0.35">
      <c r="A26" s="3" t="s">
        <v>2316</v>
      </c>
      <c r="B26" s="3" t="s">
        <v>1727</v>
      </c>
      <c r="C26" s="4">
        <v>9.6999999999999993</v>
      </c>
      <c r="D26" s="4">
        <v>7.9</v>
      </c>
      <c r="E26" s="4">
        <v>-1.7</v>
      </c>
      <c r="F26" s="4">
        <v>-18</v>
      </c>
      <c r="G26" s="5">
        <v>41600</v>
      </c>
    </row>
    <row r="27" spans="1:7" x14ac:dyDescent="0.35">
      <c r="A27" s="3" t="s">
        <v>2317</v>
      </c>
      <c r="B27" s="3" t="s">
        <v>1689</v>
      </c>
      <c r="C27" s="4">
        <v>5.4</v>
      </c>
      <c r="D27" s="4">
        <v>4.4000000000000004</v>
      </c>
      <c r="E27" s="4">
        <v>-1</v>
      </c>
      <c r="F27" s="4">
        <v>-17.7</v>
      </c>
      <c r="G27" s="5">
        <v>63920</v>
      </c>
    </row>
    <row r="28" spans="1:7" x14ac:dyDescent="0.35">
      <c r="A28" s="3" t="s">
        <v>2318</v>
      </c>
      <c r="B28" s="3" t="s">
        <v>1945</v>
      </c>
      <c r="C28" s="4">
        <v>25.7</v>
      </c>
      <c r="D28" s="4">
        <v>21.3</v>
      </c>
      <c r="E28" s="4">
        <v>-4.4000000000000004</v>
      </c>
      <c r="F28" s="4">
        <v>-17.100000000000001</v>
      </c>
      <c r="G28" s="5">
        <v>43560</v>
      </c>
    </row>
    <row r="29" spans="1:7" x14ac:dyDescent="0.35">
      <c r="A29" s="3" t="s">
        <v>2319</v>
      </c>
      <c r="B29" s="3" t="s">
        <v>1843</v>
      </c>
      <c r="C29" s="4">
        <v>11.1</v>
      </c>
      <c r="D29" s="4">
        <v>9.3000000000000007</v>
      </c>
      <c r="E29" s="4">
        <v>-1.8</v>
      </c>
      <c r="F29" s="4">
        <v>-16.600000000000001</v>
      </c>
      <c r="G29" s="5">
        <v>43160</v>
      </c>
    </row>
    <row r="30" spans="1:7" x14ac:dyDescent="0.35">
      <c r="A30" s="3" t="s">
        <v>2320</v>
      </c>
      <c r="B30" s="3" t="s">
        <v>1849</v>
      </c>
      <c r="C30" s="4">
        <v>59.6</v>
      </c>
      <c r="D30" s="4">
        <v>49.8</v>
      </c>
      <c r="E30" s="4">
        <v>-9.8000000000000007</v>
      </c>
      <c r="F30" s="4">
        <v>-16.399999999999999</v>
      </c>
      <c r="G30" s="5">
        <v>47200</v>
      </c>
    </row>
    <row r="31" spans="1:7" x14ac:dyDescent="0.35">
      <c r="A31" s="3" t="s">
        <v>2321</v>
      </c>
      <c r="B31" s="3" t="s">
        <v>1403</v>
      </c>
      <c r="C31" s="4">
        <v>165.4</v>
      </c>
      <c r="D31" s="4">
        <v>138.30000000000001</v>
      </c>
      <c r="E31" s="4">
        <v>-27.2</v>
      </c>
      <c r="F31" s="4">
        <v>-16.399999999999999</v>
      </c>
      <c r="G31" s="5">
        <v>49630</v>
      </c>
    </row>
    <row r="32" spans="1:7" x14ac:dyDescent="0.35">
      <c r="A32" s="3" t="s">
        <v>2322</v>
      </c>
      <c r="B32" s="3" t="s">
        <v>1949</v>
      </c>
      <c r="C32" s="4">
        <v>41.4</v>
      </c>
      <c r="D32" s="4">
        <v>34.6</v>
      </c>
      <c r="E32" s="4">
        <v>-6.8</v>
      </c>
      <c r="F32" s="4">
        <v>-16.399999999999999</v>
      </c>
      <c r="G32" s="5">
        <v>36970</v>
      </c>
    </row>
    <row r="33" spans="1:7" x14ac:dyDescent="0.35">
      <c r="A33" s="3" t="s">
        <v>2323</v>
      </c>
      <c r="B33" s="3" t="s">
        <v>1425</v>
      </c>
      <c r="C33" s="4">
        <v>91.1</v>
      </c>
      <c r="D33" s="4">
        <v>76.5</v>
      </c>
      <c r="E33" s="4">
        <v>-14.6</v>
      </c>
      <c r="F33" s="4">
        <v>-16</v>
      </c>
      <c r="G33" s="5">
        <v>37290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4922</v>
      </c>
    </row>
    <row r="2" spans="1:7" ht="52.5" x14ac:dyDescent="0.35">
      <c r="A2" s="2" t="s">
        <v>0</v>
      </c>
      <c r="B2" s="2" t="s">
        <v>1</v>
      </c>
      <c r="C2" s="2" t="s">
        <v>2</v>
      </c>
      <c r="D2" s="2" t="s">
        <v>3</v>
      </c>
      <c r="E2" s="2" t="s">
        <v>4</v>
      </c>
      <c r="F2" s="2" t="s">
        <v>5</v>
      </c>
      <c r="G2" s="2" t="s">
        <v>4925</v>
      </c>
    </row>
    <row r="3" spans="1:7" x14ac:dyDescent="0.35">
      <c r="A3" s="3" t="s">
        <v>6</v>
      </c>
      <c r="B3" s="3" t="s">
        <v>7</v>
      </c>
      <c r="C3" s="4">
        <v>164482.6</v>
      </c>
      <c r="D3" s="4">
        <v>169148.1</v>
      </c>
      <c r="E3" s="4">
        <v>4665.5</v>
      </c>
      <c r="F3" s="4">
        <v>2.8</v>
      </c>
      <c r="G3" s="5">
        <v>46310</v>
      </c>
    </row>
    <row r="4" spans="1:7" x14ac:dyDescent="0.35">
      <c r="A4" s="3" t="s">
        <v>2324</v>
      </c>
      <c r="B4" s="3" t="s">
        <v>1327</v>
      </c>
      <c r="C4" s="4">
        <v>3345.8</v>
      </c>
      <c r="D4" s="4">
        <v>2997.7</v>
      </c>
      <c r="E4" s="4">
        <v>-348.1</v>
      </c>
      <c r="F4" s="4">
        <v>-10.4</v>
      </c>
      <c r="G4" s="5">
        <v>28240</v>
      </c>
    </row>
    <row r="5" spans="1:7" x14ac:dyDescent="0.35">
      <c r="A5" s="3" t="s">
        <v>2325</v>
      </c>
      <c r="B5" s="3" t="s">
        <v>1483</v>
      </c>
      <c r="C5" s="4">
        <v>2030.2</v>
      </c>
      <c r="D5" s="4">
        <v>1794.3</v>
      </c>
      <c r="E5" s="4">
        <v>-235.9</v>
      </c>
      <c r="F5" s="4">
        <v>-11.6</v>
      </c>
      <c r="G5" s="5">
        <v>41000</v>
      </c>
    </row>
    <row r="6" spans="1:7" x14ac:dyDescent="0.35">
      <c r="A6" s="3" t="s">
        <v>2326</v>
      </c>
      <c r="B6" s="3" t="s">
        <v>1499</v>
      </c>
      <c r="C6" s="4">
        <v>2668.2</v>
      </c>
      <c r="D6" s="4">
        <v>2492.8000000000002</v>
      </c>
      <c r="E6" s="4">
        <v>-175.4</v>
      </c>
      <c r="F6" s="4">
        <v>-6.6</v>
      </c>
      <c r="G6" s="5">
        <v>38040</v>
      </c>
    </row>
    <row r="7" spans="1:7" x14ac:dyDescent="0.35">
      <c r="A7" s="3" t="s">
        <v>2327</v>
      </c>
      <c r="B7" s="3" t="s">
        <v>1421</v>
      </c>
      <c r="C7" s="4">
        <v>2982.9</v>
      </c>
      <c r="D7" s="4">
        <v>2820.2</v>
      </c>
      <c r="E7" s="4">
        <v>-162.69999999999999</v>
      </c>
      <c r="F7" s="4">
        <v>-5.5</v>
      </c>
      <c r="G7" s="5">
        <v>37780</v>
      </c>
    </row>
    <row r="8" spans="1:7" x14ac:dyDescent="0.35">
      <c r="A8" s="3" t="s">
        <v>2328</v>
      </c>
      <c r="B8" s="3" t="s">
        <v>1855</v>
      </c>
      <c r="C8" s="4">
        <v>1500.4</v>
      </c>
      <c r="D8" s="4">
        <v>1388.6</v>
      </c>
      <c r="E8" s="4">
        <v>-111.8</v>
      </c>
      <c r="F8" s="4">
        <v>-7.5</v>
      </c>
      <c r="G8" s="5">
        <v>37280</v>
      </c>
    </row>
    <row r="9" spans="1:7" x14ac:dyDescent="0.35">
      <c r="A9" s="3" t="s">
        <v>2329</v>
      </c>
      <c r="B9" s="3" t="s">
        <v>1399</v>
      </c>
      <c r="C9" s="4">
        <v>1735.8</v>
      </c>
      <c r="D9" s="4">
        <v>1627.5</v>
      </c>
      <c r="E9" s="4">
        <v>-108.3</v>
      </c>
      <c r="F9" s="4">
        <v>-6.2</v>
      </c>
      <c r="G9" s="5">
        <v>45860</v>
      </c>
    </row>
    <row r="10" spans="1:7" x14ac:dyDescent="0.35">
      <c r="A10" s="3" t="s">
        <v>2306</v>
      </c>
      <c r="B10" s="3" t="s">
        <v>1477</v>
      </c>
      <c r="C10" s="4">
        <v>511.1</v>
      </c>
      <c r="D10" s="4">
        <v>403</v>
      </c>
      <c r="E10" s="4">
        <v>-108.1</v>
      </c>
      <c r="F10" s="4">
        <v>-21.1</v>
      </c>
      <c r="G10" s="5">
        <v>65980</v>
      </c>
    </row>
    <row r="11" spans="1:7" x14ac:dyDescent="0.35">
      <c r="A11" s="3" t="s">
        <v>2330</v>
      </c>
      <c r="B11" s="3" t="s">
        <v>1161</v>
      </c>
      <c r="C11" s="4">
        <v>742</v>
      </c>
      <c r="D11" s="4">
        <v>640.4</v>
      </c>
      <c r="E11" s="4">
        <v>-101.6</v>
      </c>
      <c r="F11" s="4">
        <v>-13.7</v>
      </c>
      <c r="G11" s="5">
        <v>27640</v>
      </c>
    </row>
    <row r="12" spans="1:7" x14ac:dyDescent="0.35">
      <c r="A12" s="3" t="s">
        <v>2331</v>
      </c>
      <c r="B12" s="3" t="s">
        <v>1319</v>
      </c>
      <c r="C12" s="4">
        <v>1405.8</v>
      </c>
      <c r="D12" s="4">
        <v>1311.8</v>
      </c>
      <c r="E12" s="4">
        <v>-94</v>
      </c>
      <c r="F12" s="4">
        <v>-6.7</v>
      </c>
      <c r="G12" s="5">
        <v>45250</v>
      </c>
    </row>
    <row r="13" spans="1:7" x14ac:dyDescent="0.35">
      <c r="A13" s="3" t="s">
        <v>2332</v>
      </c>
      <c r="B13" s="3" t="s">
        <v>1383</v>
      </c>
      <c r="C13" s="4">
        <v>1567.2</v>
      </c>
      <c r="D13" s="4">
        <v>1486.4</v>
      </c>
      <c r="E13" s="4">
        <v>-80.7</v>
      </c>
      <c r="F13" s="4">
        <v>-5.2</v>
      </c>
      <c r="G13" s="5">
        <v>61370</v>
      </c>
    </row>
    <row r="14" spans="1:7" x14ac:dyDescent="0.35">
      <c r="A14" s="3" t="s">
        <v>2333</v>
      </c>
      <c r="B14" s="3" t="s">
        <v>1337</v>
      </c>
      <c r="C14" s="4">
        <v>3765.6</v>
      </c>
      <c r="D14" s="4">
        <v>3686.4</v>
      </c>
      <c r="E14" s="4">
        <v>-79.099999999999994</v>
      </c>
      <c r="F14" s="4">
        <v>-2.1</v>
      </c>
      <c r="G14" s="5">
        <v>30600</v>
      </c>
    </row>
    <row r="15" spans="1:7" x14ac:dyDescent="0.35">
      <c r="A15" s="3" t="s">
        <v>2334</v>
      </c>
      <c r="B15" s="3" t="s">
        <v>1471</v>
      </c>
      <c r="C15" s="4">
        <v>862.9</v>
      </c>
      <c r="D15" s="4">
        <v>790.6</v>
      </c>
      <c r="E15" s="4">
        <v>-72.2</v>
      </c>
      <c r="F15" s="4">
        <v>-8.4</v>
      </c>
      <c r="G15" s="5">
        <v>37760</v>
      </c>
    </row>
    <row r="16" spans="1:7" x14ac:dyDescent="0.35">
      <c r="A16" s="3" t="s">
        <v>2335</v>
      </c>
      <c r="B16" s="3" t="s">
        <v>1181</v>
      </c>
      <c r="C16" s="4">
        <v>2194.1</v>
      </c>
      <c r="D16" s="4">
        <v>2125.5</v>
      </c>
      <c r="E16" s="4">
        <v>-68.599999999999994</v>
      </c>
      <c r="F16" s="4">
        <v>-3.1</v>
      </c>
      <c r="G16" s="5">
        <v>29120</v>
      </c>
    </row>
    <row r="17" spans="1:7" x14ac:dyDescent="0.35">
      <c r="A17" s="3" t="s">
        <v>2336</v>
      </c>
      <c r="B17" s="3" t="s">
        <v>1407</v>
      </c>
      <c r="C17" s="4">
        <v>364.1</v>
      </c>
      <c r="D17" s="4">
        <v>311.10000000000002</v>
      </c>
      <c r="E17" s="4">
        <v>-52.9</v>
      </c>
      <c r="F17" s="4">
        <v>-14.5</v>
      </c>
      <c r="G17" s="5">
        <v>36380</v>
      </c>
    </row>
    <row r="18" spans="1:7" x14ac:dyDescent="0.35">
      <c r="A18" s="3" t="s">
        <v>2337</v>
      </c>
      <c r="B18" s="3" t="s">
        <v>1173</v>
      </c>
      <c r="C18" s="4">
        <v>931.8</v>
      </c>
      <c r="D18" s="4">
        <v>887</v>
      </c>
      <c r="E18" s="4">
        <v>-44.8</v>
      </c>
      <c r="F18" s="4">
        <v>-4.8</v>
      </c>
      <c r="G18" s="5">
        <v>29790</v>
      </c>
    </row>
    <row r="19" spans="1:7" x14ac:dyDescent="0.35">
      <c r="A19" s="3" t="s">
        <v>2299</v>
      </c>
      <c r="B19" s="3" t="s">
        <v>1489</v>
      </c>
      <c r="C19" s="4">
        <v>165.6</v>
      </c>
      <c r="D19" s="4">
        <v>122.5</v>
      </c>
      <c r="E19" s="4">
        <v>-43.1</v>
      </c>
      <c r="F19" s="4">
        <v>-26</v>
      </c>
      <c r="G19" s="5">
        <v>36190</v>
      </c>
    </row>
    <row r="20" spans="1:7" x14ac:dyDescent="0.35">
      <c r="A20" s="3" t="s">
        <v>2338</v>
      </c>
      <c r="B20" s="3" t="s">
        <v>113</v>
      </c>
      <c r="C20" s="4">
        <v>922.9</v>
      </c>
      <c r="D20" s="4">
        <v>880.6</v>
      </c>
      <c r="E20" s="4">
        <v>-42.3</v>
      </c>
      <c r="F20" s="4">
        <v>-4.5999999999999996</v>
      </c>
      <c r="G20" s="5">
        <v>75760</v>
      </c>
    </row>
    <row r="21" spans="1:7" x14ac:dyDescent="0.35">
      <c r="A21" s="3" t="s">
        <v>2339</v>
      </c>
      <c r="B21" s="3" t="s">
        <v>163</v>
      </c>
      <c r="C21" s="4">
        <v>494.4</v>
      </c>
      <c r="D21" s="4">
        <v>456.3</v>
      </c>
      <c r="E21" s="4">
        <v>-38</v>
      </c>
      <c r="F21" s="4">
        <v>-7.7</v>
      </c>
      <c r="G21" s="5">
        <v>67620</v>
      </c>
    </row>
    <row r="22" spans="1:7" x14ac:dyDescent="0.35">
      <c r="A22" s="3" t="s">
        <v>2302</v>
      </c>
      <c r="B22" s="3" t="s">
        <v>1479</v>
      </c>
      <c r="C22" s="4">
        <v>161.4</v>
      </c>
      <c r="D22" s="4">
        <v>126.2</v>
      </c>
      <c r="E22" s="4">
        <v>-35.299999999999997</v>
      </c>
      <c r="F22" s="4">
        <v>-21.8</v>
      </c>
      <c r="G22" s="5">
        <v>48780</v>
      </c>
    </row>
    <row r="23" spans="1:7" x14ac:dyDescent="0.35">
      <c r="A23" s="3" t="s">
        <v>2340</v>
      </c>
      <c r="B23" s="3" t="s">
        <v>1113</v>
      </c>
      <c r="C23" s="4">
        <v>378.5</v>
      </c>
      <c r="D23" s="4">
        <v>349.9</v>
      </c>
      <c r="E23" s="4">
        <v>-28.6</v>
      </c>
      <c r="F23" s="4">
        <v>-7.5</v>
      </c>
      <c r="G23" s="5">
        <v>49610</v>
      </c>
    </row>
    <row r="24" spans="1:7" x14ac:dyDescent="0.35">
      <c r="A24" s="3" t="s">
        <v>2321</v>
      </c>
      <c r="B24" s="3" t="s">
        <v>1403</v>
      </c>
      <c r="C24" s="4">
        <v>165.4</v>
      </c>
      <c r="D24" s="4">
        <v>138.30000000000001</v>
      </c>
      <c r="E24" s="4">
        <v>-27.2</v>
      </c>
      <c r="F24" s="4">
        <v>-16.399999999999999</v>
      </c>
      <c r="G24" s="5">
        <v>49630</v>
      </c>
    </row>
    <row r="25" spans="1:7" x14ac:dyDescent="0.35">
      <c r="A25" s="3" t="s">
        <v>2314</v>
      </c>
      <c r="B25" s="3" t="s">
        <v>1437</v>
      </c>
      <c r="C25" s="4">
        <v>132.80000000000001</v>
      </c>
      <c r="D25" s="4">
        <v>108.6</v>
      </c>
      <c r="E25" s="4">
        <v>-24.2</v>
      </c>
      <c r="F25" s="4">
        <v>-18.2</v>
      </c>
      <c r="G25" s="5">
        <v>38060</v>
      </c>
    </row>
    <row r="26" spans="1:7" x14ac:dyDescent="0.35">
      <c r="A26" s="3" t="s">
        <v>2341</v>
      </c>
      <c r="B26" s="3" t="s">
        <v>64</v>
      </c>
      <c r="C26" s="4">
        <v>280</v>
      </c>
      <c r="D26" s="4">
        <v>257</v>
      </c>
      <c r="E26" s="4">
        <v>-23</v>
      </c>
      <c r="F26" s="4">
        <v>-8.1999999999999993</v>
      </c>
      <c r="G26" s="5">
        <v>189520</v>
      </c>
    </row>
    <row r="27" spans="1:7" x14ac:dyDescent="0.35">
      <c r="A27" s="3" t="s">
        <v>2342</v>
      </c>
      <c r="B27" s="3" t="s">
        <v>2061</v>
      </c>
      <c r="C27" s="4">
        <v>595.4</v>
      </c>
      <c r="D27" s="4">
        <v>572.4</v>
      </c>
      <c r="E27" s="4">
        <v>-23</v>
      </c>
      <c r="F27" s="4">
        <v>-3.9</v>
      </c>
      <c r="G27" s="5">
        <v>43900</v>
      </c>
    </row>
    <row r="28" spans="1:7" x14ac:dyDescent="0.35">
      <c r="A28" s="3" t="s">
        <v>2343</v>
      </c>
      <c r="B28" s="3" t="s">
        <v>1957</v>
      </c>
      <c r="C28" s="4">
        <v>141.9</v>
      </c>
      <c r="D28" s="4">
        <v>120.3</v>
      </c>
      <c r="E28" s="4">
        <v>-21.6</v>
      </c>
      <c r="F28" s="4">
        <v>-15.2</v>
      </c>
      <c r="G28" s="5">
        <v>31740</v>
      </c>
    </row>
    <row r="29" spans="1:7" x14ac:dyDescent="0.35">
      <c r="A29" s="3" t="s">
        <v>2344</v>
      </c>
      <c r="B29" s="3" t="s">
        <v>1465</v>
      </c>
      <c r="C29" s="4">
        <v>314.5</v>
      </c>
      <c r="D29" s="4">
        <v>293.5</v>
      </c>
      <c r="E29" s="4">
        <v>-21</v>
      </c>
      <c r="F29" s="4">
        <v>-6.7</v>
      </c>
      <c r="G29" s="5">
        <v>54250</v>
      </c>
    </row>
    <row r="30" spans="1:7" x14ac:dyDescent="0.35">
      <c r="A30" s="3" t="s">
        <v>2345</v>
      </c>
      <c r="B30" s="3" t="s">
        <v>1891</v>
      </c>
      <c r="C30" s="4">
        <v>184.8</v>
      </c>
      <c r="D30" s="4">
        <v>164.7</v>
      </c>
      <c r="E30" s="4">
        <v>-20.100000000000001</v>
      </c>
      <c r="F30" s="4">
        <v>-10.9</v>
      </c>
      <c r="G30" s="5">
        <v>39340</v>
      </c>
    </row>
    <row r="31" spans="1:7" x14ac:dyDescent="0.35">
      <c r="A31" s="3" t="s">
        <v>2346</v>
      </c>
      <c r="B31" s="3" t="s">
        <v>1395</v>
      </c>
      <c r="C31" s="4">
        <v>209.7</v>
      </c>
      <c r="D31" s="4">
        <v>189.6</v>
      </c>
      <c r="E31" s="4">
        <v>-20.100000000000001</v>
      </c>
      <c r="F31" s="4">
        <v>-9.6</v>
      </c>
      <c r="G31" s="5">
        <v>39470</v>
      </c>
    </row>
    <row r="32" spans="1:7" x14ac:dyDescent="0.35">
      <c r="A32" s="3" t="s">
        <v>2308</v>
      </c>
      <c r="B32" s="3" t="s">
        <v>1373</v>
      </c>
      <c r="C32" s="4">
        <v>97.7</v>
      </c>
      <c r="D32" s="4">
        <v>77.599999999999994</v>
      </c>
      <c r="E32" s="4">
        <v>-20.100000000000001</v>
      </c>
      <c r="F32" s="4">
        <v>-20.6</v>
      </c>
      <c r="G32" s="5">
        <v>31030</v>
      </c>
    </row>
    <row r="33" spans="1:7" x14ac:dyDescent="0.35">
      <c r="A33" s="3" t="s">
        <v>2347</v>
      </c>
      <c r="B33" s="3" t="s">
        <v>1305</v>
      </c>
      <c r="C33" s="4">
        <v>945.9</v>
      </c>
      <c r="D33" s="4">
        <v>927.4</v>
      </c>
      <c r="E33" s="4">
        <v>-18.5</v>
      </c>
      <c r="F33" s="4">
        <v>-2</v>
      </c>
      <c r="G33" s="5">
        <v>28520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workbookViewId="0"/>
  </sheetViews>
  <sheetFormatPr defaultRowHeight="14.5" x14ac:dyDescent="0.3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35">
      <c r="A1" s="1" t="s">
        <v>5391</v>
      </c>
    </row>
    <row r="2" spans="1:13" ht="52.5" x14ac:dyDescent="0.35">
      <c r="A2" s="2" t="s">
        <v>0</v>
      </c>
      <c r="B2" s="2" t="s">
        <v>1</v>
      </c>
      <c r="C2" s="2" t="s">
        <v>56</v>
      </c>
      <c r="D2" s="2" t="s">
        <v>2</v>
      </c>
      <c r="E2" s="2" t="s">
        <v>3</v>
      </c>
      <c r="F2" s="2" t="s">
        <v>4</v>
      </c>
      <c r="G2" s="2" t="s">
        <v>5</v>
      </c>
      <c r="H2" s="2" t="s">
        <v>2348</v>
      </c>
      <c r="I2" s="2" t="s">
        <v>59</v>
      </c>
      <c r="J2" s="2" t="s">
        <v>4925</v>
      </c>
      <c r="K2" s="2" t="s">
        <v>2349</v>
      </c>
      <c r="L2" s="2" t="s">
        <v>2350</v>
      </c>
      <c r="M2" s="2" t="s">
        <v>2351</v>
      </c>
    </row>
    <row r="3" spans="1:13" x14ac:dyDescent="0.35">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35">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35">
      <c r="A5" s="3" t="s">
        <v>61</v>
      </c>
      <c r="B5" s="3" t="s">
        <v>62</v>
      </c>
      <c r="C5" s="3" t="s">
        <v>60</v>
      </c>
      <c r="D5" s="4">
        <v>3832.2</v>
      </c>
      <c r="E5" s="4">
        <v>3958</v>
      </c>
      <c r="F5" s="4">
        <v>125.8</v>
      </c>
      <c r="G5" s="4">
        <v>3.3</v>
      </c>
      <c r="H5" s="4">
        <v>1.8</v>
      </c>
      <c r="I5" s="4">
        <v>315</v>
      </c>
      <c r="J5" s="5">
        <v>99890</v>
      </c>
      <c r="K5" s="3" t="s">
        <v>2352</v>
      </c>
      <c r="L5" s="3" t="s">
        <v>2352</v>
      </c>
      <c r="M5" s="3" t="s">
        <v>2352</v>
      </c>
    </row>
    <row r="6" spans="1:13" x14ac:dyDescent="0.35">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35">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35">
      <c r="A8" s="3" t="s">
        <v>68</v>
      </c>
      <c r="B8" s="3" t="s">
        <v>69</v>
      </c>
      <c r="C8" s="3" t="s">
        <v>65</v>
      </c>
      <c r="D8" s="4">
        <v>44.4</v>
      </c>
      <c r="E8" s="4">
        <v>46</v>
      </c>
      <c r="F8" s="4">
        <v>1.5</v>
      </c>
      <c r="G8" s="4">
        <v>3.4</v>
      </c>
      <c r="H8" s="4" t="s">
        <v>2352</v>
      </c>
      <c r="I8" s="4">
        <v>3.4</v>
      </c>
      <c r="J8" s="5">
        <v>48090</v>
      </c>
      <c r="K8" s="3" t="s">
        <v>2353</v>
      </c>
      <c r="L8" s="3" t="s">
        <v>2356</v>
      </c>
      <c r="M8" s="3" t="s">
        <v>2355</v>
      </c>
    </row>
    <row r="9" spans="1:13" x14ac:dyDescent="0.35">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35">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35">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35">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35">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35">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35">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35">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35">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35">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35">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35">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35">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35">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35">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35">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35">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35">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35">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35">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35">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35">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35">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35">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35">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35">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35">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35">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35">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35">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35">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35">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35">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35">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35">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35">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35">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35">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35">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35">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35">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35">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35">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35">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35">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35">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35">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35">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35">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35">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35">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35">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35">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35">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35">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35">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35">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35">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35">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35">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35">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35">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35">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35">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35">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35">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35">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35">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35">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35">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35">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35">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35">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35">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35">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35">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35">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35">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35">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35">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35">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35">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35">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35">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35">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35">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35">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35">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35">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35">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35">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35">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35">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35">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35">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35">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35">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35">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35">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35">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35">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35">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35">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35">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35">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35">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35">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35">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35">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35">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35">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35">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35">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35">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35">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35">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35">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35">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35">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35">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35">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35">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35">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35">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35">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35">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35">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35">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35">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35">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35">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35">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35">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35">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35">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35">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35">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35">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35">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35">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35">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35">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35">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35">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35">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35">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35">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35">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35">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35">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35">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35">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35">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35">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35">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35">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35">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35">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35">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35">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35">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35">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35">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35">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35">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35">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35">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35">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35">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35">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35">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35">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35">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35">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35">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35">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35">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35">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35">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35">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35">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35">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35">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35">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35">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35">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35">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35">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35">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35">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35">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35">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35">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35">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35">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35">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35">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35">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35">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35">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35">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35">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35">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35">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35">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35">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35">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35">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35">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35">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35">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35">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35">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35">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35">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35">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35">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35">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35">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35">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35">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35">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35">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35">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35">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35">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35">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35">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35">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35">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35">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35">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35">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35">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35">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35">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35">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35">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35">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35">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35">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35">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35">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35">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35">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35">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35">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35">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35">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35">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35">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35">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35">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35">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35">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35">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35">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35">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35">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35">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35">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35">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35">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35">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35">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35">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35">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35">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35">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35">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35">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35">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35">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35">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35">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35">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35">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35">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35">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35">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35">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35">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35">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35">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35">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35">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35">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35">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35">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35">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35">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35">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35">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35">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35">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35">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35">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35">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35">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35">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35">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35">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35">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35">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35">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35">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35">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35">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35">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35">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35">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35">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35">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35">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35">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35">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35">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35">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35">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35">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35">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35">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35">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35">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35">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35">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35">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35">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35">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35">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35">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35">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35">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35">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35">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35">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35">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35">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35">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35">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35">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35">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35">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35">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35">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35">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35">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35">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35">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35">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35">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35">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35">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35">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35">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35">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35">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35">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35">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35">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35">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35">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35">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35">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35">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35">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35">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35">
      <c r="A376" s="3" t="s">
        <v>788</v>
      </c>
      <c r="B376" s="3" t="s">
        <v>789</v>
      </c>
      <c r="C376" s="3" t="s">
        <v>65</v>
      </c>
      <c r="D376" s="4">
        <v>78.099999999999994</v>
      </c>
      <c r="E376" s="4">
        <v>80.599999999999994</v>
      </c>
      <c r="F376" s="4">
        <v>2.5</v>
      </c>
      <c r="G376" s="4">
        <v>3.2</v>
      </c>
      <c r="H376" s="4">
        <v>26.3</v>
      </c>
      <c r="I376" s="4">
        <v>9.3000000000000007</v>
      </c>
      <c r="J376" s="5" t="s">
        <v>2352</v>
      </c>
      <c r="K376" s="3" t="s">
        <v>2365</v>
      </c>
      <c r="L376" s="3" t="s">
        <v>2355</v>
      </c>
      <c r="M376" s="3" t="s">
        <v>2362</v>
      </c>
    </row>
    <row r="377" spans="1:13" x14ac:dyDescent="0.35">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35">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35">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35">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35">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35">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35">
      <c r="A383" s="3" t="s">
        <v>802</v>
      </c>
      <c r="B383" s="3" t="s">
        <v>803</v>
      </c>
      <c r="C383" s="3" t="s">
        <v>65</v>
      </c>
      <c r="D383" s="4">
        <v>11.5</v>
      </c>
      <c r="E383" s="4">
        <v>12.2</v>
      </c>
      <c r="F383" s="4">
        <v>0.6</v>
      </c>
      <c r="G383" s="4">
        <v>5.3</v>
      </c>
      <c r="H383" s="4">
        <v>19.3</v>
      </c>
      <c r="I383" s="4">
        <v>1.9</v>
      </c>
      <c r="J383" s="5" t="s">
        <v>2352</v>
      </c>
      <c r="K383" s="3" t="s">
        <v>2364</v>
      </c>
      <c r="L383" s="3" t="s">
        <v>2355</v>
      </c>
      <c r="M383" s="3" t="s">
        <v>2362</v>
      </c>
    </row>
    <row r="384" spans="1:13" x14ac:dyDescent="0.35">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35">
      <c r="A385" s="3" t="s">
        <v>806</v>
      </c>
      <c r="B385" s="3" t="s">
        <v>807</v>
      </c>
      <c r="C385" s="3" t="s">
        <v>60</v>
      </c>
      <c r="D385" s="4">
        <v>225.3</v>
      </c>
      <c r="E385" s="4">
        <v>228</v>
      </c>
      <c r="F385" s="4">
        <v>2.7</v>
      </c>
      <c r="G385" s="4">
        <v>1.2</v>
      </c>
      <c r="H385" s="4">
        <v>42.2</v>
      </c>
      <c r="I385" s="4">
        <v>27.7</v>
      </c>
      <c r="J385" s="5" t="s">
        <v>2352</v>
      </c>
      <c r="K385" s="3" t="s">
        <v>2352</v>
      </c>
      <c r="L385" s="3" t="s">
        <v>2352</v>
      </c>
      <c r="M385" s="3" t="s">
        <v>2352</v>
      </c>
    </row>
    <row r="386" spans="1:13" x14ac:dyDescent="0.35">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35">
      <c r="A387" s="3" t="s">
        <v>810</v>
      </c>
      <c r="B387" s="3" t="s">
        <v>811</v>
      </c>
      <c r="C387" s="3" t="s">
        <v>65</v>
      </c>
      <c r="D387" s="4">
        <v>173.5</v>
      </c>
      <c r="E387" s="4">
        <v>175.6</v>
      </c>
      <c r="F387" s="4">
        <v>2.1</v>
      </c>
      <c r="G387" s="4">
        <v>1.2</v>
      </c>
      <c r="H387" s="4">
        <v>48.1</v>
      </c>
      <c r="I387" s="4">
        <v>22.6</v>
      </c>
      <c r="J387" s="5" t="s">
        <v>2352</v>
      </c>
      <c r="K387" s="3" t="s">
        <v>2364</v>
      </c>
      <c r="L387" s="3" t="s">
        <v>2355</v>
      </c>
      <c r="M387" s="3" t="s">
        <v>2362</v>
      </c>
    </row>
    <row r="388" spans="1:13" x14ac:dyDescent="0.35">
      <c r="A388" s="3" t="s">
        <v>812</v>
      </c>
      <c r="B388" s="3" t="s">
        <v>813</v>
      </c>
      <c r="C388" s="3" t="s">
        <v>60</v>
      </c>
      <c r="D388" s="4">
        <v>50.3</v>
      </c>
      <c r="E388" s="4">
        <v>53.5</v>
      </c>
      <c r="F388" s="4">
        <v>3.2</v>
      </c>
      <c r="G388" s="4">
        <v>6.3</v>
      </c>
      <c r="H388" s="4">
        <v>64.900000000000006</v>
      </c>
      <c r="I388" s="4">
        <v>5.5</v>
      </c>
      <c r="J388" s="5" t="s">
        <v>2352</v>
      </c>
      <c r="K388" s="3" t="s">
        <v>2352</v>
      </c>
      <c r="L388" s="3" t="s">
        <v>2352</v>
      </c>
      <c r="M388" s="3" t="s">
        <v>2352</v>
      </c>
    </row>
    <row r="389" spans="1:13" x14ac:dyDescent="0.35">
      <c r="A389" s="3" t="s">
        <v>814</v>
      </c>
      <c r="B389" s="3" t="s">
        <v>815</v>
      </c>
      <c r="C389" s="3" t="s">
        <v>65</v>
      </c>
      <c r="D389" s="4">
        <v>23.8</v>
      </c>
      <c r="E389" s="4">
        <v>24.8</v>
      </c>
      <c r="F389" s="4">
        <v>1</v>
      </c>
      <c r="G389" s="4">
        <v>4.2</v>
      </c>
      <c r="H389" s="4">
        <v>76.3</v>
      </c>
      <c r="I389" s="4">
        <v>2</v>
      </c>
      <c r="J389" s="5" t="s">
        <v>2352</v>
      </c>
      <c r="K389" s="3" t="s">
        <v>2357</v>
      </c>
      <c r="L389" s="3" t="s">
        <v>2355</v>
      </c>
      <c r="M389" s="3" t="s">
        <v>2360</v>
      </c>
    </row>
    <row r="390" spans="1:13" x14ac:dyDescent="0.35">
      <c r="A390" s="3" t="s">
        <v>816</v>
      </c>
      <c r="B390" s="3" t="s">
        <v>817</v>
      </c>
      <c r="C390" s="3" t="s">
        <v>65</v>
      </c>
      <c r="D390" s="4">
        <v>26.5</v>
      </c>
      <c r="E390" s="4">
        <v>28.7</v>
      </c>
      <c r="F390" s="4">
        <v>2.2000000000000002</v>
      </c>
      <c r="G390" s="4">
        <v>8.1999999999999993</v>
      </c>
      <c r="H390" s="4">
        <v>54.6</v>
      </c>
      <c r="I390" s="4">
        <v>3.4</v>
      </c>
      <c r="J390" s="5" t="s">
        <v>2352</v>
      </c>
      <c r="K390" s="3" t="s">
        <v>2364</v>
      </c>
      <c r="L390" s="3" t="s">
        <v>2355</v>
      </c>
      <c r="M390" s="3" t="s">
        <v>2360</v>
      </c>
    </row>
    <row r="391" spans="1:13" x14ac:dyDescent="0.35">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35">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35">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35">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35">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35">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35">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35">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35">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35">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35">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35">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35">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35">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35">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35">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35">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35">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35">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35">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35">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35">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35">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35">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35">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35">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35">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35">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35">
      <c r="A419" s="3" t="s">
        <v>872</v>
      </c>
      <c r="B419" s="3" t="s">
        <v>873</v>
      </c>
      <c r="C419" s="3" t="s">
        <v>65</v>
      </c>
      <c r="D419" s="4">
        <v>4.9000000000000004</v>
      </c>
      <c r="E419" s="4">
        <v>5.0999999999999996</v>
      </c>
      <c r="F419" s="4">
        <v>0.2</v>
      </c>
      <c r="G419" s="4">
        <v>5</v>
      </c>
      <c r="H419" s="4">
        <v>10.8</v>
      </c>
      <c r="I419" s="4">
        <v>0.2</v>
      </c>
      <c r="J419" s="5" t="s">
        <v>2368</v>
      </c>
      <c r="K419" s="3" t="s">
        <v>2367</v>
      </c>
      <c r="L419" s="3" t="s">
        <v>2355</v>
      </c>
      <c r="M419" s="3" t="s">
        <v>2366</v>
      </c>
    </row>
    <row r="420" spans="1:13" x14ac:dyDescent="0.35">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35">
      <c r="A421" s="3" t="s">
        <v>876</v>
      </c>
      <c r="B421" s="3" t="s">
        <v>877</v>
      </c>
      <c r="C421" s="3" t="s">
        <v>65</v>
      </c>
      <c r="D421" s="4">
        <v>0.4</v>
      </c>
      <c r="E421" s="4">
        <v>0.5</v>
      </c>
      <c r="F421" s="4">
        <v>0</v>
      </c>
      <c r="G421" s="4">
        <v>5.7</v>
      </c>
      <c r="H421" s="4" t="s">
        <v>2352</v>
      </c>
      <c r="I421" s="4">
        <v>0</v>
      </c>
      <c r="J421" s="5" t="s">
        <v>2352</v>
      </c>
      <c r="K421" s="3" t="s">
        <v>2367</v>
      </c>
      <c r="L421" s="3" t="s">
        <v>2355</v>
      </c>
      <c r="M421" s="3" t="s">
        <v>2366</v>
      </c>
    </row>
    <row r="422" spans="1:13" x14ac:dyDescent="0.35">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35">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35">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35">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35">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35">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35">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35">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35">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35">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35">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35">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35">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35">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35">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35">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35">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35">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35">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35">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35">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35">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35">
      <c r="A444" s="3" t="s">
        <v>922</v>
      </c>
      <c r="B444" s="3" t="s">
        <v>923</v>
      </c>
      <c r="C444" s="3" t="s">
        <v>65</v>
      </c>
      <c r="D444" s="4">
        <v>40</v>
      </c>
      <c r="E444" s="4">
        <v>41.1</v>
      </c>
      <c r="F444" s="4">
        <v>1</v>
      </c>
      <c r="G444" s="4">
        <v>2.6</v>
      </c>
      <c r="H444" s="4">
        <v>5.0999999999999996</v>
      </c>
      <c r="I444" s="4">
        <v>1.2</v>
      </c>
      <c r="J444" s="5" t="s">
        <v>2368</v>
      </c>
      <c r="K444" s="3" t="s">
        <v>2367</v>
      </c>
      <c r="L444" s="3" t="s">
        <v>2355</v>
      </c>
      <c r="M444" s="3" t="s">
        <v>2366</v>
      </c>
    </row>
    <row r="445" spans="1:13" x14ac:dyDescent="0.35">
      <c r="A445" s="3" t="s">
        <v>924</v>
      </c>
      <c r="B445" s="3" t="s">
        <v>925</v>
      </c>
      <c r="C445" s="3" t="s">
        <v>65</v>
      </c>
      <c r="D445" s="4">
        <v>18</v>
      </c>
      <c r="E445" s="4">
        <v>18.600000000000001</v>
      </c>
      <c r="F445" s="4">
        <v>0.6</v>
      </c>
      <c r="G445" s="4">
        <v>3.1</v>
      </c>
      <c r="H445" s="4">
        <v>5.0999999999999996</v>
      </c>
      <c r="I445" s="4">
        <v>0.5</v>
      </c>
      <c r="J445" s="5" t="s">
        <v>2368</v>
      </c>
      <c r="K445" s="3" t="s">
        <v>2367</v>
      </c>
      <c r="L445" s="3" t="s">
        <v>2355</v>
      </c>
      <c r="M445" s="3" t="s">
        <v>2366</v>
      </c>
    </row>
    <row r="446" spans="1:13" x14ac:dyDescent="0.35">
      <c r="A446" s="3" t="s">
        <v>926</v>
      </c>
      <c r="B446" s="3" t="s">
        <v>927</v>
      </c>
      <c r="C446" s="3" t="s">
        <v>65</v>
      </c>
      <c r="D446" s="4">
        <v>12.4</v>
      </c>
      <c r="E446" s="4">
        <v>12.8</v>
      </c>
      <c r="F446" s="4">
        <v>0.4</v>
      </c>
      <c r="G446" s="4">
        <v>3.1</v>
      </c>
      <c r="H446" s="4">
        <v>5.2</v>
      </c>
      <c r="I446" s="4">
        <v>0.4</v>
      </c>
      <c r="J446" s="5" t="s">
        <v>2368</v>
      </c>
      <c r="K446" s="3" t="s">
        <v>2367</v>
      </c>
      <c r="L446" s="3" t="s">
        <v>2355</v>
      </c>
      <c r="M446" s="3" t="s">
        <v>2366</v>
      </c>
    </row>
    <row r="447" spans="1:13" x14ac:dyDescent="0.35">
      <c r="A447" s="3" t="s">
        <v>928</v>
      </c>
      <c r="B447" s="3" t="s">
        <v>929</v>
      </c>
      <c r="C447" s="3" t="s">
        <v>65</v>
      </c>
      <c r="D447" s="4">
        <v>31.3</v>
      </c>
      <c r="E447" s="4">
        <v>32.200000000000003</v>
      </c>
      <c r="F447" s="4">
        <v>0.9</v>
      </c>
      <c r="G447" s="4">
        <v>2.8</v>
      </c>
      <c r="H447" s="4">
        <v>4.9000000000000004</v>
      </c>
      <c r="I447" s="4">
        <v>0.9</v>
      </c>
      <c r="J447" s="5" t="s">
        <v>2368</v>
      </c>
      <c r="K447" s="3" t="s">
        <v>2367</v>
      </c>
      <c r="L447" s="3" t="s">
        <v>2355</v>
      </c>
      <c r="M447" s="3" t="s">
        <v>2366</v>
      </c>
    </row>
    <row r="448" spans="1:13" x14ac:dyDescent="0.35">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35">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35">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35">
      <c r="A451" s="3" t="s">
        <v>936</v>
      </c>
      <c r="B451" s="3" t="s">
        <v>937</v>
      </c>
      <c r="C451" s="3" t="s">
        <v>65</v>
      </c>
      <c r="D451" s="4">
        <v>22.9</v>
      </c>
      <c r="E451" s="4">
        <v>23.4</v>
      </c>
      <c r="F451" s="4">
        <v>0.5</v>
      </c>
      <c r="G451" s="4">
        <v>2.2000000000000002</v>
      </c>
      <c r="H451" s="4">
        <v>5</v>
      </c>
      <c r="I451" s="4">
        <v>0.7</v>
      </c>
      <c r="J451" s="5" t="s">
        <v>2368</v>
      </c>
      <c r="K451" s="3" t="s">
        <v>2367</v>
      </c>
      <c r="L451" s="3" t="s">
        <v>2355</v>
      </c>
      <c r="M451" s="3" t="s">
        <v>2366</v>
      </c>
    </row>
    <row r="452" spans="1:13" x14ac:dyDescent="0.35">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35">
      <c r="A453" s="3" t="s">
        <v>940</v>
      </c>
      <c r="B453" s="3" t="s">
        <v>941</v>
      </c>
      <c r="C453" s="3" t="s">
        <v>65</v>
      </c>
      <c r="D453" s="4">
        <v>13.2</v>
      </c>
      <c r="E453" s="4">
        <v>13.9</v>
      </c>
      <c r="F453" s="4">
        <v>0.6</v>
      </c>
      <c r="G453" s="4">
        <v>4.5999999999999996</v>
      </c>
      <c r="H453" s="4">
        <v>4.7</v>
      </c>
      <c r="I453" s="4">
        <v>0.4</v>
      </c>
      <c r="J453" s="5" t="s">
        <v>2368</v>
      </c>
      <c r="K453" s="3" t="s">
        <v>2367</v>
      </c>
      <c r="L453" s="3" t="s">
        <v>2355</v>
      </c>
      <c r="M453" s="3" t="s">
        <v>2366</v>
      </c>
    </row>
    <row r="454" spans="1:13" x14ac:dyDescent="0.35">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35">
      <c r="A455" s="3" t="s">
        <v>944</v>
      </c>
      <c r="B455" s="3" t="s">
        <v>945</v>
      </c>
      <c r="C455" s="3" t="s">
        <v>65</v>
      </c>
      <c r="D455" s="4">
        <v>31.2</v>
      </c>
      <c r="E455" s="4">
        <v>32.4</v>
      </c>
      <c r="F455" s="4">
        <v>1.1000000000000001</v>
      </c>
      <c r="G455" s="4">
        <v>3.6</v>
      </c>
      <c r="H455" s="4">
        <v>5.0999999999999996</v>
      </c>
      <c r="I455" s="4">
        <v>1</v>
      </c>
      <c r="J455" s="5" t="s">
        <v>2368</v>
      </c>
      <c r="K455" s="3" t="s">
        <v>2367</v>
      </c>
      <c r="L455" s="3" t="s">
        <v>2355</v>
      </c>
      <c r="M455" s="3" t="s">
        <v>2366</v>
      </c>
    </row>
    <row r="456" spans="1:13" x14ac:dyDescent="0.35">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35">
      <c r="A457" s="3" t="s">
        <v>948</v>
      </c>
      <c r="B457" s="3" t="s">
        <v>949</v>
      </c>
      <c r="C457" s="3" t="s">
        <v>60</v>
      </c>
      <c r="D457" s="4">
        <v>59.6</v>
      </c>
      <c r="E457" s="4">
        <v>60.6</v>
      </c>
      <c r="F457" s="4">
        <v>1</v>
      </c>
      <c r="G457" s="4">
        <v>1.7</v>
      </c>
      <c r="H457" s="4">
        <v>0.5</v>
      </c>
      <c r="I457" s="4">
        <v>1.5</v>
      </c>
      <c r="J457" s="5" t="s">
        <v>2368</v>
      </c>
      <c r="K457" s="3" t="s">
        <v>2352</v>
      </c>
      <c r="L457" s="3" t="s">
        <v>2352</v>
      </c>
      <c r="M457" s="3" t="s">
        <v>2352</v>
      </c>
    </row>
    <row r="458" spans="1:13" x14ac:dyDescent="0.35">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35">
      <c r="A459" s="3" t="s">
        <v>952</v>
      </c>
      <c r="B459" s="3" t="s">
        <v>953</v>
      </c>
      <c r="C459" s="3" t="s">
        <v>65</v>
      </c>
      <c r="D459" s="4">
        <v>19.399999999999999</v>
      </c>
      <c r="E459" s="4">
        <v>19.7</v>
      </c>
      <c r="F459" s="4">
        <v>0.3</v>
      </c>
      <c r="G459" s="4">
        <v>1.6</v>
      </c>
      <c r="H459" s="4">
        <v>0.5</v>
      </c>
      <c r="I459" s="4">
        <v>0.5</v>
      </c>
      <c r="J459" s="5" t="s">
        <v>2368</v>
      </c>
      <c r="K459" s="3" t="s">
        <v>2367</v>
      </c>
      <c r="L459" s="3" t="s">
        <v>2355</v>
      </c>
      <c r="M459" s="3" t="s">
        <v>2366</v>
      </c>
    </row>
    <row r="460" spans="1:13" x14ac:dyDescent="0.35">
      <c r="A460" s="3" t="s">
        <v>954</v>
      </c>
      <c r="B460" s="3" t="s">
        <v>955</v>
      </c>
      <c r="C460" s="3" t="s">
        <v>65</v>
      </c>
      <c r="D460" s="4">
        <v>0.8</v>
      </c>
      <c r="E460" s="4">
        <v>0.8</v>
      </c>
      <c r="F460" s="4">
        <v>0</v>
      </c>
      <c r="G460" s="4">
        <v>1</v>
      </c>
      <c r="H460" s="4" t="s">
        <v>2352</v>
      </c>
      <c r="I460" s="4">
        <v>0</v>
      </c>
      <c r="J460" s="5" t="s">
        <v>2368</v>
      </c>
      <c r="K460" s="3" t="s">
        <v>2367</v>
      </c>
      <c r="L460" s="3" t="s">
        <v>2355</v>
      </c>
      <c r="M460" s="3" t="s">
        <v>2366</v>
      </c>
    </row>
    <row r="461" spans="1:13" x14ac:dyDescent="0.35">
      <c r="A461" s="3" t="s">
        <v>956</v>
      </c>
      <c r="B461" s="3" t="s">
        <v>957</v>
      </c>
      <c r="C461" s="3" t="s">
        <v>65</v>
      </c>
      <c r="D461" s="4">
        <v>26.5</v>
      </c>
      <c r="E461" s="4">
        <v>26.8</v>
      </c>
      <c r="F461" s="4">
        <v>0.2</v>
      </c>
      <c r="G461" s="4">
        <v>0.8</v>
      </c>
      <c r="H461" s="4">
        <v>0.5</v>
      </c>
      <c r="I461" s="4">
        <v>0.6</v>
      </c>
      <c r="J461" s="5" t="s">
        <v>2368</v>
      </c>
      <c r="K461" s="3" t="s">
        <v>2367</v>
      </c>
      <c r="L461" s="3" t="s">
        <v>2355</v>
      </c>
      <c r="M461" s="3" t="s">
        <v>2366</v>
      </c>
    </row>
    <row r="462" spans="1:13" x14ac:dyDescent="0.35">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35">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35">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35">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35">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35">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35">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35">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35">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35">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35">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35">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35">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35">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35">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35">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35">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35">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35">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35">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35">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35">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35">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35">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35">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35">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35">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35">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35">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35">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35">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35">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35">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35">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35">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35">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35">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35">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35">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35">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35">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35">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35">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35">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35">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35">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35">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35">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35">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35">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35">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35">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35">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35">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35">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35">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35">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35">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35">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35">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35">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35">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35">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35">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35">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35">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35">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35">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35">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35">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35">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35">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35">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35">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35">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35">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35">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35">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35">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35">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35">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35">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35">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35">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35">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35">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35">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35">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35">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35">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35">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35">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35">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35">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35">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35">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35">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35">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35">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35">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35">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35">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35">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35">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35">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35">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35">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35">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35">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35">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35">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35">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35">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35">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35">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35">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35">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35">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35">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35">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35">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35">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35">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35">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35">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35">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35">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35">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35">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35">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35">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35">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35">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35">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35">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35">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35">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35">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35">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35">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35">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35">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35">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35">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35">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35">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35">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35">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35">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35">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35">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35">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35">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35">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35">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35">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35">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35">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35">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35">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35">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35">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35">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35">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35">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35">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35">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35">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35">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35">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35">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35">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35">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35">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35">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35">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35">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35">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35">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35">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35">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35">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35">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35">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35">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35">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35">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35">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35">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35">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35">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35">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35">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35">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35">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35">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35">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35">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35">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35">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35">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35">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35">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35">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35">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35">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35">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35">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35">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35">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35">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35">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35">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35">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35">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35">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35">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35">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35">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35">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35">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35">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35">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35">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35">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35">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35">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35">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35">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35">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35">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35">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35">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35">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35">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35">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35">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35">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35">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35">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35">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35">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35">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35">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35">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35">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35">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35">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35">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35">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35">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35">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35">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35">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35">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35">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35">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35">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35">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35">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35">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35">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35">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35">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35">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35">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35">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35">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35">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35">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35">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35">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35">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35">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35">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35">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35">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35">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35">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35">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35">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35">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35">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35">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35">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35">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35">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35">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35">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35">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35">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35">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35">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35">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35">
      <c r="A756" s="3" t="s">
        <v>1530</v>
      </c>
      <c r="B756" s="3" t="s">
        <v>1531</v>
      </c>
      <c r="C756" s="3" t="s">
        <v>60</v>
      </c>
      <c r="D756" s="4">
        <v>27.3</v>
      </c>
      <c r="E756" s="4">
        <v>27.2</v>
      </c>
      <c r="F756" s="4">
        <v>-0.1</v>
      </c>
      <c r="G756" s="4">
        <v>-0.4</v>
      </c>
      <c r="H756" s="4">
        <v>36.299999999999997</v>
      </c>
      <c r="I756" s="4">
        <v>3.5</v>
      </c>
      <c r="J756" s="5" t="s">
        <v>2352</v>
      </c>
      <c r="K756" s="3" t="s">
        <v>2352</v>
      </c>
      <c r="L756" s="3" t="s">
        <v>2352</v>
      </c>
      <c r="M756" s="3" t="s">
        <v>2352</v>
      </c>
    </row>
    <row r="757" spans="1:13" x14ac:dyDescent="0.35">
      <c r="A757" s="3" t="s">
        <v>1532</v>
      </c>
      <c r="B757" s="3" t="s">
        <v>1533</v>
      </c>
      <c r="C757" s="3" t="s">
        <v>65</v>
      </c>
      <c r="D757" s="4">
        <v>27.3</v>
      </c>
      <c r="E757" s="4">
        <v>27.2</v>
      </c>
      <c r="F757" s="4">
        <v>-0.1</v>
      </c>
      <c r="G757" s="4">
        <v>-0.4</v>
      </c>
      <c r="H757" s="4">
        <v>36.299999999999997</v>
      </c>
      <c r="I757" s="4">
        <v>3.5</v>
      </c>
      <c r="J757" s="5" t="s">
        <v>2352</v>
      </c>
      <c r="K757" s="3" t="s">
        <v>2364</v>
      </c>
      <c r="L757" s="3" t="s">
        <v>2355</v>
      </c>
      <c r="M757" s="3" t="s">
        <v>2358</v>
      </c>
    </row>
    <row r="758" spans="1:13" x14ac:dyDescent="0.35">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35">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35">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35">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35">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35">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35">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35">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35">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35">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35">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35">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2369</v>
      </c>
    </row>
    <row r="770" spans="1:13" x14ac:dyDescent="0.35">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35">
      <c r="A771" s="3" t="s">
        <v>1558</v>
      </c>
      <c r="B771" s="3" t="s">
        <v>1559</v>
      </c>
      <c r="C771" s="3" t="s">
        <v>65</v>
      </c>
      <c r="D771" s="4">
        <v>73</v>
      </c>
      <c r="E771" s="4">
        <v>73.3</v>
      </c>
      <c r="F771" s="4">
        <v>0.3</v>
      </c>
      <c r="G771" s="4">
        <v>0.5</v>
      </c>
      <c r="H771" s="4">
        <v>24</v>
      </c>
      <c r="I771" s="4">
        <v>5.9</v>
      </c>
      <c r="J771" s="5">
        <v>59000</v>
      </c>
      <c r="K771" s="3" t="s">
        <v>2357</v>
      </c>
      <c r="L771" s="3" t="s">
        <v>2355</v>
      </c>
      <c r="M771" s="3" t="s">
        <v>2369</v>
      </c>
    </row>
    <row r="772" spans="1:13" x14ac:dyDescent="0.35">
      <c r="A772" s="3" t="s">
        <v>1560</v>
      </c>
      <c r="B772" s="3" t="s">
        <v>1561</v>
      </c>
      <c r="C772" s="3" t="s">
        <v>65</v>
      </c>
      <c r="D772" s="4">
        <v>13.5</v>
      </c>
      <c r="E772" s="4">
        <v>12.7</v>
      </c>
      <c r="F772" s="4">
        <v>-0.8</v>
      </c>
      <c r="G772" s="4">
        <v>-5.9</v>
      </c>
      <c r="H772" s="4">
        <v>24.2</v>
      </c>
      <c r="I772" s="4">
        <v>1</v>
      </c>
      <c r="J772" s="5">
        <v>50210</v>
      </c>
      <c r="K772" s="3" t="s">
        <v>2357</v>
      </c>
      <c r="L772" s="3" t="s">
        <v>2355</v>
      </c>
      <c r="M772" s="3" t="s">
        <v>2369</v>
      </c>
    </row>
    <row r="773" spans="1:13" x14ac:dyDescent="0.35">
      <c r="A773" s="3" t="s">
        <v>1562</v>
      </c>
      <c r="B773" s="3" t="s">
        <v>1563</v>
      </c>
      <c r="C773" s="3" t="s">
        <v>65</v>
      </c>
      <c r="D773" s="4">
        <v>956.3</v>
      </c>
      <c r="E773" s="4">
        <v>964.9</v>
      </c>
      <c r="F773" s="4">
        <v>8.6</v>
      </c>
      <c r="G773" s="4">
        <v>0.9</v>
      </c>
      <c r="H773" s="4">
        <v>26.7</v>
      </c>
      <c r="I773" s="4">
        <v>79.5</v>
      </c>
      <c r="J773" s="5">
        <v>51390</v>
      </c>
      <c r="K773" s="3" t="s">
        <v>2357</v>
      </c>
      <c r="L773" s="3" t="s">
        <v>2355</v>
      </c>
      <c r="M773" s="3" t="s">
        <v>2369</v>
      </c>
    </row>
    <row r="774" spans="1:13" x14ac:dyDescent="0.35">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35">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35">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35">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35">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35">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35">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35">
      <c r="A781" s="3" t="s">
        <v>1578</v>
      </c>
      <c r="B781" s="3" t="s">
        <v>1579</v>
      </c>
      <c r="C781" s="3" t="s">
        <v>65</v>
      </c>
      <c r="D781" s="4">
        <v>1.6</v>
      </c>
      <c r="E781" s="4">
        <v>1.4</v>
      </c>
      <c r="F781" s="4">
        <v>-0.2</v>
      </c>
      <c r="G781" s="4">
        <v>-12.2</v>
      </c>
      <c r="H781" s="4">
        <v>4.0999999999999996</v>
      </c>
      <c r="I781" s="4">
        <v>0.1</v>
      </c>
      <c r="J781" s="5">
        <v>52330</v>
      </c>
      <c r="K781" s="3" t="s">
        <v>2357</v>
      </c>
      <c r="L781" s="3" t="s">
        <v>2355</v>
      </c>
      <c r="M781" s="3" t="s">
        <v>2369</v>
      </c>
    </row>
    <row r="782" spans="1:13" x14ac:dyDescent="0.35">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35">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35">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35">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35">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35">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35">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35">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35">
      <c r="A790" s="3" t="s">
        <v>1596</v>
      </c>
      <c r="B790" s="3" t="s">
        <v>1597</v>
      </c>
      <c r="C790" s="3" t="s">
        <v>65</v>
      </c>
      <c r="D790" s="4">
        <v>762.6</v>
      </c>
      <c r="E790" s="4">
        <v>811.8</v>
      </c>
      <c r="F790" s="4">
        <v>49.2</v>
      </c>
      <c r="G790" s="4">
        <v>6.4</v>
      </c>
      <c r="H790" s="4">
        <v>7.9</v>
      </c>
      <c r="I790" s="4">
        <v>73.5</v>
      </c>
      <c r="J790" s="5">
        <v>60240</v>
      </c>
      <c r="K790" s="3" t="s">
        <v>2357</v>
      </c>
      <c r="L790" s="3" t="s">
        <v>2355</v>
      </c>
      <c r="M790" s="3" t="s">
        <v>2369</v>
      </c>
    </row>
    <row r="791" spans="1:13" x14ac:dyDescent="0.35">
      <c r="A791" s="3" t="s">
        <v>1598</v>
      </c>
      <c r="B791" s="3" t="s">
        <v>1599</v>
      </c>
      <c r="C791" s="3" t="s">
        <v>65</v>
      </c>
      <c r="D791" s="4">
        <v>54.5</v>
      </c>
      <c r="E791" s="4">
        <v>55.7</v>
      </c>
      <c r="F791" s="4">
        <v>1.2</v>
      </c>
      <c r="G791" s="4">
        <v>2.2000000000000002</v>
      </c>
      <c r="H791" s="4">
        <v>5.5</v>
      </c>
      <c r="I791" s="4">
        <v>5.5</v>
      </c>
      <c r="J791" s="5">
        <v>48720</v>
      </c>
      <c r="K791" s="3" t="s">
        <v>2357</v>
      </c>
      <c r="L791" s="3" t="s">
        <v>2355</v>
      </c>
      <c r="M791" s="3" t="s">
        <v>2369</v>
      </c>
    </row>
    <row r="792" spans="1:13" x14ac:dyDescent="0.35">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35">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35">
      <c r="A794" s="3" t="s">
        <v>1604</v>
      </c>
      <c r="B794" s="3" t="s">
        <v>1605</v>
      </c>
      <c r="C794" s="3" t="s">
        <v>65</v>
      </c>
      <c r="D794" s="4">
        <v>27.2</v>
      </c>
      <c r="E794" s="4">
        <v>27.6</v>
      </c>
      <c r="F794" s="4">
        <v>0.5</v>
      </c>
      <c r="G794" s="4">
        <v>1.7</v>
      </c>
      <c r="H794" s="4">
        <v>3.6</v>
      </c>
      <c r="I794" s="4">
        <v>2.1</v>
      </c>
      <c r="J794" s="5">
        <v>50590</v>
      </c>
      <c r="K794" s="3" t="s">
        <v>2357</v>
      </c>
      <c r="L794" s="3" t="s">
        <v>2355</v>
      </c>
      <c r="M794" s="3" t="s">
        <v>2369</v>
      </c>
    </row>
    <row r="795" spans="1:13" x14ac:dyDescent="0.35">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35">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35">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35">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35">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35">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2369</v>
      </c>
    </row>
    <row r="801" spans="1:13" x14ac:dyDescent="0.35">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35">
      <c r="A802" s="3" t="s">
        <v>1620</v>
      </c>
      <c r="B802" s="3" t="s">
        <v>1621</v>
      </c>
      <c r="C802" s="3" t="s">
        <v>65</v>
      </c>
      <c r="D802" s="4">
        <v>22.8</v>
      </c>
      <c r="E802" s="4">
        <v>23.1</v>
      </c>
      <c r="F802" s="4">
        <v>0.3</v>
      </c>
      <c r="G802" s="4">
        <v>1.2</v>
      </c>
      <c r="H802" s="4">
        <v>24.3</v>
      </c>
      <c r="I802" s="4">
        <v>1.9</v>
      </c>
      <c r="J802" s="5">
        <v>51070</v>
      </c>
      <c r="K802" s="3" t="s">
        <v>2357</v>
      </c>
      <c r="L802" s="3" t="s">
        <v>2355</v>
      </c>
      <c r="M802" s="3" t="s">
        <v>2369</v>
      </c>
    </row>
    <row r="803" spans="1:13" x14ac:dyDescent="0.35">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35">
      <c r="A804" s="3" t="s">
        <v>1624</v>
      </c>
      <c r="B804" s="3" t="s">
        <v>1625</v>
      </c>
      <c r="C804" s="3" t="s">
        <v>65</v>
      </c>
      <c r="D804" s="4">
        <v>126.2</v>
      </c>
      <c r="E804" s="4">
        <v>126</v>
      </c>
      <c r="F804" s="4">
        <v>-0.2</v>
      </c>
      <c r="G804" s="4">
        <v>-0.1</v>
      </c>
      <c r="H804" s="4">
        <v>2.6</v>
      </c>
      <c r="I804" s="4">
        <v>11.4</v>
      </c>
      <c r="J804" s="5">
        <v>55350</v>
      </c>
      <c r="K804" s="3" t="s">
        <v>2357</v>
      </c>
      <c r="L804" s="3" t="s">
        <v>2355</v>
      </c>
      <c r="M804" s="3" t="s">
        <v>2369</v>
      </c>
    </row>
    <row r="805" spans="1:13" x14ac:dyDescent="0.35">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2369</v>
      </c>
    </row>
    <row r="806" spans="1:13" x14ac:dyDescent="0.35">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35">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35">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35">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35">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35">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35">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35">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35">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35">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35">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35">
      <c r="A817" s="3" t="s">
        <v>1650</v>
      </c>
      <c r="B817" s="3" t="s">
        <v>1651</v>
      </c>
      <c r="C817" s="3" t="s">
        <v>65</v>
      </c>
      <c r="D817" s="4">
        <v>25.1</v>
      </c>
      <c r="E817" s="4">
        <v>25.5</v>
      </c>
      <c r="F817" s="4">
        <v>0.4</v>
      </c>
      <c r="G817" s="4">
        <v>1.5</v>
      </c>
      <c r="H817" s="4" t="s">
        <v>2352</v>
      </c>
      <c r="I817" s="4">
        <v>2.1</v>
      </c>
      <c r="J817" s="5">
        <v>99000</v>
      </c>
      <c r="K817" s="3" t="s">
        <v>2357</v>
      </c>
      <c r="L817" s="3" t="s">
        <v>2355</v>
      </c>
      <c r="M817" s="3" t="s">
        <v>2369</v>
      </c>
    </row>
    <row r="818" spans="1:13" x14ac:dyDescent="0.35">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35">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35">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35">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35">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35">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35">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35">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35">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35">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35">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35">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35">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35">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35">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35">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35">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35">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35">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35">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35">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35">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35">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35">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35">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35">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35">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35">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35">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35">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35">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35">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35">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35">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35">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35">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35">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35">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35">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35">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35">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35">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35">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35">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35">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35">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35">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35">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35">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35">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35">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35">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35">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35">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35">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35">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35">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35">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35">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35">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35">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35">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35">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35">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35">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35">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35">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35">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35">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35">
      <c r="A887" s="3" t="s">
        <v>1788</v>
      </c>
      <c r="B887" s="3" t="s">
        <v>1789</v>
      </c>
      <c r="C887" s="3" t="s">
        <v>65</v>
      </c>
      <c r="D887" s="4">
        <v>42.1</v>
      </c>
      <c r="E887" s="4">
        <v>43.4</v>
      </c>
      <c r="F887" s="4">
        <v>1.3</v>
      </c>
      <c r="G887" s="4">
        <v>3</v>
      </c>
      <c r="H887" s="4">
        <v>1.1000000000000001</v>
      </c>
      <c r="I887" s="4">
        <v>3.5</v>
      </c>
      <c r="J887" s="5">
        <v>60930</v>
      </c>
      <c r="K887" s="3" t="s">
        <v>2357</v>
      </c>
      <c r="L887" s="3" t="s">
        <v>2355</v>
      </c>
      <c r="M887" s="3" t="s">
        <v>2369</v>
      </c>
    </row>
    <row r="888" spans="1:13" x14ac:dyDescent="0.35">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35">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35">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35">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35">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35">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35">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35">
      <c r="A895" s="3" t="s">
        <v>1804</v>
      </c>
      <c r="B895" s="3" t="s">
        <v>1805</v>
      </c>
      <c r="C895" s="3" t="s">
        <v>65</v>
      </c>
      <c r="D895" s="4">
        <v>7</v>
      </c>
      <c r="E895" s="4">
        <v>6.3</v>
      </c>
      <c r="F895" s="4">
        <v>-0.7</v>
      </c>
      <c r="G895" s="4">
        <v>-9.4</v>
      </c>
      <c r="H895" s="4">
        <v>9.9</v>
      </c>
      <c r="I895" s="4">
        <v>0.5</v>
      </c>
      <c r="J895" s="5">
        <v>38150</v>
      </c>
      <c r="K895" s="3" t="s">
        <v>2357</v>
      </c>
      <c r="L895" s="3" t="s">
        <v>2355</v>
      </c>
      <c r="M895" s="3" t="s">
        <v>2369</v>
      </c>
    </row>
    <row r="896" spans="1:13" x14ac:dyDescent="0.35">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35">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35">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35">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35">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35">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35">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35">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35">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35">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35">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35">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35">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35">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35">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35">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35">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35">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35">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35">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35">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35">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35">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35">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35">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35">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35">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35">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35">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35">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35">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35">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35">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35">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35">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35">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35">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35">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35">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35">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35">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35">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35">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35">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35">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35">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35">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35">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35">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35">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35">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35">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35">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35">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35">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35">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35">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35">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35">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35">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35">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35">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35">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35">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35">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35">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35">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35">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35">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35">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35">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35">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35">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35">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35">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35">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35">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35">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35">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35">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35">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35">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35">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35">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35">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35">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35">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35">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35">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35">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35">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35">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35">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35">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35">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35">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35">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35">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35">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35">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35">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35">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35">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35">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35">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35">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35">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35">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35">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35">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35">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35">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35">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35">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35">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35">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35">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35">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35">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35">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35">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35">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35">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35">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35">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35">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35">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35">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35">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35">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35">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35">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35">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35">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35">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35">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35">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35">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35">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35">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35">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35">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35">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35">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35">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35">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35">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35">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35">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35">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35">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35">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35">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35">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35">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35">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35">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35">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35">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35">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35">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35">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35">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35">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35">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35">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35">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35">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35">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35">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35">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35">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35">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35">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35">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35">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35">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35">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35">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35">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35">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35">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35">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35">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35">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35">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35">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35">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35">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35">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35">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35">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35">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35">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35">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35">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35">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35">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35">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35">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35">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35">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35">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35">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35">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35">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35">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35">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35">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35">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35">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35">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35">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35">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35">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35">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35">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35">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35">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35">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35">
      <c r="A1116" s="6" t="s">
        <v>52</v>
      </c>
      <c r="B1116" s="6"/>
      <c r="C1116" s="6"/>
      <c r="D1116" s="6"/>
      <c r="E1116" s="6"/>
      <c r="F1116" s="6"/>
      <c r="G1116" s="6"/>
      <c r="H1116" s="6"/>
      <c r="I1116" s="6"/>
      <c r="J1116" s="6"/>
      <c r="K1116" s="6"/>
      <c r="L1116" s="6"/>
      <c r="M1116" s="6"/>
    </row>
    <row r="1117" spans="1:13" x14ac:dyDescent="0.35">
      <c r="A1117" s="6" t="s">
        <v>53</v>
      </c>
      <c r="B1117" s="6"/>
      <c r="C1117" s="6"/>
      <c r="D1117" s="6"/>
      <c r="E1117" s="6"/>
      <c r="F1117" s="6"/>
      <c r="G1117" s="6"/>
      <c r="H1117" s="6"/>
      <c r="I1117" s="6"/>
      <c r="J1117" s="6"/>
      <c r="K1117" s="6"/>
      <c r="L1117" s="6"/>
      <c r="M1117" s="6"/>
    </row>
    <row r="1118" spans="1:13" x14ac:dyDescent="0.35">
      <c r="A1118" s="6" t="s">
        <v>54</v>
      </c>
      <c r="B1118" s="6"/>
      <c r="C1118" s="6"/>
      <c r="D1118" s="6"/>
      <c r="E1118" s="6"/>
      <c r="F1118" s="6"/>
      <c r="G1118" s="6"/>
      <c r="H1118" s="6"/>
      <c r="I1118" s="6"/>
      <c r="J1118" s="6"/>
      <c r="K1118" s="6"/>
      <c r="L1118" s="6"/>
      <c r="M1118" s="6"/>
    </row>
    <row r="1119" spans="1:13" x14ac:dyDescent="0.35">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workbookViewId="0"/>
  </sheetViews>
  <sheetFormatPr defaultRowHeight="14.5" x14ac:dyDescent="0.35"/>
  <cols>
    <col min="1" max="1" width="60" customWidth="1"/>
    <col min="2" max="3" width="15" customWidth="1"/>
    <col min="4" max="4" width="30" customWidth="1"/>
  </cols>
  <sheetData>
    <row r="1" spans="1:4" x14ac:dyDescent="0.35">
      <c r="A1" s="1" t="s">
        <v>2370</v>
      </c>
    </row>
    <row r="2" spans="1:4" ht="39.5" x14ac:dyDescent="0.35">
      <c r="A2" s="2" t="s">
        <v>0</v>
      </c>
      <c r="B2" s="2" t="s">
        <v>1</v>
      </c>
      <c r="C2" s="2" t="s">
        <v>56</v>
      </c>
      <c r="D2" s="2" t="s">
        <v>2371</v>
      </c>
    </row>
    <row r="3" spans="1:4" x14ac:dyDescent="0.35">
      <c r="A3" s="3" t="s">
        <v>6</v>
      </c>
      <c r="B3" s="3" t="s">
        <v>7</v>
      </c>
      <c r="C3" s="3" t="s">
        <v>60</v>
      </c>
      <c r="D3" s="7" t="str">
        <f>HYPERLINK("https://data.bls.gov/projections/nationalMatrix?queryParams=00-0000&amp;ioType=o", "Projections for 00-0000")</f>
        <v>Projections for 00-0000</v>
      </c>
    </row>
    <row r="4" spans="1:4" x14ac:dyDescent="0.35">
      <c r="A4" s="3" t="s">
        <v>8</v>
      </c>
      <c r="B4" s="3" t="s">
        <v>9</v>
      </c>
      <c r="C4" s="3" t="s">
        <v>60</v>
      </c>
      <c r="D4" s="7" t="str">
        <f>HYPERLINK("https://data.bls.gov/projections/nationalMatrix?queryParams=11-0000&amp;ioType=o", "Projections for 11-0000")</f>
        <v>Projections for 11-0000</v>
      </c>
    </row>
    <row r="5" spans="1:4" x14ac:dyDescent="0.35">
      <c r="A5" s="3" t="s">
        <v>61</v>
      </c>
      <c r="B5" s="3" t="s">
        <v>62</v>
      </c>
      <c r="C5" s="3" t="s">
        <v>60</v>
      </c>
      <c r="D5" s="7" t="str">
        <f>HYPERLINK("https://data.bls.gov/projections/nationalMatrix?queryParams=11-1000&amp;ioType=o", "Projections for 11-1000")</f>
        <v>Projections for 11-1000</v>
      </c>
    </row>
    <row r="6" spans="1:4" x14ac:dyDescent="0.35">
      <c r="A6" s="3" t="s">
        <v>63</v>
      </c>
      <c r="B6" s="3" t="s">
        <v>64</v>
      </c>
      <c r="C6" s="3" t="s">
        <v>65</v>
      </c>
      <c r="D6" s="7" t="str">
        <f>HYPERLINK("https://data.bls.gov/projections/nationalMatrix?queryParams=11-1011&amp;ioType=o", "Projections for 11-1011")</f>
        <v>Projections for 11-1011</v>
      </c>
    </row>
    <row r="7" spans="1:4" x14ac:dyDescent="0.35">
      <c r="A7" s="3" t="s">
        <v>66</v>
      </c>
      <c r="B7" s="3" t="s">
        <v>67</v>
      </c>
      <c r="C7" s="3" t="s">
        <v>65</v>
      </c>
      <c r="D7" s="7" t="str">
        <f>HYPERLINK("https://data.bls.gov/projections/nationalMatrix?queryParams=11-1021&amp;ioType=o", "Projections for 11-1021")</f>
        <v>Projections for 11-1021</v>
      </c>
    </row>
    <row r="8" spans="1:4" x14ac:dyDescent="0.35">
      <c r="A8" s="3" t="s">
        <v>68</v>
      </c>
      <c r="B8" s="3" t="s">
        <v>69</v>
      </c>
      <c r="C8" s="3" t="s">
        <v>65</v>
      </c>
      <c r="D8" s="7" t="str">
        <f>HYPERLINK("https://data.bls.gov/projections/nationalMatrix?queryParams=11-1031&amp;ioType=o", "Projections for 11-1031")</f>
        <v>Projections for 11-1031</v>
      </c>
    </row>
    <row r="9" spans="1:4" x14ac:dyDescent="0.35">
      <c r="A9" s="3" t="s">
        <v>70</v>
      </c>
      <c r="B9" s="3" t="s">
        <v>71</v>
      </c>
      <c r="C9" s="3" t="s">
        <v>60</v>
      </c>
      <c r="D9" s="7" t="str">
        <f>HYPERLINK("https://data.bls.gov/projections/nationalMatrix?queryParams=11-2000&amp;ioType=o", "Projections for 11-2000")</f>
        <v>Projections for 11-2000</v>
      </c>
    </row>
    <row r="10" spans="1:4" x14ac:dyDescent="0.35">
      <c r="A10" s="3" t="s">
        <v>72</v>
      </c>
      <c r="B10" s="3" t="s">
        <v>73</v>
      </c>
      <c r="C10" s="3" t="s">
        <v>65</v>
      </c>
      <c r="D10" s="7" t="str">
        <f>HYPERLINK("https://data.bls.gov/projections/nationalMatrix?queryParams=11-2011&amp;ioType=o", "Projections for 11-2011")</f>
        <v>Projections for 11-2011</v>
      </c>
    </row>
    <row r="11" spans="1:4" x14ac:dyDescent="0.35">
      <c r="A11" s="3" t="s">
        <v>74</v>
      </c>
      <c r="B11" s="3" t="s">
        <v>75</v>
      </c>
      <c r="C11" s="3" t="s">
        <v>60</v>
      </c>
      <c r="D11" s="7" t="str">
        <f>HYPERLINK("https://data.bls.gov/projections/nationalMatrix?queryParams=11-2020&amp;ioType=o", "Projections for 11-2020")</f>
        <v>Projections for 11-2020</v>
      </c>
    </row>
    <row r="12" spans="1:4" x14ac:dyDescent="0.35">
      <c r="A12" s="3" t="s">
        <v>76</v>
      </c>
      <c r="B12" s="3" t="s">
        <v>77</v>
      </c>
      <c r="C12" s="3" t="s">
        <v>65</v>
      </c>
      <c r="D12" s="7" t="str">
        <f>HYPERLINK("https://data.bls.gov/projections/nationalMatrix?queryParams=11-2021&amp;ioType=o", "Projections for 11-2021")</f>
        <v>Projections for 11-2021</v>
      </c>
    </row>
    <row r="13" spans="1:4" x14ac:dyDescent="0.35">
      <c r="A13" s="3" t="s">
        <v>78</v>
      </c>
      <c r="B13" s="3" t="s">
        <v>79</v>
      </c>
      <c r="C13" s="3" t="s">
        <v>65</v>
      </c>
      <c r="D13" s="7" t="str">
        <f>HYPERLINK("https://data.bls.gov/projections/nationalMatrix?queryParams=11-2022&amp;ioType=o", "Projections for 11-2022")</f>
        <v>Projections for 11-2022</v>
      </c>
    </row>
    <row r="14" spans="1:4" x14ac:dyDescent="0.35">
      <c r="A14" s="3" t="s">
        <v>80</v>
      </c>
      <c r="B14" s="3" t="s">
        <v>81</v>
      </c>
      <c r="C14" s="3" t="s">
        <v>60</v>
      </c>
      <c r="D14" s="7" t="str">
        <f>HYPERLINK("https://data.bls.gov/projections/nationalMatrix?queryParams=11-2030&amp;ioType=o", "Projections for 11-2030")</f>
        <v>Projections for 11-2030</v>
      </c>
    </row>
    <row r="15" spans="1:4" x14ac:dyDescent="0.35">
      <c r="A15" s="3" t="s">
        <v>82</v>
      </c>
      <c r="B15" s="3" t="s">
        <v>83</v>
      </c>
      <c r="C15" s="3" t="s">
        <v>65</v>
      </c>
      <c r="D15" s="7" t="str">
        <f>HYPERLINK("https://data.bls.gov/projections/nationalMatrix?queryParams=11-2032&amp;ioType=o", "Projections for 11-2032")</f>
        <v>Projections for 11-2032</v>
      </c>
    </row>
    <row r="16" spans="1:4" x14ac:dyDescent="0.35">
      <c r="A16" s="3" t="s">
        <v>84</v>
      </c>
      <c r="B16" s="3" t="s">
        <v>85</v>
      </c>
      <c r="C16" s="3" t="s">
        <v>65</v>
      </c>
      <c r="D16" s="7" t="str">
        <f>HYPERLINK("https://data.bls.gov/projections/nationalMatrix?queryParams=11-2033&amp;ioType=o", "Projections for 11-2033")</f>
        <v>Projections for 11-2033</v>
      </c>
    </row>
    <row r="17" spans="1:4" x14ac:dyDescent="0.35">
      <c r="A17" s="3" t="s">
        <v>86</v>
      </c>
      <c r="B17" s="3" t="s">
        <v>87</v>
      </c>
      <c r="C17" s="3" t="s">
        <v>60</v>
      </c>
      <c r="D17" s="7" t="str">
        <f>HYPERLINK("https://data.bls.gov/projections/nationalMatrix?queryParams=11-3000&amp;ioType=o", "Projections for 11-3000")</f>
        <v>Projections for 11-3000</v>
      </c>
    </row>
    <row r="18" spans="1:4" x14ac:dyDescent="0.35">
      <c r="A18" s="3" t="s">
        <v>88</v>
      </c>
      <c r="B18" s="3" t="s">
        <v>89</v>
      </c>
      <c r="C18" s="3" t="s">
        <v>60</v>
      </c>
      <c r="D18" s="7" t="str">
        <f>HYPERLINK("https://data.bls.gov/projections/nationalMatrix?queryParams=11-3010&amp;ioType=o", "Projections for 11-3010")</f>
        <v>Projections for 11-3010</v>
      </c>
    </row>
    <row r="19" spans="1:4" x14ac:dyDescent="0.35">
      <c r="A19" s="3" t="s">
        <v>90</v>
      </c>
      <c r="B19" s="3" t="s">
        <v>91</v>
      </c>
      <c r="C19" s="3" t="s">
        <v>65</v>
      </c>
      <c r="D19" s="7" t="str">
        <f>HYPERLINK("https://data.bls.gov/projections/nationalMatrix?queryParams=11-3012&amp;ioType=o", "Projections for 11-3012")</f>
        <v>Projections for 11-3012</v>
      </c>
    </row>
    <row r="20" spans="1:4" x14ac:dyDescent="0.35">
      <c r="A20" s="3" t="s">
        <v>92</v>
      </c>
      <c r="B20" s="3" t="s">
        <v>93</v>
      </c>
      <c r="C20" s="3" t="s">
        <v>65</v>
      </c>
      <c r="D20" s="7" t="str">
        <f>HYPERLINK("https://data.bls.gov/projections/nationalMatrix?queryParams=11-3013&amp;ioType=o", "Projections for 11-3013")</f>
        <v>Projections for 11-3013</v>
      </c>
    </row>
    <row r="21" spans="1:4" x14ac:dyDescent="0.35">
      <c r="A21" s="3" t="s">
        <v>94</v>
      </c>
      <c r="B21" s="3" t="s">
        <v>95</v>
      </c>
      <c r="C21" s="3" t="s">
        <v>65</v>
      </c>
      <c r="D21" s="7" t="str">
        <f>HYPERLINK("https://data.bls.gov/projections/nationalMatrix?queryParams=11-3021&amp;ioType=o", "Projections for 11-3021")</f>
        <v>Projections for 11-3021</v>
      </c>
    </row>
    <row r="22" spans="1:4" x14ac:dyDescent="0.35">
      <c r="A22" s="3" t="s">
        <v>96</v>
      </c>
      <c r="B22" s="3" t="s">
        <v>97</v>
      </c>
      <c r="C22" s="3" t="s">
        <v>65</v>
      </c>
      <c r="D22" s="7" t="str">
        <f>HYPERLINK("https://data.bls.gov/projections/nationalMatrix?queryParams=11-3031&amp;ioType=o", "Projections for 11-3031")</f>
        <v>Projections for 11-3031</v>
      </c>
    </row>
    <row r="23" spans="1:4" x14ac:dyDescent="0.35">
      <c r="A23" s="3" t="s">
        <v>98</v>
      </c>
      <c r="B23" s="3" t="s">
        <v>99</v>
      </c>
      <c r="C23" s="3" t="s">
        <v>65</v>
      </c>
      <c r="D23" s="7" t="str">
        <f>HYPERLINK("https://data.bls.gov/projections/nationalMatrix?queryParams=11-3051&amp;ioType=o", "Projections for 11-3051")</f>
        <v>Projections for 11-3051</v>
      </c>
    </row>
    <row r="24" spans="1:4" x14ac:dyDescent="0.35">
      <c r="A24" s="3" t="s">
        <v>100</v>
      </c>
      <c r="B24" s="3" t="s">
        <v>101</v>
      </c>
      <c r="C24" s="3" t="s">
        <v>65</v>
      </c>
      <c r="D24" s="7" t="str">
        <f>HYPERLINK("https://data.bls.gov/projections/nationalMatrix?queryParams=11-3061&amp;ioType=o", "Projections for 11-3061")</f>
        <v>Projections for 11-3061</v>
      </c>
    </row>
    <row r="25" spans="1:4" x14ac:dyDescent="0.35">
      <c r="A25" s="3" t="s">
        <v>102</v>
      </c>
      <c r="B25" s="3" t="s">
        <v>103</v>
      </c>
      <c r="C25" s="3" t="s">
        <v>65</v>
      </c>
      <c r="D25" s="7" t="str">
        <f>HYPERLINK("https://data.bls.gov/projections/nationalMatrix?queryParams=11-3071&amp;ioType=o", "Projections for 11-3071")</f>
        <v>Projections for 11-3071</v>
      </c>
    </row>
    <row r="26" spans="1:4" x14ac:dyDescent="0.35">
      <c r="A26" s="3" t="s">
        <v>104</v>
      </c>
      <c r="B26" s="3" t="s">
        <v>105</v>
      </c>
      <c r="C26" s="3" t="s">
        <v>65</v>
      </c>
      <c r="D26" s="7" t="str">
        <f>HYPERLINK("https://data.bls.gov/projections/nationalMatrix?queryParams=11-3111&amp;ioType=o", "Projections for 11-3111")</f>
        <v>Projections for 11-3111</v>
      </c>
    </row>
    <row r="27" spans="1:4" x14ac:dyDescent="0.35">
      <c r="A27" s="3" t="s">
        <v>106</v>
      </c>
      <c r="B27" s="3" t="s">
        <v>107</v>
      </c>
      <c r="C27" s="3" t="s">
        <v>65</v>
      </c>
      <c r="D27" s="7" t="str">
        <f>HYPERLINK("https://data.bls.gov/projections/nationalMatrix?queryParams=11-3121&amp;ioType=o", "Projections for 11-3121")</f>
        <v>Projections for 11-3121</v>
      </c>
    </row>
    <row r="28" spans="1:4" x14ac:dyDescent="0.35">
      <c r="A28" s="3" t="s">
        <v>108</v>
      </c>
      <c r="B28" s="3" t="s">
        <v>109</v>
      </c>
      <c r="C28" s="3" t="s">
        <v>65</v>
      </c>
      <c r="D28" s="7" t="str">
        <f>HYPERLINK("https://data.bls.gov/projections/nationalMatrix?queryParams=11-3131&amp;ioType=o", "Projections for 11-3131")</f>
        <v>Projections for 11-3131</v>
      </c>
    </row>
    <row r="29" spans="1:4" x14ac:dyDescent="0.35">
      <c r="A29" s="3" t="s">
        <v>110</v>
      </c>
      <c r="B29" s="3" t="s">
        <v>111</v>
      </c>
      <c r="C29" s="3" t="s">
        <v>60</v>
      </c>
      <c r="D29" s="7" t="str">
        <f>HYPERLINK("https://data.bls.gov/projections/nationalMatrix?queryParams=11-9000&amp;ioType=o", "Projections for 11-9000")</f>
        <v>Projections for 11-9000</v>
      </c>
    </row>
    <row r="30" spans="1:4" x14ac:dyDescent="0.35">
      <c r="A30" s="3" t="s">
        <v>112</v>
      </c>
      <c r="B30" s="3" t="s">
        <v>113</v>
      </c>
      <c r="C30" s="3" t="s">
        <v>65</v>
      </c>
      <c r="D30" s="7" t="str">
        <f>HYPERLINK("https://data.bls.gov/projections/nationalMatrix?queryParams=11-9013&amp;ioType=o", "Projections for 11-9013")</f>
        <v>Projections for 11-9013</v>
      </c>
    </row>
    <row r="31" spans="1:4" x14ac:dyDescent="0.35">
      <c r="A31" s="3" t="s">
        <v>114</v>
      </c>
      <c r="B31" s="3" t="s">
        <v>115</v>
      </c>
      <c r="C31" s="3" t="s">
        <v>65</v>
      </c>
      <c r="D31" s="7" t="str">
        <f>HYPERLINK("https://data.bls.gov/projections/nationalMatrix?queryParams=11-9021&amp;ioType=o", "Projections for 11-9021")</f>
        <v>Projections for 11-9021</v>
      </c>
    </row>
    <row r="32" spans="1:4" x14ac:dyDescent="0.35">
      <c r="A32" s="3" t="s">
        <v>116</v>
      </c>
      <c r="B32" s="3" t="s">
        <v>117</v>
      </c>
      <c r="C32" s="3" t="s">
        <v>60</v>
      </c>
      <c r="D32" s="7" t="str">
        <f>HYPERLINK("https://data.bls.gov/projections/nationalMatrix?queryParams=11-9030&amp;ioType=o", "Projections for 11-9030")</f>
        <v>Projections for 11-9030</v>
      </c>
    </row>
    <row r="33" spans="1:4" x14ac:dyDescent="0.35">
      <c r="A33" s="3" t="s">
        <v>118</v>
      </c>
      <c r="B33" s="3" t="s">
        <v>119</v>
      </c>
      <c r="C33" s="3" t="s">
        <v>65</v>
      </c>
      <c r="D33" s="7" t="str">
        <f>HYPERLINK("https://data.bls.gov/projections/nationalMatrix?queryParams=11-9031&amp;ioType=o", "Projections for 11-9031")</f>
        <v>Projections for 11-9031</v>
      </c>
    </row>
    <row r="34" spans="1:4" x14ac:dyDescent="0.35">
      <c r="A34" s="3" t="s">
        <v>120</v>
      </c>
      <c r="B34" s="3" t="s">
        <v>121</v>
      </c>
      <c r="C34" s="3" t="s">
        <v>65</v>
      </c>
      <c r="D34" s="7" t="str">
        <f>HYPERLINK("https://data.bls.gov/projections/nationalMatrix?queryParams=11-9032&amp;ioType=o", "Projections for 11-9032")</f>
        <v>Projections for 11-9032</v>
      </c>
    </row>
    <row r="35" spans="1:4" x14ac:dyDescent="0.35">
      <c r="A35" s="3" t="s">
        <v>122</v>
      </c>
      <c r="B35" s="3" t="s">
        <v>123</v>
      </c>
      <c r="C35" s="3" t="s">
        <v>65</v>
      </c>
      <c r="D35" s="7" t="str">
        <f>HYPERLINK("https://data.bls.gov/projections/nationalMatrix?queryParams=11-9033&amp;ioType=o", "Projections for 11-9033")</f>
        <v>Projections for 11-9033</v>
      </c>
    </row>
    <row r="36" spans="1:4" x14ac:dyDescent="0.35">
      <c r="A36" s="3" t="s">
        <v>124</v>
      </c>
      <c r="B36" s="3" t="s">
        <v>125</v>
      </c>
      <c r="C36" s="3" t="s">
        <v>65</v>
      </c>
      <c r="D36" s="7" t="str">
        <f>HYPERLINK("https://data.bls.gov/projections/nationalMatrix?queryParams=11-9039&amp;ioType=o", "Projections for 11-9039")</f>
        <v>Projections for 11-9039</v>
      </c>
    </row>
    <row r="37" spans="1:4" x14ac:dyDescent="0.35">
      <c r="A37" s="3" t="s">
        <v>126</v>
      </c>
      <c r="B37" s="3" t="s">
        <v>127</v>
      </c>
      <c r="C37" s="3" t="s">
        <v>65</v>
      </c>
      <c r="D37" s="7" t="str">
        <f>HYPERLINK("https://data.bls.gov/projections/nationalMatrix?queryParams=11-9041&amp;ioType=o", "Projections for 11-9041")</f>
        <v>Projections for 11-9041</v>
      </c>
    </row>
    <row r="38" spans="1:4" x14ac:dyDescent="0.35">
      <c r="A38" s="3" t="s">
        <v>128</v>
      </c>
      <c r="B38" s="3" t="s">
        <v>129</v>
      </c>
      <c r="C38" s="3" t="s">
        <v>65</v>
      </c>
      <c r="D38" s="7" t="str">
        <f>HYPERLINK("https://data.bls.gov/projections/nationalMatrix?queryParams=11-9051&amp;ioType=o", "Projections for 11-9051")</f>
        <v>Projections for 11-9051</v>
      </c>
    </row>
    <row r="39" spans="1:4" x14ac:dyDescent="0.35">
      <c r="A39" s="3" t="s">
        <v>130</v>
      </c>
      <c r="B39" s="3" t="s">
        <v>131</v>
      </c>
      <c r="C39" s="3" t="s">
        <v>60</v>
      </c>
      <c r="D39" s="7" t="str">
        <f>HYPERLINK("https://data.bls.gov/projections/nationalMatrix?queryParams=11-9070&amp;ioType=o", "Projections for 11-9070")</f>
        <v>Projections for 11-9070</v>
      </c>
    </row>
    <row r="40" spans="1:4" x14ac:dyDescent="0.35">
      <c r="A40" s="3" t="s">
        <v>132</v>
      </c>
      <c r="B40" s="3" t="s">
        <v>133</v>
      </c>
      <c r="C40" s="3" t="s">
        <v>65</v>
      </c>
      <c r="D40" s="7" t="str">
        <f>HYPERLINK("https://data.bls.gov/projections/nationalMatrix?queryParams=11-9071&amp;ioType=o", "Projections for 11-9071")</f>
        <v>Projections for 11-9071</v>
      </c>
    </row>
    <row r="41" spans="1:4" x14ac:dyDescent="0.35">
      <c r="A41" s="3" t="s">
        <v>134</v>
      </c>
      <c r="B41" s="3" t="s">
        <v>135</v>
      </c>
      <c r="C41" s="3" t="s">
        <v>65</v>
      </c>
      <c r="D41" s="7" t="str">
        <f>HYPERLINK("https://data.bls.gov/projections/nationalMatrix?queryParams=11-9072&amp;ioType=o", "Projections for 11-9072")</f>
        <v>Projections for 11-9072</v>
      </c>
    </row>
    <row r="42" spans="1:4" x14ac:dyDescent="0.35">
      <c r="A42" s="3" t="s">
        <v>136</v>
      </c>
      <c r="B42" s="3" t="s">
        <v>137</v>
      </c>
      <c r="C42" s="3" t="s">
        <v>65</v>
      </c>
      <c r="D42" s="7" t="str">
        <f>HYPERLINK("https://data.bls.gov/projections/nationalMatrix?queryParams=11-9081&amp;ioType=o", "Projections for 11-9081")</f>
        <v>Projections for 11-9081</v>
      </c>
    </row>
    <row r="43" spans="1:4" x14ac:dyDescent="0.35">
      <c r="A43" s="3" t="s">
        <v>138</v>
      </c>
      <c r="B43" s="3" t="s">
        <v>139</v>
      </c>
      <c r="C43" s="3" t="s">
        <v>65</v>
      </c>
      <c r="D43" s="7" t="str">
        <f>HYPERLINK("https://data.bls.gov/projections/nationalMatrix?queryParams=11-9111&amp;ioType=o", "Projections for 11-9111")</f>
        <v>Projections for 11-9111</v>
      </c>
    </row>
    <row r="44" spans="1:4" x14ac:dyDescent="0.35">
      <c r="A44" s="3" t="s">
        <v>140</v>
      </c>
      <c r="B44" s="3" t="s">
        <v>141</v>
      </c>
      <c r="C44" s="3" t="s">
        <v>65</v>
      </c>
      <c r="D44" s="7" t="str">
        <f>HYPERLINK("https://data.bls.gov/projections/nationalMatrix?queryParams=11-9121&amp;ioType=o", "Projections for 11-9121")</f>
        <v>Projections for 11-9121</v>
      </c>
    </row>
    <row r="45" spans="1:4" x14ac:dyDescent="0.35">
      <c r="A45" s="3" t="s">
        <v>142</v>
      </c>
      <c r="B45" s="3" t="s">
        <v>143</v>
      </c>
      <c r="C45" s="3" t="s">
        <v>65</v>
      </c>
      <c r="D45" s="7" t="str">
        <f>HYPERLINK("https://data.bls.gov/projections/nationalMatrix?queryParams=11-9131&amp;ioType=o", "Projections for 11-9131")</f>
        <v>Projections for 11-9131</v>
      </c>
    </row>
    <row r="46" spans="1:4" x14ac:dyDescent="0.35">
      <c r="A46" s="3" t="s">
        <v>144</v>
      </c>
      <c r="B46" s="3" t="s">
        <v>145</v>
      </c>
      <c r="C46" s="3" t="s">
        <v>65</v>
      </c>
      <c r="D46" s="7" t="str">
        <f>HYPERLINK("https://data.bls.gov/projections/nationalMatrix?queryParams=11-9141&amp;ioType=o", "Projections for 11-9141")</f>
        <v>Projections for 11-9141</v>
      </c>
    </row>
    <row r="47" spans="1:4" x14ac:dyDescent="0.35">
      <c r="A47" s="3" t="s">
        <v>146</v>
      </c>
      <c r="B47" s="3" t="s">
        <v>147</v>
      </c>
      <c r="C47" s="3" t="s">
        <v>65</v>
      </c>
      <c r="D47" s="7" t="str">
        <f>HYPERLINK("https://data.bls.gov/projections/nationalMatrix?queryParams=11-9151&amp;ioType=o", "Projections for 11-9151")</f>
        <v>Projections for 11-9151</v>
      </c>
    </row>
    <row r="48" spans="1:4" x14ac:dyDescent="0.35">
      <c r="A48" s="3" t="s">
        <v>148</v>
      </c>
      <c r="B48" s="3" t="s">
        <v>149</v>
      </c>
      <c r="C48" s="3" t="s">
        <v>65</v>
      </c>
      <c r="D48" s="7" t="str">
        <f>HYPERLINK("https://data.bls.gov/projections/nationalMatrix?queryParams=11-9161&amp;ioType=o", "Projections for 11-9161")</f>
        <v>Projections for 11-9161</v>
      </c>
    </row>
    <row r="49" spans="1:4" x14ac:dyDescent="0.35">
      <c r="A49" s="3" t="s">
        <v>150</v>
      </c>
      <c r="B49" s="3" t="s">
        <v>151</v>
      </c>
      <c r="C49" s="3" t="s">
        <v>60</v>
      </c>
      <c r="D49" s="7" t="str">
        <f>HYPERLINK("https://data.bls.gov/projections/nationalMatrix?queryParams=11-9170&amp;ioType=o", "Projections for 11-9170")</f>
        <v>Projections for 11-9170</v>
      </c>
    </row>
    <row r="50" spans="1:4" x14ac:dyDescent="0.35">
      <c r="A50" s="3" t="s">
        <v>152</v>
      </c>
      <c r="B50" s="3" t="s">
        <v>153</v>
      </c>
      <c r="C50" s="3" t="s">
        <v>65</v>
      </c>
      <c r="D50" s="7" t="str">
        <f>HYPERLINK("https://data.bls.gov/projections/nationalMatrix?queryParams=11-9171&amp;ioType=o", "Projections for 11-9171")</f>
        <v>Projections for 11-9171</v>
      </c>
    </row>
    <row r="51" spans="1:4" x14ac:dyDescent="0.35">
      <c r="A51" s="3" t="s">
        <v>154</v>
      </c>
      <c r="B51" s="3" t="s">
        <v>155</v>
      </c>
      <c r="C51" s="3" t="s">
        <v>65</v>
      </c>
      <c r="D51" s="7" t="str">
        <f>HYPERLINK("https://data.bls.gov/projections/nationalMatrix?queryParams=11-9179&amp;ioType=o", "Projections for 11-9179")</f>
        <v>Projections for 11-9179</v>
      </c>
    </row>
    <row r="52" spans="1:4" x14ac:dyDescent="0.35">
      <c r="A52" s="3" t="s">
        <v>156</v>
      </c>
      <c r="B52" s="3" t="s">
        <v>157</v>
      </c>
      <c r="C52" s="3" t="s">
        <v>65</v>
      </c>
      <c r="D52" s="7" t="str">
        <f>HYPERLINK("https://data.bls.gov/projections/nationalMatrix?queryParams=11-9199&amp;ioType=o", "Projections for 11-9199")</f>
        <v>Projections for 11-9199</v>
      </c>
    </row>
    <row r="53" spans="1:4" x14ac:dyDescent="0.35">
      <c r="A53" s="3" t="s">
        <v>10</v>
      </c>
      <c r="B53" s="3" t="s">
        <v>11</v>
      </c>
      <c r="C53" s="3" t="s">
        <v>60</v>
      </c>
      <c r="D53" s="7" t="str">
        <f>HYPERLINK("https://data.bls.gov/projections/nationalMatrix?queryParams=13-0000&amp;ioType=o", "Projections for 13-0000")</f>
        <v>Projections for 13-0000</v>
      </c>
    </row>
    <row r="54" spans="1:4" x14ac:dyDescent="0.35">
      <c r="A54" s="3" t="s">
        <v>158</v>
      </c>
      <c r="B54" s="3" t="s">
        <v>159</v>
      </c>
      <c r="C54" s="3" t="s">
        <v>60</v>
      </c>
      <c r="D54" s="7" t="str">
        <f>HYPERLINK("https://data.bls.gov/projections/nationalMatrix?queryParams=13-1000&amp;ioType=o", "Projections for 13-1000")</f>
        <v>Projections for 13-1000</v>
      </c>
    </row>
    <row r="55" spans="1:4" x14ac:dyDescent="0.35">
      <c r="A55" s="3" t="s">
        <v>160</v>
      </c>
      <c r="B55" s="3" t="s">
        <v>161</v>
      </c>
      <c r="C55" s="3" t="s">
        <v>65</v>
      </c>
      <c r="D55" s="7" t="str">
        <f>HYPERLINK("https://data.bls.gov/projections/nationalMatrix?queryParams=13-1011&amp;ioType=o", "Projections for 13-1011")</f>
        <v>Projections for 13-1011</v>
      </c>
    </row>
    <row r="56" spans="1:4" x14ac:dyDescent="0.35">
      <c r="A56" s="3" t="s">
        <v>162</v>
      </c>
      <c r="B56" s="3" t="s">
        <v>163</v>
      </c>
      <c r="C56" s="3" t="s">
        <v>65</v>
      </c>
      <c r="D56" s="7" t="str">
        <f>HYPERLINK("https://data.bls.gov/projections/nationalMatrix?queryParams=13-1020&amp;ioType=o", "Projections for 13-1020")</f>
        <v>Projections for 13-1020</v>
      </c>
    </row>
    <row r="57" spans="1:4" x14ac:dyDescent="0.35">
      <c r="A57" s="3" t="s">
        <v>164</v>
      </c>
      <c r="B57" s="3" t="s">
        <v>165</v>
      </c>
      <c r="C57" s="3" t="s">
        <v>60</v>
      </c>
      <c r="D57" s="7" t="str">
        <f>HYPERLINK("https://data.bls.gov/projections/nationalMatrix?queryParams=13-1030&amp;ioType=o", "Projections for 13-1030")</f>
        <v>Projections for 13-1030</v>
      </c>
    </row>
    <row r="58" spans="1:4" x14ac:dyDescent="0.35">
      <c r="A58" s="3" t="s">
        <v>166</v>
      </c>
      <c r="B58" s="3" t="s">
        <v>167</v>
      </c>
      <c r="C58" s="3" t="s">
        <v>65</v>
      </c>
      <c r="D58" s="7" t="str">
        <f>HYPERLINK("https://data.bls.gov/projections/nationalMatrix?queryParams=13-1031&amp;ioType=o", "Projections for 13-1031")</f>
        <v>Projections for 13-1031</v>
      </c>
    </row>
    <row r="59" spans="1:4" x14ac:dyDescent="0.35">
      <c r="A59" s="3" t="s">
        <v>168</v>
      </c>
      <c r="B59" s="3" t="s">
        <v>169</v>
      </c>
      <c r="C59" s="3" t="s">
        <v>65</v>
      </c>
      <c r="D59" s="7" t="str">
        <f>HYPERLINK("https://data.bls.gov/projections/nationalMatrix?queryParams=13-1032&amp;ioType=o", "Projections for 13-1032")</f>
        <v>Projections for 13-1032</v>
      </c>
    </row>
    <row r="60" spans="1:4" x14ac:dyDescent="0.35">
      <c r="A60" s="3" t="s">
        <v>170</v>
      </c>
      <c r="B60" s="3" t="s">
        <v>171</v>
      </c>
      <c r="C60" s="3" t="s">
        <v>65</v>
      </c>
      <c r="D60" s="7" t="str">
        <f>HYPERLINK("https://data.bls.gov/projections/nationalMatrix?queryParams=13-1041&amp;ioType=o", "Projections for 13-1041")</f>
        <v>Projections for 13-1041</v>
      </c>
    </row>
    <row r="61" spans="1:4" x14ac:dyDescent="0.35">
      <c r="A61" s="3" t="s">
        <v>172</v>
      </c>
      <c r="B61" s="3" t="s">
        <v>173</v>
      </c>
      <c r="C61" s="3" t="s">
        <v>65</v>
      </c>
      <c r="D61" s="7" t="str">
        <f>HYPERLINK("https://data.bls.gov/projections/nationalMatrix?queryParams=13-1051&amp;ioType=o", "Projections for 13-1051")</f>
        <v>Projections for 13-1051</v>
      </c>
    </row>
    <row r="62" spans="1:4" x14ac:dyDescent="0.35">
      <c r="A62" s="3" t="s">
        <v>174</v>
      </c>
      <c r="B62" s="3" t="s">
        <v>175</v>
      </c>
      <c r="C62" s="3" t="s">
        <v>60</v>
      </c>
      <c r="D62" s="7" t="str">
        <f>HYPERLINK("https://data.bls.gov/projections/nationalMatrix?queryParams=13-1070&amp;ioType=o", "Projections for 13-1070")</f>
        <v>Projections for 13-1070</v>
      </c>
    </row>
    <row r="63" spans="1:4" x14ac:dyDescent="0.35">
      <c r="A63" s="3" t="s">
        <v>176</v>
      </c>
      <c r="B63" s="3" t="s">
        <v>177</v>
      </c>
      <c r="C63" s="3" t="s">
        <v>65</v>
      </c>
      <c r="D63" s="7" t="str">
        <f>HYPERLINK("https://data.bls.gov/projections/nationalMatrix?queryParams=13-1071&amp;ioType=o", "Projections for 13-1071")</f>
        <v>Projections for 13-1071</v>
      </c>
    </row>
    <row r="64" spans="1:4" x14ac:dyDescent="0.35">
      <c r="A64" s="3" t="s">
        <v>178</v>
      </c>
      <c r="B64" s="3" t="s">
        <v>179</v>
      </c>
      <c r="C64" s="3" t="s">
        <v>65</v>
      </c>
      <c r="D64" s="7" t="str">
        <f>HYPERLINK("https://data.bls.gov/projections/nationalMatrix?queryParams=13-1074&amp;ioType=o", "Projections for 13-1074")</f>
        <v>Projections for 13-1074</v>
      </c>
    </row>
    <row r="65" spans="1:4" x14ac:dyDescent="0.35">
      <c r="A65" s="3" t="s">
        <v>180</v>
      </c>
      <c r="B65" s="3" t="s">
        <v>181</v>
      </c>
      <c r="C65" s="3" t="s">
        <v>65</v>
      </c>
      <c r="D65" s="7" t="str">
        <f>HYPERLINK("https://data.bls.gov/projections/nationalMatrix?queryParams=13-1075&amp;ioType=o", "Projections for 13-1075")</f>
        <v>Projections for 13-1075</v>
      </c>
    </row>
    <row r="66" spans="1:4" x14ac:dyDescent="0.35">
      <c r="A66" s="3" t="s">
        <v>182</v>
      </c>
      <c r="B66" s="3" t="s">
        <v>183</v>
      </c>
      <c r="C66" s="3" t="s">
        <v>60</v>
      </c>
      <c r="D66" s="7" t="str">
        <f>HYPERLINK("https://data.bls.gov/projections/nationalMatrix?queryParams=13-1080&amp;ioType=o", "Projections for 13-1080")</f>
        <v>Projections for 13-1080</v>
      </c>
    </row>
    <row r="67" spans="1:4" x14ac:dyDescent="0.35">
      <c r="A67" s="3" t="s">
        <v>184</v>
      </c>
      <c r="B67" s="3" t="s">
        <v>185</v>
      </c>
      <c r="C67" s="3" t="s">
        <v>65</v>
      </c>
      <c r="D67" s="7" t="str">
        <f>HYPERLINK("https://data.bls.gov/projections/nationalMatrix?queryParams=13-1081&amp;ioType=o", "Projections for 13-1081")</f>
        <v>Projections for 13-1081</v>
      </c>
    </row>
    <row r="68" spans="1:4" x14ac:dyDescent="0.35">
      <c r="A68" s="3" t="s">
        <v>186</v>
      </c>
      <c r="B68" s="3" t="s">
        <v>187</v>
      </c>
      <c r="C68" s="3" t="s">
        <v>65</v>
      </c>
      <c r="D68" s="7" t="str">
        <f>HYPERLINK("https://data.bls.gov/projections/nationalMatrix?queryParams=13-1082&amp;ioType=o", "Projections for 13-1082")</f>
        <v>Projections for 13-1082</v>
      </c>
    </row>
    <row r="69" spans="1:4" x14ac:dyDescent="0.35">
      <c r="A69" s="3" t="s">
        <v>188</v>
      </c>
      <c r="B69" s="3" t="s">
        <v>189</v>
      </c>
      <c r="C69" s="3" t="s">
        <v>65</v>
      </c>
      <c r="D69" s="7" t="str">
        <f>HYPERLINK("https://data.bls.gov/projections/nationalMatrix?queryParams=13-1111&amp;ioType=o", "Projections for 13-1111")</f>
        <v>Projections for 13-1111</v>
      </c>
    </row>
    <row r="70" spans="1:4" x14ac:dyDescent="0.35">
      <c r="A70" s="3" t="s">
        <v>190</v>
      </c>
      <c r="B70" s="3" t="s">
        <v>191</v>
      </c>
      <c r="C70" s="3" t="s">
        <v>65</v>
      </c>
      <c r="D70" s="7" t="str">
        <f>HYPERLINK("https://data.bls.gov/projections/nationalMatrix?queryParams=13-1121&amp;ioType=o", "Projections for 13-1121")</f>
        <v>Projections for 13-1121</v>
      </c>
    </row>
    <row r="71" spans="1:4" x14ac:dyDescent="0.35">
      <c r="A71" s="3" t="s">
        <v>192</v>
      </c>
      <c r="B71" s="3" t="s">
        <v>193</v>
      </c>
      <c r="C71" s="3" t="s">
        <v>65</v>
      </c>
      <c r="D71" s="7" t="str">
        <f>HYPERLINK("https://data.bls.gov/projections/nationalMatrix?queryParams=13-1131&amp;ioType=o", "Projections for 13-1131")</f>
        <v>Projections for 13-1131</v>
      </c>
    </row>
    <row r="72" spans="1:4" x14ac:dyDescent="0.35">
      <c r="A72" s="3" t="s">
        <v>194</v>
      </c>
      <c r="B72" s="3" t="s">
        <v>195</v>
      </c>
      <c r="C72" s="3" t="s">
        <v>65</v>
      </c>
      <c r="D72" s="7" t="str">
        <f>HYPERLINK("https://data.bls.gov/projections/nationalMatrix?queryParams=13-1141&amp;ioType=o", "Projections for 13-1141")</f>
        <v>Projections for 13-1141</v>
      </c>
    </row>
    <row r="73" spans="1:4" x14ac:dyDescent="0.35">
      <c r="A73" s="3" t="s">
        <v>196</v>
      </c>
      <c r="B73" s="3" t="s">
        <v>197</v>
      </c>
      <c r="C73" s="3" t="s">
        <v>65</v>
      </c>
      <c r="D73" s="7" t="str">
        <f>HYPERLINK("https://data.bls.gov/projections/nationalMatrix?queryParams=13-1151&amp;ioType=o", "Projections for 13-1151")</f>
        <v>Projections for 13-1151</v>
      </c>
    </row>
    <row r="74" spans="1:4" x14ac:dyDescent="0.35">
      <c r="A74" s="3" t="s">
        <v>198</v>
      </c>
      <c r="B74" s="3" t="s">
        <v>199</v>
      </c>
      <c r="C74" s="3" t="s">
        <v>65</v>
      </c>
      <c r="D74" s="7" t="str">
        <f>HYPERLINK("https://data.bls.gov/projections/nationalMatrix?queryParams=13-1161&amp;ioType=o", "Projections for 13-1161")</f>
        <v>Projections for 13-1161</v>
      </c>
    </row>
    <row r="75" spans="1:4" x14ac:dyDescent="0.35">
      <c r="A75" s="3" t="s">
        <v>200</v>
      </c>
      <c r="B75" s="3" t="s">
        <v>201</v>
      </c>
      <c r="C75" s="3" t="s">
        <v>65</v>
      </c>
      <c r="D75" s="7" t="str">
        <f>HYPERLINK("https://data.bls.gov/projections/nationalMatrix?queryParams=13-1199&amp;ioType=o", "Projections for 13-1199")</f>
        <v>Projections for 13-1199</v>
      </c>
    </row>
    <row r="76" spans="1:4" x14ac:dyDescent="0.35">
      <c r="A76" s="3" t="s">
        <v>202</v>
      </c>
      <c r="B76" s="3" t="s">
        <v>203</v>
      </c>
      <c r="C76" s="3" t="s">
        <v>60</v>
      </c>
      <c r="D76" s="7" t="str">
        <f>HYPERLINK("https://data.bls.gov/projections/nationalMatrix?queryParams=13-2000&amp;ioType=o", "Projections for 13-2000")</f>
        <v>Projections for 13-2000</v>
      </c>
    </row>
    <row r="77" spans="1:4" x14ac:dyDescent="0.35">
      <c r="A77" s="3" t="s">
        <v>204</v>
      </c>
      <c r="B77" s="3" t="s">
        <v>205</v>
      </c>
      <c r="C77" s="3" t="s">
        <v>65</v>
      </c>
      <c r="D77" s="7" t="str">
        <f>HYPERLINK("https://data.bls.gov/projections/nationalMatrix?queryParams=13-2011&amp;ioType=o", "Projections for 13-2011")</f>
        <v>Projections for 13-2011</v>
      </c>
    </row>
    <row r="78" spans="1:4" x14ac:dyDescent="0.35">
      <c r="A78" s="3" t="s">
        <v>206</v>
      </c>
      <c r="B78" s="3" t="s">
        <v>207</v>
      </c>
      <c r="C78" s="3" t="s">
        <v>65</v>
      </c>
      <c r="D78" s="7" t="str">
        <f>HYPERLINK("https://data.bls.gov/projections/nationalMatrix?queryParams=13-2020&amp;ioType=o", "Projections for 13-2020")</f>
        <v>Projections for 13-2020</v>
      </c>
    </row>
    <row r="79" spans="1:4" x14ac:dyDescent="0.35">
      <c r="A79" s="3" t="s">
        <v>208</v>
      </c>
      <c r="B79" s="3" t="s">
        <v>209</v>
      </c>
      <c r="C79" s="3" t="s">
        <v>65</v>
      </c>
      <c r="D79" s="7" t="str">
        <f>HYPERLINK("https://data.bls.gov/projections/nationalMatrix?queryParams=13-2031&amp;ioType=o", "Projections for 13-2031")</f>
        <v>Projections for 13-2031</v>
      </c>
    </row>
    <row r="80" spans="1:4" x14ac:dyDescent="0.35">
      <c r="A80" s="3" t="s">
        <v>210</v>
      </c>
      <c r="B80" s="3" t="s">
        <v>211</v>
      </c>
      <c r="C80" s="3" t="s">
        <v>65</v>
      </c>
      <c r="D80" s="7" t="str">
        <f>HYPERLINK("https://data.bls.gov/projections/nationalMatrix?queryParams=13-2041&amp;ioType=o", "Projections for 13-2041")</f>
        <v>Projections for 13-2041</v>
      </c>
    </row>
    <row r="81" spans="1:4" x14ac:dyDescent="0.35">
      <c r="A81" s="3" t="s">
        <v>212</v>
      </c>
      <c r="B81" s="3" t="s">
        <v>213</v>
      </c>
      <c r="C81" s="3" t="s">
        <v>60</v>
      </c>
      <c r="D81" s="7" t="str">
        <f>HYPERLINK("https://data.bls.gov/projections/nationalMatrix?queryParams=13-2050&amp;ioType=o", "Projections for 13-2050")</f>
        <v>Projections for 13-2050</v>
      </c>
    </row>
    <row r="82" spans="1:4" x14ac:dyDescent="0.35">
      <c r="A82" s="3" t="s">
        <v>214</v>
      </c>
      <c r="B82" s="3" t="s">
        <v>215</v>
      </c>
      <c r="C82" s="3" t="s">
        <v>65</v>
      </c>
      <c r="D82" s="7" t="str">
        <f>HYPERLINK("https://data.bls.gov/projections/nationalMatrix?queryParams=13-2051&amp;ioType=o", "Projections for 13-2051")</f>
        <v>Projections for 13-2051</v>
      </c>
    </row>
    <row r="83" spans="1:4" x14ac:dyDescent="0.35">
      <c r="A83" s="3" t="s">
        <v>216</v>
      </c>
      <c r="B83" s="3" t="s">
        <v>217</v>
      </c>
      <c r="C83" s="3" t="s">
        <v>65</v>
      </c>
      <c r="D83" s="7" t="str">
        <f>HYPERLINK("https://data.bls.gov/projections/nationalMatrix?queryParams=13-2052&amp;ioType=o", "Projections for 13-2052")</f>
        <v>Projections for 13-2052</v>
      </c>
    </row>
    <row r="84" spans="1:4" x14ac:dyDescent="0.35">
      <c r="A84" s="3" t="s">
        <v>218</v>
      </c>
      <c r="B84" s="3" t="s">
        <v>219</v>
      </c>
      <c r="C84" s="3" t="s">
        <v>65</v>
      </c>
      <c r="D84" s="7" t="str">
        <f>HYPERLINK("https://data.bls.gov/projections/nationalMatrix?queryParams=13-2053&amp;ioType=o", "Projections for 13-2053")</f>
        <v>Projections for 13-2053</v>
      </c>
    </row>
    <row r="85" spans="1:4" x14ac:dyDescent="0.35">
      <c r="A85" s="3" t="s">
        <v>220</v>
      </c>
      <c r="B85" s="3" t="s">
        <v>221</v>
      </c>
      <c r="C85" s="3" t="s">
        <v>65</v>
      </c>
      <c r="D85" s="7" t="str">
        <f>HYPERLINK("https://data.bls.gov/projections/nationalMatrix?queryParams=13-2054&amp;ioType=o", "Projections for 13-2054")</f>
        <v>Projections for 13-2054</v>
      </c>
    </row>
    <row r="86" spans="1:4" x14ac:dyDescent="0.35">
      <c r="A86" s="3" t="s">
        <v>222</v>
      </c>
      <c r="B86" s="3" t="s">
        <v>223</v>
      </c>
      <c r="C86" s="3" t="s">
        <v>65</v>
      </c>
      <c r="D86" s="7" t="str">
        <f>HYPERLINK("https://data.bls.gov/projections/nationalMatrix?queryParams=13-2061&amp;ioType=o", "Projections for 13-2061")</f>
        <v>Projections for 13-2061</v>
      </c>
    </row>
    <row r="87" spans="1:4" x14ac:dyDescent="0.35">
      <c r="A87" s="3" t="s">
        <v>224</v>
      </c>
      <c r="B87" s="3" t="s">
        <v>225</v>
      </c>
      <c r="C87" s="3" t="s">
        <v>60</v>
      </c>
      <c r="D87" s="7" t="str">
        <f>HYPERLINK("https://data.bls.gov/projections/nationalMatrix?queryParams=13-2070&amp;ioType=o", "Projections for 13-2070")</f>
        <v>Projections for 13-2070</v>
      </c>
    </row>
    <row r="88" spans="1:4" x14ac:dyDescent="0.35">
      <c r="A88" s="3" t="s">
        <v>226</v>
      </c>
      <c r="B88" s="3" t="s">
        <v>227</v>
      </c>
      <c r="C88" s="3" t="s">
        <v>65</v>
      </c>
      <c r="D88" s="7" t="str">
        <f>HYPERLINK("https://data.bls.gov/projections/nationalMatrix?queryParams=13-2071&amp;ioType=o", "Projections for 13-2071")</f>
        <v>Projections for 13-2071</v>
      </c>
    </row>
    <row r="89" spans="1:4" x14ac:dyDescent="0.35">
      <c r="A89" s="3" t="s">
        <v>228</v>
      </c>
      <c r="B89" s="3" t="s">
        <v>229</v>
      </c>
      <c r="C89" s="3" t="s">
        <v>65</v>
      </c>
      <c r="D89" s="7" t="str">
        <f>HYPERLINK("https://data.bls.gov/projections/nationalMatrix?queryParams=13-2072&amp;ioType=o", "Projections for 13-2072")</f>
        <v>Projections for 13-2072</v>
      </c>
    </row>
    <row r="90" spans="1:4" x14ac:dyDescent="0.35">
      <c r="A90" s="3" t="s">
        <v>230</v>
      </c>
      <c r="B90" s="3" t="s">
        <v>231</v>
      </c>
      <c r="C90" s="3" t="s">
        <v>60</v>
      </c>
      <c r="D90" s="7" t="str">
        <f>HYPERLINK("https://data.bls.gov/projections/nationalMatrix?queryParams=13-2080&amp;ioType=o", "Projections for 13-2080")</f>
        <v>Projections for 13-2080</v>
      </c>
    </row>
    <row r="91" spans="1:4" x14ac:dyDescent="0.35">
      <c r="A91" s="3" t="s">
        <v>232</v>
      </c>
      <c r="B91" s="3" t="s">
        <v>233</v>
      </c>
      <c r="C91" s="3" t="s">
        <v>65</v>
      </c>
      <c r="D91" s="7" t="str">
        <f>HYPERLINK("https://data.bls.gov/projections/nationalMatrix?queryParams=13-2081&amp;ioType=o", "Projections for 13-2081")</f>
        <v>Projections for 13-2081</v>
      </c>
    </row>
    <row r="92" spans="1:4" x14ac:dyDescent="0.35">
      <c r="A92" s="3" t="s">
        <v>234</v>
      </c>
      <c r="B92" s="3" t="s">
        <v>235</v>
      </c>
      <c r="C92" s="3" t="s">
        <v>65</v>
      </c>
      <c r="D92" s="7" t="str">
        <f>HYPERLINK("https://data.bls.gov/projections/nationalMatrix?queryParams=13-2082&amp;ioType=o", "Projections for 13-2082")</f>
        <v>Projections for 13-2082</v>
      </c>
    </row>
    <row r="93" spans="1:4" x14ac:dyDescent="0.35">
      <c r="A93" s="3" t="s">
        <v>236</v>
      </c>
      <c r="B93" s="3" t="s">
        <v>237</v>
      </c>
      <c r="C93" s="3" t="s">
        <v>65</v>
      </c>
      <c r="D93" s="7" t="str">
        <f>HYPERLINK("https://data.bls.gov/projections/nationalMatrix?queryParams=13-2099&amp;ioType=o", "Projections for 13-2099")</f>
        <v>Projections for 13-2099</v>
      </c>
    </row>
    <row r="94" spans="1:4" x14ac:dyDescent="0.35">
      <c r="A94" s="3" t="s">
        <v>12</v>
      </c>
      <c r="B94" s="3" t="s">
        <v>13</v>
      </c>
      <c r="C94" s="3" t="s">
        <v>60</v>
      </c>
      <c r="D94" s="7" t="str">
        <f>HYPERLINK("https://data.bls.gov/projections/nationalMatrix?queryParams=15-0000&amp;ioType=o", "Projections for 15-0000")</f>
        <v>Projections for 15-0000</v>
      </c>
    </row>
    <row r="95" spans="1:4" x14ac:dyDescent="0.35">
      <c r="A95" s="3" t="s">
        <v>238</v>
      </c>
      <c r="B95" s="3" t="s">
        <v>239</v>
      </c>
      <c r="C95" s="3" t="s">
        <v>60</v>
      </c>
      <c r="D95" s="7" t="str">
        <f>HYPERLINK("https://data.bls.gov/projections/nationalMatrix?queryParams=15-1200&amp;ioType=o", "Projections for 15-1200")</f>
        <v>Projections for 15-1200</v>
      </c>
    </row>
    <row r="96" spans="1:4" x14ac:dyDescent="0.35">
      <c r="A96" s="3" t="s">
        <v>240</v>
      </c>
      <c r="B96" s="3" t="s">
        <v>241</v>
      </c>
      <c r="C96" s="3" t="s">
        <v>60</v>
      </c>
      <c r="D96" s="7" t="str">
        <f>HYPERLINK("https://data.bls.gov/projections/nationalMatrix?queryParams=15-1210&amp;ioType=o", "Projections for 15-1210")</f>
        <v>Projections for 15-1210</v>
      </c>
    </row>
    <row r="97" spans="1:4" x14ac:dyDescent="0.35">
      <c r="A97" s="3" t="s">
        <v>242</v>
      </c>
      <c r="B97" s="3" t="s">
        <v>243</v>
      </c>
      <c r="C97" s="3" t="s">
        <v>65</v>
      </c>
      <c r="D97" s="7" t="str">
        <f>HYPERLINK("https://data.bls.gov/projections/nationalMatrix?queryParams=15-1211&amp;ioType=o", "Projections for 15-1211")</f>
        <v>Projections for 15-1211</v>
      </c>
    </row>
    <row r="98" spans="1:4" x14ac:dyDescent="0.35">
      <c r="A98" s="3" t="s">
        <v>244</v>
      </c>
      <c r="B98" s="3" t="s">
        <v>245</v>
      </c>
      <c r="C98" s="3" t="s">
        <v>65</v>
      </c>
      <c r="D98" s="7" t="str">
        <f>HYPERLINK("https://data.bls.gov/projections/nationalMatrix?queryParams=15-1212&amp;ioType=o", "Projections for 15-1212")</f>
        <v>Projections for 15-1212</v>
      </c>
    </row>
    <row r="99" spans="1:4" x14ac:dyDescent="0.35">
      <c r="A99" s="3" t="s">
        <v>246</v>
      </c>
      <c r="B99" s="3" t="s">
        <v>247</v>
      </c>
      <c r="C99" s="3" t="s">
        <v>65</v>
      </c>
      <c r="D99" s="7" t="str">
        <f>HYPERLINK("https://data.bls.gov/projections/nationalMatrix?queryParams=15-1221&amp;ioType=o", "Projections for 15-1221")</f>
        <v>Projections for 15-1221</v>
      </c>
    </row>
    <row r="100" spans="1:4" x14ac:dyDescent="0.35">
      <c r="A100" s="3" t="s">
        <v>248</v>
      </c>
      <c r="B100" s="3" t="s">
        <v>249</v>
      </c>
      <c r="C100" s="3" t="s">
        <v>60</v>
      </c>
      <c r="D100" s="7" t="str">
        <f>HYPERLINK("https://data.bls.gov/projections/nationalMatrix?queryParams=15-1230&amp;ioType=o", "Projections for 15-1230")</f>
        <v>Projections for 15-1230</v>
      </c>
    </row>
    <row r="101" spans="1:4" x14ac:dyDescent="0.35">
      <c r="A101" s="3" t="s">
        <v>250</v>
      </c>
      <c r="B101" s="3" t="s">
        <v>251</v>
      </c>
      <c r="C101" s="3" t="s">
        <v>65</v>
      </c>
      <c r="D101" s="7" t="str">
        <f>HYPERLINK("https://data.bls.gov/projections/nationalMatrix?queryParams=15-1231&amp;ioType=o", "Projections for 15-1231")</f>
        <v>Projections for 15-1231</v>
      </c>
    </row>
    <row r="102" spans="1:4" x14ac:dyDescent="0.35">
      <c r="A102" s="3" t="s">
        <v>252</v>
      </c>
      <c r="B102" s="3" t="s">
        <v>253</v>
      </c>
      <c r="C102" s="3" t="s">
        <v>65</v>
      </c>
      <c r="D102" s="7" t="str">
        <f>HYPERLINK("https://data.bls.gov/projections/nationalMatrix?queryParams=15-1232&amp;ioType=o", "Projections for 15-1232")</f>
        <v>Projections for 15-1232</v>
      </c>
    </row>
    <row r="103" spans="1:4" x14ac:dyDescent="0.35">
      <c r="A103" s="3" t="s">
        <v>254</v>
      </c>
      <c r="B103" s="3" t="s">
        <v>255</v>
      </c>
      <c r="C103" s="3" t="s">
        <v>60</v>
      </c>
      <c r="D103" s="7" t="str">
        <f>HYPERLINK("https://data.bls.gov/projections/nationalMatrix?queryParams=15-1240&amp;ioType=o", "Projections for 15-1240")</f>
        <v>Projections for 15-1240</v>
      </c>
    </row>
    <row r="104" spans="1:4" x14ac:dyDescent="0.35">
      <c r="A104" s="3" t="s">
        <v>256</v>
      </c>
      <c r="B104" s="3" t="s">
        <v>257</v>
      </c>
      <c r="C104" s="3" t="s">
        <v>65</v>
      </c>
      <c r="D104" s="7" t="str">
        <f>HYPERLINK("https://data.bls.gov/projections/nationalMatrix?queryParams=15-1241&amp;ioType=o", "Projections for 15-1241")</f>
        <v>Projections for 15-1241</v>
      </c>
    </row>
    <row r="105" spans="1:4" x14ac:dyDescent="0.35">
      <c r="A105" s="3" t="s">
        <v>258</v>
      </c>
      <c r="B105" s="3" t="s">
        <v>259</v>
      </c>
      <c r="C105" s="3" t="s">
        <v>65</v>
      </c>
      <c r="D105" s="7" t="str">
        <f>HYPERLINK("https://data.bls.gov/projections/nationalMatrix?queryParams=15-1242&amp;ioType=o", "Projections for 15-1242")</f>
        <v>Projections for 15-1242</v>
      </c>
    </row>
    <row r="106" spans="1:4" x14ac:dyDescent="0.35">
      <c r="A106" s="3" t="s">
        <v>260</v>
      </c>
      <c r="B106" s="3" t="s">
        <v>261</v>
      </c>
      <c r="C106" s="3" t="s">
        <v>65</v>
      </c>
      <c r="D106" s="7" t="str">
        <f>HYPERLINK("https://data.bls.gov/projections/nationalMatrix?queryParams=15-1243&amp;ioType=o", "Projections for 15-1243")</f>
        <v>Projections for 15-1243</v>
      </c>
    </row>
    <row r="107" spans="1:4" x14ac:dyDescent="0.35">
      <c r="A107" s="3" t="s">
        <v>262</v>
      </c>
      <c r="B107" s="3" t="s">
        <v>263</v>
      </c>
      <c r="C107" s="3" t="s">
        <v>65</v>
      </c>
      <c r="D107" s="7" t="str">
        <f>HYPERLINK("https://data.bls.gov/projections/nationalMatrix?queryParams=15-1244&amp;ioType=o", "Projections for 15-1244")</f>
        <v>Projections for 15-1244</v>
      </c>
    </row>
    <row r="108" spans="1:4" x14ac:dyDescent="0.35">
      <c r="A108" s="3" t="s">
        <v>264</v>
      </c>
      <c r="B108" s="3" t="s">
        <v>265</v>
      </c>
      <c r="C108" s="3" t="s">
        <v>60</v>
      </c>
      <c r="D108" s="7" t="str">
        <f>HYPERLINK("https://data.bls.gov/projections/nationalMatrix?queryParams=15-1250&amp;ioType=o", "Projections for 15-1250")</f>
        <v>Projections for 15-1250</v>
      </c>
    </row>
    <row r="109" spans="1:4" x14ac:dyDescent="0.35">
      <c r="A109" s="3" t="s">
        <v>266</v>
      </c>
      <c r="B109" s="3" t="s">
        <v>267</v>
      </c>
      <c r="C109" s="3" t="s">
        <v>65</v>
      </c>
      <c r="D109" s="7" t="str">
        <f>HYPERLINK("https://data.bls.gov/projections/nationalMatrix?queryParams=15-1251&amp;ioType=o", "Projections for 15-1251")</f>
        <v>Projections for 15-1251</v>
      </c>
    </row>
    <row r="110" spans="1:4" x14ac:dyDescent="0.35">
      <c r="A110" s="3" t="s">
        <v>268</v>
      </c>
      <c r="B110" s="3" t="s">
        <v>269</v>
      </c>
      <c r="C110" s="3" t="s">
        <v>65</v>
      </c>
      <c r="D110" s="7" t="str">
        <f>HYPERLINK("https://data.bls.gov/projections/nationalMatrix?queryParams=15-1252&amp;ioType=o", "Projections for 15-1252")</f>
        <v>Projections for 15-1252</v>
      </c>
    </row>
    <row r="111" spans="1:4" x14ac:dyDescent="0.35">
      <c r="A111" s="3" t="s">
        <v>270</v>
      </c>
      <c r="B111" s="3" t="s">
        <v>271</v>
      </c>
      <c r="C111" s="3" t="s">
        <v>65</v>
      </c>
      <c r="D111" s="7" t="str">
        <f>HYPERLINK("https://data.bls.gov/projections/nationalMatrix?queryParams=15-1253&amp;ioType=o", "Projections for 15-1253")</f>
        <v>Projections for 15-1253</v>
      </c>
    </row>
    <row r="112" spans="1:4" x14ac:dyDescent="0.35">
      <c r="A112" s="3" t="s">
        <v>272</v>
      </c>
      <c r="B112" s="3" t="s">
        <v>273</v>
      </c>
      <c r="C112" s="3" t="s">
        <v>65</v>
      </c>
      <c r="D112" s="7" t="str">
        <f>HYPERLINK("https://data.bls.gov/projections/nationalMatrix?queryParams=15-1254&amp;ioType=o", "Projections for 15-1254")</f>
        <v>Projections for 15-1254</v>
      </c>
    </row>
    <row r="113" spans="1:4" x14ac:dyDescent="0.35">
      <c r="A113" s="3" t="s">
        <v>274</v>
      </c>
      <c r="B113" s="3" t="s">
        <v>275</v>
      </c>
      <c r="C113" s="3" t="s">
        <v>65</v>
      </c>
      <c r="D113" s="7" t="str">
        <f>HYPERLINK("https://data.bls.gov/projections/nationalMatrix?queryParams=15-1255&amp;ioType=o", "Projections for 15-1255")</f>
        <v>Projections for 15-1255</v>
      </c>
    </row>
    <row r="114" spans="1:4" x14ac:dyDescent="0.35">
      <c r="A114" s="3" t="s">
        <v>276</v>
      </c>
      <c r="B114" s="3" t="s">
        <v>277</v>
      </c>
      <c r="C114" s="3" t="s">
        <v>65</v>
      </c>
      <c r="D114" s="7" t="str">
        <f>HYPERLINK("https://data.bls.gov/projections/nationalMatrix?queryParams=15-1299&amp;ioType=o", "Projections for 15-1299")</f>
        <v>Projections for 15-1299</v>
      </c>
    </row>
    <row r="115" spans="1:4" x14ac:dyDescent="0.35">
      <c r="A115" s="3" t="s">
        <v>278</v>
      </c>
      <c r="B115" s="3" t="s">
        <v>279</v>
      </c>
      <c r="C115" s="3" t="s">
        <v>60</v>
      </c>
      <c r="D115" s="7" t="str">
        <f>HYPERLINK("https://data.bls.gov/projections/nationalMatrix?queryParams=15-2000&amp;ioType=o", "Projections for 15-2000")</f>
        <v>Projections for 15-2000</v>
      </c>
    </row>
    <row r="116" spans="1:4" x14ac:dyDescent="0.35">
      <c r="A116" s="3" t="s">
        <v>280</v>
      </c>
      <c r="B116" s="3" t="s">
        <v>281</v>
      </c>
      <c r="C116" s="3" t="s">
        <v>65</v>
      </c>
      <c r="D116" s="7" t="str">
        <f>HYPERLINK("https://data.bls.gov/projections/nationalMatrix?queryParams=15-2011&amp;ioType=o", "Projections for 15-2011")</f>
        <v>Projections for 15-2011</v>
      </c>
    </row>
    <row r="117" spans="1:4" x14ac:dyDescent="0.35">
      <c r="A117" s="3" t="s">
        <v>282</v>
      </c>
      <c r="B117" s="3" t="s">
        <v>283</v>
      </c>
      <c r="C117" s="3" t="s">
        <v>65</v>
      </c>
      <c r="D117" s="7" t="str">
        <f>HYPERLINK("https://data.bls.gov/projections/nationalMatrix?queryParams=15-2021&amp;ioType=o", "Projections for 15-2021")</f>
        <v>Projections for 15-2021</v>
      </c>
    </row>
    <row r="118" spans="1:4" x14ac:dyDescent="0.35">
      <c r="A118" s="3" t="s">
        <v>284</v>
      </c>
      <c r="B118" s="3" t="s">
        <v>285</v>
      </c>
      <c r="C118" s="3" t="s">
        <v>65</v>
      </c>
      <c r="D118" s="7" t="str">
        <f>HYPERLINK("https://data.bls.gov/projections/nationalMatrix?queryParams=15-2031&amp;ioType=o", "Projections for 15-2031")</f>
        <v>Projections for 15-2031</v>
      </c>
    </row>
    <row r="119" spans="1:4" x14ac:dyDescent="0.35">
      <c r="A119" s="3" t="s">
        <v>286</v>
      </c>
      <c r="B119" s="3" t="s">
        <v>287</v>
      </c>
      <c r="C119" s="3" t="s">
        <v>65</v>
      </c>
      <c r="D119" s="7" t="str">
        <f>HYPERLINK("https://data.bls.gov/projections/nationalMatrix?queryParams=15-2041&amp;ioType=o", "Projections for 15-2041")</f>
        <v>Projections for 15-2041</v>
      </c>
    </row>
    <row r="120" spans="1:4" x14ac:dyDescent="0.35">
      <c r="A120" s="3" t="s">
        <v>288</v>
      </c>
      <c r="B120" s="3" t="s">
        <v>289</v>
      </c>
      <c r="C120" s="3" t="s">
        <v>65</v>
      </c>
      <c r="D120" s="7" t="str">
        <f>HYPERLINK("https://data.bls.gov/projections/nationalMatrix?queryParams=15-2051&amp;ioType=o", "Projections for 15-2051")</f>
        <v>Projections for 15-2051</v>
      </c>
    </row>
    <row r="121" spans="1:4" x14ac:dyDescent="0.35">
      <c r="A121" s="3" t="s">
        <v>290</v>
      </c>
      <c r="B121" s="3" t="s">
        <v>291</v>
      </c>
      <c r="C121" s="3" t="s">
        <v>65</v>
      </c>
      <c r="D121" s="7" t="str">
        <f>HYPERLINK("https://data.bls.gov/projections/nationalMatrix?queryParams=15-2099&amp;ioType=o", "Projections for 15-2099")</f>
        <v>Projections for 15-2099</v>
      </c>
    </row>
    <row r="122" spans="1:4" x14ac:dyDescent="0.35">
      <c r="A122" s="3" t="s">
        <v>14</v>
      </c>
      <c r="B122" s="3" t="s">
        <v>15</v>
      </c>
      <c r="C122" s="3" t="s">
        <v>60</v>
      </c>
      <c r="D122" s="7" t="str">
        <f>HYPERLINK("https://data.bls.gov/projections/nationalMatrix?queryParams=17-0000&amp;ioType=o", "Projections for 17-0000")</f>
        <v>Projections for 17-0000</v>
      </c>
    </row>
    <row r="123" spans="1:4" x14ac:dyDescent="0.35">
      <c r="A123" s="3" t="s">
        <v>292</v>
      </c>
      <c r="B123" s="3" t="s">
        <v>293</v>
      </c>
      <c r="C123" s="3" t="s">
        <v>60</v>
      </c>
      <c r="D123" s="7" t="str">
        <f>HYPERLINK("https://data.bls.gov/projections/nationalMatrix?queryParams=17-1000&amp;ioType=o", "Projections for 17-1000")</f>
        <v>Projections for 17-1000</v>
      </c>
    </row>
    <row r="124" spans="1:4" x14ac:dyDescent="0.35">
      <c r="A124" s="3" t="s">
        <v>294</v>
      </c>
      <c r="B124" s="3" t="s">
        <v>295</v>
      </c>
      <c r="C124" s="3" t="s">
        <v>60</v>
      </c>
      <c r="D124" s="7" t="str">
        <f>HYPERLINK("https://data.bls.gov/projections/nationalMatrix?queryParams=17-1010&amp;ioType=o", "Projections for 17-1010")</f>
        <v>Projections for 17-1010</v>
      </c>
    </row>
    <row r="125" spans="1:4" x14ac:dyDescent="0.35">
      <c r="A125" s="3" t="s">
        <v>296</v>
      </c>
      <c r="B125" s="3" t="s">
        <v>297</v>
      </c>
      <c r="C125" s="3" t="s">
        <v>65</v>
      </c>
      <c r="D125" s="7" t="str">
        <f>HYPERLINK("https://data.bls.gov/projections/nationalMatrix?queryParams=17-1011&amp;ioType=o", "Projections for 17-1011")</f>
        <v>Projections for 17-1011</v>
      </c>
    </row>
    <row r="126" spans="1:4" x14ac:dyDescent="0.35">
      <c r="A126" s="3" t="s">
        <v>298</v>
      </c>
      <c r="B126" s="3" t="s">
        <v>299</v>
      </c>
      <c r="C126" s="3" t="s">
        <v>65</v>
      </c>
      <c r="D126" s="7" t="str">
        <f>HYPERLINK("https://data.bls.gov/projections/nationalMatrix?queryParams=17-1012&amp;ioType=o", "Projections for 17-1012")</f>
        <v>Projections for 17-1012</v>
      </c>
    </row>
    <row r="127" spans="1:4" x14ac:dyDescent="0.35">
      <c r="A127" s="3" t="s">
        <v>300</v>
      </c>
      <c r="B127" s="3" t="s">
        <v>301</v>
      </c>
      <c r="C127" s="3" t="s">
        <v>60</v>
      </c>
      <c r="D127" s="7" t="str">
        <f>HYPERLINK("https://data.bls.gov/projections/nationalMatrix?queryParams=17-1020&amp;ioType=o", "Projections for 17-1020")</f>
        <v>Projections for 17-1020</v>
      </c>
    </row>
    <row r="128" spans="1:4" x14ac:dyDescent="0.35">
      <c r="A128" s="3" t="s">
        <v>302</v>
      </c>
      <c r="B128" s="3" t="s">
        <v>303</v>
      </c>
      <c r="C128" s="3" t="s">
        <v>65</v>
      </c>
      <c r="D128" s="7" t="str">
        <f>HYPERLINK("https://data.bls.gov/projections/nationalMatrix?queryParams=17-1021&amp;ioType=o", "Projections for 17-1021")</f>
        <v>Projections for 17-1021</v>
      </c>
    </row>
    <row r="129" spans="1:4" x14ac:dyDescent="0.35">
      <c r="A129" s="3" t="s">
        <v>304</v>
      </c>
      <c r="B129" s="3" t="s">
        <v>305</v>
      </c>
      <c r="C129" s="3" t="s">
        <v>65</v>
      </c>
      <c r="D129" s="7" t="str">
        <f>HYPERLINK("https://data.bls.gov/projections/nationalMatrix?queryParams=17-1022&amp;ioType=o", "Projections for 17-1022")</f>
        <v>Projections for 17-1022</v>
      </c>
    </row>
    <row r="130" spans="1:4" x14ac:dyDescent="0.35">
      <c r="A130" s="3" t="s">
        <v>306</v>
      </c>
      <c r="B130" s="3" t="s">
        <v>307</v>
      </c>
      <c r="C130" s="3" t="s">
        <v>60</v>
      </c>
      <c r="D130" s="7" t="str">
        <f>HYPERLINK("https://data.bls.gov/projections/nationalMatrix?queryParams=17-2000&amp;ioType=o", "Projections for 17-2000")</f>
        <v>Projections for 17-2000</v>
      </c>
    </row>
    <row r="131" spans="1:4" x14ac:dyDescent="0.35">
      <c r="A131" s="3" t="s">
        <v>308</v>
      </c>
      <c r="B131" s="3" t="s">
        <v>309</v>
      </c>
      <c r="C131" s="3" t="s">
        <v>65</v>
      </c>
      <c r="D131" s="7" t="str">
        <f>HYPERLINK("https://data.bls.gov/projections/nationalMatrix?queryParams=17-2011&amp;ioType=o", "Projections for 17-2011")</f>
        <v>Projections for 17-2011</v>
      </c>
    </row>
    <row r="132" spans="1:4" x14ac:dyDescent="0.35">
      <c r="A132" s="3" t="s">
        <v>310</v>
      </c>
      <c r="B132" s="3" t="s">
        <v>311</v>
      </c>
      <c r="C132" s="3" t="s">
        <v>65</v>
      </c>
      <c r="D132" s="7" t="str">
        <f>HYPERLINK("https://data.bls.gov/projections/nationalMatrix?queryParams=17-2021&amp;ioType=o", "Projections for 17-2021")</f>
        <v>Projections for 17-2021</v>
      </c>
    </row>
    <row r="133" spans="1:4" x14ac:dyDescent="0.35">
      <c r="A133" s="3" t="s">
        <v>312</v>
      </c>
      <c r="B133" s="3" t="s">
        <v>313</v>
      </c>
      <c r="C133" s="3" t="s">
        <v>65</v>
      </c>
      <c r="D133" s="7" t="str">
        <f>HYPERLINK("https://data.bls.gov/projections/nationalMatrix?queryParams=17-2031&amp;ioType=o", "Projections for 17-2031")</f>
        <v>Projections for 17-2031</v>
      </c>
    </row>
    <row r="134" spans="1:4" x14ac:dyDescent="0.35">
      <c r="A134" s="3" t="s">
        <v>314</v>
      </c>
      <c r="B134" s="3" t="s">
        <v>315</v>
      </c>
      <c r="C134" s="3" t="s">
        <v>65</v>
      </c>
      <c r="D134" s="7" t="str">
        <f>HYPERLINK("https://data.bls.gov/projections/nationalMatrix?queryParams=17-2041&amp;ioType=o", "Projections for 17-2041")</f>
        <v>Projections for 17-2041</v>
      </c>
    </row>
    <row r="135" spans="1:4" x14ac:dyDescent="0.35">
      <c r="A135" s="3" t="s">
        <v>316</v>
      </c>
      <c r="B135" s="3" t="s">
        <v>317</v>
      </c>
      <c r="C135" s="3" t="s">
        <v>65</v>
      </c>
      <c r="D135" s="7" t="str">
        <f>HYPERLINK("https://data.bls.gov/projections/nationalMatrix?queryParams=17-2051&amp;ioType=o", "Projections for 17-2051")</f>
        <v>Projections for 17-2051</v>
      </c>
    </row>
    <row r="136" spans="1:4" x14ac:dyDescent="0.35">
      <c r="A136" s="3" t="s">
        <v>318</v>
      </c>
      <c r="B136" s="3" t="s">
        <v>319</v>
      </c>
      <c r="C136" s="3" t="s">
        <v>65</v>
      </c>
      <c r="D136" s="7" t="str">
        <f>HYPERLINK("https://data.bls.gov/projections/nationalMatrix?queryParams=17-2061&amp;ioType=o", "Projections for 17-2061")</f>
        <v>Projections for 17-2061</v>
      </c>
    </row>
    <row r="137" spans="1:4" x14ac:dyDescent="0.35">
      <c r="A137" s="3" t="s">
        <v>320</v>
      </c>
      <c r="B137" s="3" t="s">
        <v>321</v>
      </c>
      <c r="C137" s="3" t="s">
        <v>60</v>
      </c>
      <c r="D137" s="7" t="str">
        <f>HYPERLINK("https://data.bls.gov/projections/nationalMatrix?queryParams=17-2070&amp;ioType=o", "Projections for 17-2070")</f>
        <v>Projections for 17-2070</v>
      </c>
    </row>
    <row r="138" spans="1:4" x14ac:dyDescent="0.35">
      <c r="A138" s="3" t="s">
        <v>322</v>
      </c>
      <c r="B138" s="3" t="s">
        <v>323</v>
      </c>
      <c r="C138" s="3" t="s">
        <v>65</v>
      </c>
      <c r="D138" s="7" t="str">
        <f>HYPERLINK("https://data.bls.gov/projections/nationalMatrix?queryParams=17-2071&amp;ioType=o", "Projections for 17-2071")</f>
        <v>Projections for 17-2071</v>
      </c>
    </row>
    <row r="139" spans="1:4" x14ac:dyDescent="0.35">
      <c r="A139" s="3" t="s">
        <v>324</v>
      </c>
      <c r="B139" s="3" t="s">
        <v>325</v>
      </c>
      <c r="C139" s="3" t="s">
        <v>65</v>
      </c>
      <c r="D139" s="7" t="str">
        <f>HYPERLINK("https://data.bls.gov/projections/nationalMatrix?queryParams=17-2072&amp;ioType=o", "Projections for 17-2072")</f>
        <v>Projections for 17-2072</v>
      </c>
    </row>
    <row r="140" spans="1:4" x14ac:dyDescent="0.35">
      <c r="A140" s="3" t="s">
        <v>326</v>
      </c>
      <c r="B140" s="3" t="s">
        <v>327</v>
      </c>
      <c r="C140" s="3" t="s">
        <v>65</v>
      </c>
      <c r="D140" s="7" t="str">
        <f>HYPERLINK("https://data.bls.gov/projections/nationalMatrix?queryParams=17-2081&amp;ioType=o", "Projections for 17-2081")</f>
        <v>Projections for 17-2081</v>
      </c>
    </row>
    <row r="141" spans="1:4" x14ac:dyDescent="0.35">
      <c r="A141" s="3" t="s">
        <v>328</v>
      </c>
      <c r="B141" s="3" t="s">
        <v>329</v>
      </c>
      <c r="C141" s="3" t="s">
        <v>60</v>
      </c>
      <c r="D141" s="7" t="str">
        <f>HYPERLINK("https://data.bls.gov/projections/nationalMatrix?queryParams=17-2110&amp;ioType=o", "Projections for 17-2110")</f>
        <v>Projections for 17-2110</v>
      </c>
    </row>
    <row r="142" spans="1:4" x14ac:dyDescent="0.35">
      <c r="A142" s="3" t="s">
        <v>330</v>
      </c>
      <c r="B142" s="3" t="s">
        <v>331</v>
      </c>
      <c r="C142" s="3" t="s">
        <v>65</v>
      </c>
      <c r="D142" s="7" t="str">
        <f>HYPERLINK("https://data.bls.gov/projections/nationalMatrix?queryParams=17-2111&amp;ioType=o", "Projections for 17-2111")</f>
        <v>Projections for 17-2111</v>
      </c>
    </row>
    <row r="143" spans="1:4" x14ac:dyDescent="0.35">
      <c r="A143" s="3" t="s">
        <v>332</v>
      </c>
      <c r="B143" s="3" t="s">
        <v>333</v>
      </c>
      <c r="C143" s="3" t="s">
        <v>65</v>
      </c>
      <c r="D143" s="7" t="str">
        <f>HYPERLINK("https://data.bls.gov/projections/nationalMatrix?queryParams=17-2112&amp;ioType=o", "Projections for 17-2112")</f>
        <v>Projections for 17-2112</v>
      </c>
    </row>
    <row r="144" spans="1:4" x14ac:dyDescent="0.35">
      <c r="A144" s="3" t="s">
        <v>334</v>
      </c>
      <c r="B144" s="3" t="s">
        <v>335</v>
      </c>
      <c r="C144" s="3" t="s">
        <v>65</v>
      </c>
      <c r="D144" s="7" t="str">
        <f>HYPERLINK("https://data.bls.gov/projections/nationalMatrix?queryParams=17-2121&amp;ioType=o", "Projections for 17-2121")</f>
        <v>Projections for 17-2121</v>
      </c>
    </row>
    <row r="145" spans="1:4" x14ac:dyDescent="0.35">
      <c r="A145" s="3" t="s">
        <v>336</v>
      </c>
      <c r="B145" s="3" t="s">
        <v>337</v>
      </c>
      <c r="C145" s="3" t="s">
        <v>65</v>
      </c>
      <c r="D145" s="7" t="str">
        <f>HYPERLINK("https://data.bls.gov/projections/nationalMatrix?queryParams=17-2131&amp;ioType=o", "Projections for 17-2131")</f>
        <v>Projections for 17-2131</v>
      </c>
    </row>
    <row r="146" spans="1:4" x14ac:dyDescent="0.35">
      <c r="A146" s="3" t="s">
        <v>338</v>
      </c>
      <c r="B146" s="3" t="s">
        <v>339</v>
      </c>
      <c r="C146" s="3" t="s">
        <v>65</v>
      </c>
      <c r="D146" s="7" t="str">
        <f>HYPERLINK("https://data.bls.gov/projections/nationalMatrix?queryParams=17-2141&amp;ioType=o", "Projections for 17-2141")</f>
        <v>Projections for 17-2141</v>
      </c>
    </row>
    <row r="147" spans="1:4" x14ac:dyDescent="0.35">
      <c r="A147" s="3" t="s">
        <v>340</v>
      </c>
      <c r="B147" s="3" t="s">
        <v>341</v>
      </c>
      <c r="C147" s="3" t="s">
        <v>65</v>
      </c>
      <c r="D147" s="7" t="str">
        <f>HYPERLINK("https://data.bls.gov/projections/nationalMatrix?queryParams=17-2151&amp;ioType=o", "Projections for 17-2151")</f>
        <v>Projections for 17-2151</v>
      </c>
    </row>
    <row r="148" spans="1:4" x14ac:dyDescent="0.35">
      <c r="A148" s="3" t="s">
        <v>342</v>
      </c>
      <c r="B148" s="3" t="s">
        <v>343</v>
      </c>
      <c r="C148" s="3" t="s">
        <v>65</v>
      </c>
      <c r="D148" s="7" t="str">
        <f>HYPERLINK("https://data.bls.gov/projections/nationalMatrix?queryParams=17-2161&amp;ioType=o", "Projections for 17-2161")</f>
        <v>Projections for 17-2161</v>
      </c>
    </row>
    <row r="149" spans="1:4" x14ac:dyDescent="0.35">
      <c r="A149" s="3" t="s">
        <v>344</v>
      </c>
      <c r="B149" s="3" t="s">
        <v>345</v>
      </c>
      <c r="C149" s="3" t="s">
        <v>65</v>
      </c>
      <c r="D149" s="7" t="str">
        <f>HYPERLINK("https://data.bls.gov/projections/nationalMatrix?queryParams=17-2171&amp;ioType=o", "Projections for 17-2171")</f>
        <v>Projections for 17-2171</v>
      </c>
    </row>
    <row r="150" spans="1:4" x14ac:dyDescent="0.35">
      <c r="A150" s="3" t="s">
        <v>346</v>
      </c>
      <c r="B150" s="3" t="s">
        <v>347</v>
      </c>
      <c r="C150" s="3" t="s">
        <v>65</v>
      </c>
      <c r="D150" s="7" t="str">
        <f>HYPERLINK("https://data.bls.gov/projections/nationalMatrix?queryParams=17-2199&amp;ioType=o", "Projections for 17-2199")</f>
        <v>Projections for 17-2199</v>
      </c>
    </row>
    <row r="151" spans="1:4" x14ac:dyDescent="0.35">
      <c r="A151" s="3" t="s">
        <v>348</v>
      </c>
      <c r="B151" s="3" t="s">
        <v>349</v>
      </c>
      <c r="C151" s="3" t="s">
        <v>60</v>
      </c>
      <c r="D151" s="7" t="str">
        <f>HYPERLINK("https://data.bls.gov/projections/nationalMatrix?queryParams=17-3000&amp;ioType=o", "Projections for 17-3000")</f>
        <v>Projections for 17-3000</v>
      </c>
    </row>
    <row r="152" spans="1:4" x14ac:dyDescent="0.35">
      <c r="A152" s="3" t="s">
        <v>350</v>
      </c>
      <c r="B152" s="3" t="s">
        <v>351</v>
      </c>
      <c r="C152" s="3" t="s">
        <v>60</v>
      </c>
      <c r="D152" s="7" t="str">
        <f>HYPERLINK("https://data.bls.gov/projections/nationalMatrix?queryParams=17-3010&amp;ioType=o", "Projections for 17-3010")</f>
        <v>Projections for 17-3010</v>
      </c>
    </row>
    <row r="153" spans="1:4" x14ac:dyDescent="0.35">
      <c r="A153" s="3" t="s">
        <v>352</v>
      </c>
      <c r="B153" s="3" t="s">
        <v>353</v>
      </c>
      <c r="C153" s="3" t="s">
        <v>65</v>
      </c>
      <c r="D153" s="7" t="str">
        <f>HYPERLINK("https://data.bls.gov/projections/nationalMatrix?queryParams=17-3011&amp;ioType=o", "Projections for 17-3011")</f>
        <v>Projections for 17-3011</v>
      </c>
    </row>
    <row r="154" spans="1:4" x14ac:dyDescent="0.35">
      <c r="A154" s="3" t="s">
        <v>354</v>
      </c>
      <c r="B154" s="3" t="s">
        <v>355</v>
      </c>
      <c r="C154" s="3" t="s">
        <v>65</v>
      </c>
      <c r="D154" s="7" t="str">
        <f>HYPERLINK("https://data.bls.gov/projections/nationalMatrix?queryParams=17-3012&amp;ioType=o", "Projections for 17-3012")</f>
        <v>Projections for 17-3012</v>
      </c>
    </row>
    <row r="155" spans="1:4" x14ac:dyDescent="0.35">
      <c r="A155" s="3" t="s">
        <v>356</v>
      </c>
      <c r="B155" s="3" t="s">
        <v>357</v>
      </c>
      <c r="C155" s="3" t="s">
        <v>65</v>
      </c>
      <c r="D155" s="7" t="str">
        <f>HYPERLINK("https://data.bls.gov/projections/nationalMatrix?queryParams=17-3013&amp;ioType=o", "Projections for 17-3013")</f>
        <v>Projections for 17-3013</v>
      </c>
    </row>
    <row r="156" spans="1:4" x14ac:dyDescent="0.35">
      <c r="A156" s="3" t="s">
        <v>358</v>
      </c>
      <c r="B156" s="3" t="s">
        <v>359</v>
      </c>
      <c r="C156" s="3" t="s">
        <v>65</v>
      </c>
      <c r="D156" s="7" t="str">
        <f>HYPERLINK("https://data.bls.gov/projections/nationalMatrix?queryParams=17-3019&amp;ioType=o", "Projections for 17-3019")</f>
        <v>Projections for 17-3019</v>
      </c>
    </row>
    <row r="157" spans="1:4" x14ac:dyDescent="0.35">
      <c r="A157" s="3" t="s">
        <v>360</v>
      </c>
      <c r="B157" s="3" t="s">
        <v>361</v>
      </c>
      <c r="C157" s="3" t="s">
        <v>60</v>
      </c>
      <c r="D157" s="7" t="str">
        <f>HYPERLINK("https://data.bls.gov/projections/nationalMatrix?queryParams=17-3020&amp;ioType=o", "Projections for 17-3020")</f>
        <v>Projections for 17-3020</v>
      </c>
    </row>
    <row r="158" spans="1:4" x14ac:dyDescent="0.35">
      <c r="A158" s="3" t="s">
        <v>362</v>
      </c>
      <c r="B158" s="3" t="s">
        <v>363</v>
      </c>
      <c r="C158" s="3" t="s">
        <v>65</v>
      </c>
      <c r="D158" s="7" t="str">
        <f>HYPERLINK("https://data.bls.gov/projections/nationalMatrix?queryParams=17-3021&amp;ioType=o", "Projections for 17-3021")</f>
        <v>Projections for 17-3021</v>
      </c>
    </row>
    <row r="159" spans="1:4" x14ac:dyDescent="0.35">
      <c r="A159" s="3" t="s">
        <v>364</v>
      </c>
      <c r="B159" s="3" t="s">
        <v>365</v>
      </c>
      <c r="C159" s="3" t="s">
        <v>65</v>
      </c>
      <c r="D159" s="7" t="str">
        <f>HYPERLINK("https://data.bls.gov/projections/nationalMatrix?queryParams=17-3022&amp;ioType=o", "Projections for 17-3022")</f>
        <v>Projections for 17-3022</v>
      </c>
    </row>
    <row r="160" spans="1:4" x14ac:dyDescent="0.35">
      <c r="A160" s="3" t="s">
        <v>366</v>
      </c>
      <c r="B160" s="3" t="s">
        <v>367</v>
      </c>
      <c r="C160" s="3" t="s">
        <v>65</v>
      </c>
      <c r="D160" s="7" t="str">
        <f>HYPERLINK("https://data.bls.gov/projections/nationalMatrix?queryParams=17-3023&amp;ioType=o", "Projections for 17-3023")</f>
        <v>Projections for 17-3023</v>
      </c>
    </row>
    <row r="161" spans="1:4" x14ac:dyDescent="0.35">
      <c r="A161" s="3" t="s">
        <v>368</v>
      </c>
      <c r="B161" s="3" t="s">
        <v>369</v>
      </c>
      <c r="C161" s="3" t="s">
        <v>65</v>
      </c>
      <c r="D161" s="7" t="str">
        <f>HYPERLINK("https://data.bls.gov/projections/nationalMatrix?queryParams=17-3024&amp;ioType=o", "Projections for 17-3024")</f>
        <v>Projections for 17-3024</v>
      </c>
    </row>
    <row r="162" spans="1:4" x14ac:dyDescent="0.35">
      <c r="A162" s="3" t="s">
        <v>370</v>
      </c>
      <c r="B162" s="3" t="s">
        <v>371</v>
      </c>
      <c r="C162" s="3" t="s">
        <v>65</v>
      </c>
      <c r="D162" s="7" t="str">
        <f>HYPERLINK("https://data.bls.gov/projections/nationalMatrix?queryParams=17-3025&amp;ioType=o", "Projections for 17-3025")</f>
        <v>Projections for 17-3025</v>
      </c>
    </row>
    <row r="163" spans="1:4" x14ac:dyDescent="0.35">
      <c r="A163" s="3" t="s">
        <v>372</v>
      </c>
      <c r="B163" s="3" t="s">
        <v>373</v>
      </c>
      <c r="C163" s="3" t="s">
        <v>65</v>
      </c>
      <c r="D163" s="7" t="str">
        <f>HYPERLINK("https://data.bls.gov/projections/nationalMatrix?queryParams=17-3026&amp;ioType=o", "Projections for 17-3026")</f>
        <v>Projections for 17-3026</v>
      </c>
    </row>
    <row r="164" spans="1:4" x14ac:dyDescent="0.35">
      <c r="A164" s="3" t="s">
        <v>374</v>
      </c>
      <c r="B164" s="3" t="s">
        <v>375</v>
      </c>
      <c r="C164" s="3" t="s">
        <v>65</v>
      </c>
      <c r="D164" s="7" t="str">
        <f>HYPERLINK("https://data.bls.gov/projections/nationalMatrix?queryParams=17-3027&amp;ioType=o", "Projections for 17-3027")</f>
        <v>Projections for 17-3027</v>
      </c>
    </row>
    <row r="165" spans="1:4" x14ac:dyDescent="0.35">
      <c r="A165" s="3" t="s">
        <v>376</v>
      </c>
      <c r="B165" s="3" t="s">
        <v>377</v>
      </c>
      <c r="C165" s="3" t="s">
        <v>65</v>
      </c>
      <c r="D165" s="7" t="str">
        <f>HYPERLINK("https://data.bls.gov/projections/nationalMatrix?queryParams=17-3028&amp;ioType=o", "Projections for 17-3028")</f>
        <v>Projections for 17-3028</v>
      </c>
    </row>
    <row r="166" spans="1:4" x14ac:dyDescent="0.35">
      <c r="A166" s="3" t="s">
        <v>378</v>
      </c>
      <c r="B166" s="3" t="s">
        <v>379</v>
      </c>
      <c r="C166" s="3" t="s">
        <v>65</v>
      </c>
      <c r="D166" s="7" t="str">
        <f>HYPERLINK("https://data.bls.gov/projections/nationalMatrix?queryParams=17-3029&amp;ioType=o", "Projections for 17-3029")</f>
        <v>Projections for 17-3029</v>
      </c>
    </row>
    <row r="167" spans="1:4" x14ac:dyDescent="0.35">
      <c r="A167" s="3" t="s">
        <v>380</v>
      </c>
      <c r="B167" s="3" t="s">
        <v>381</v>
      </c>
      <c r="C167" s="3" t="s">
        <v>65</v>
      </c>
      <c r="D167" s="7" t="str">
        <f>HYPERLINK("https://data.bls.gov/projections/nationalMatrix?queryParams=17-3031&amp;ioType=o", "Projections for 17-3031")</f>
        <v>Projections for 17-3031</v>
      </c>
    </row>
    <row r="168" spans="1:4" x14ac:dyDescent="0.35">
      <c r="A168" s="3" t="s">
        <v>16</v>
      </c>
      <c r="B168" s="3" t="s">
        <v>17</v>
      </c>
      <c r="C168" s="3" t="s">
        <v>60</v>
      </c>
      <c r="D168" s="7" t="str">
        <f>HYPERLINK("https://data.bls.gov/projections/nationalMatrix?queryParams=19-0000&amp;ioType=o", "Projections for 19-0000")</f>
        <v>Projections for 19-0000</v>
      </c>
    </row>
    <row r="169" spans="1:4" x14ac:dyDescent="0.35">
      <c r="A169" s="3" t="s">
        <v>382</v>
      </c>
      <c r="B169" s="3" t="s">
        <v>383</v>
      </c>
      <c r="C169" s="3" t="s">
        <v>60</v>
      </c>
      <c r="D169" s="7" t="str">
        <f>HYPERLINK("https://data.bls.gov/projections/nationalMatrix?queryParams=19-1000&amp;ioType=o", "Projections for 19-1000")</f>
        <v>Projections for 19-1000</v>
      </c>
    </row>
    <row r="170" spans="1:4" x14ac:dyDescent="0.35">
      <c r="A170" s="3" t="s">
        <v>384</v>
      </c>
      <c r="B170" s="3" t="s">
        <v>385</v>
      </c>
      <c r="C170" s="3" t="s">
        <v>60</v>
      </c>
      <c r="D170" s="7" t="str">
        <f>HYPERLINK("https://data.bls.gov/projections/nationalMatrix?queryParams=19-1010&amp;ioType=o", "Projections for 19-1010")</f>
        <v>Projections for 19-1010</v>
      </c>
    </row>
    <row r="171" spans="1:4" x14ac:dyDescent="0.35">
      <c r="A171" s="3" t="s">
        <v>386</v>
      </c>
      <c r="B171" s="3" t="s">
        <v>387</v>
      </c>
      <c r="C171" s="3" t="s">
        <v>65</v>
      </c>
      <c r="D171" s="7" t="str">
        <f>HYPERLINK("https://data.bls.gov/projections/nationalMatrix?queryParams=19-1011&amp;ioType=o", "Projections for 19-1011")</f>
        <v>Projections for 19-1011</v>
      </c>
    </row>
    <row r="172" spans="1:4" x14ac:dyDescent="0.35">
      <c r="A172" s="3" t="s">
        <v>388</v>
      </c>
      <c r="B172" s="3" t="s">
        <v>389</v>
      </c>
      <c r="C172" s="3" t="s">
        <v>65</v>
      </c>
      <c r="D172" s="7" t="str">
        <f>HYPERLINK("https://data.bls.gov/projections/nationalMatrix?queryParams=19-1012&amp;ioType=o", "Projections for 19-1012")</f>
        <v>Projections for 19-1012</v>
      </c>
    </row>
    <row r="173" spans="1:4" x14ac:dyDescent="0.35">
      <c r="A173" s="3" t="s">
        <v>390</v>
      </c>
      <c r="B173" s="3" t="s">
        <v>391</v>
      </c>
      <c r="C173" s="3" t="s">
        <v>65</v>
      </c>
      <c r="D173" s="7" t="str">
        <f>HYPERLINK("https://data.bls.gov/projections/nationalMatrix?queryParams=19-1013&amp;ioType=o", "Projections for 19-1013")</f>
        <v>Projections for 19-1013</v>
      </c>
    </row>
    <row r="174" spans="1:4" x14ac:dyDescent="0.35">
      <c r="A174" s="3" t="s">
        <v>392</v>
      </c>
      <c r="B174" s="3" t="s">
        <v>393</v>
      </c>
      <c r="C174" s="3" t="s">
        <v>60</v>
      </c>
      <c r="D174" s="7" t="str">
        <f>HYPERLINK("https://data.bls.gov/projections/nationalMatrix?queryParams=19-1020&amp;ioType=o", "Projections for 19-1020")</f>
        <v>Projections for 19-1020</v>
      </c>
    </row>
    <row r="175" spans="1:4" x14ac:dyDescent="0.35">
      <c r="A175" s="3" t="s">
        <v>394</v>
      </c>
      <c r="B175" s="3" t="s">
        <v>395</v>
      </c>
      <c r="C175" s="3" t="s">
        <v>65</v>
      </c>
      <c r="D175" s="7" t="str">
        <f>HYPERLINK("https://data.bls.gov/projections/nationalMatrix?queryParams=19-1021&amp;ioType=o", "Projections for 19-1021")</f>
        <v>Projections for 19-1021</v>
      </c>
    </row>
    <row r="176" spans="1:4" x14ac:dyDescent="0.35">
      <c r="A176" s="3" t="s">
        <v>396</v>
      </c>
      <c r="B176" s="3" t="s">
        <v>397</v>
      </c>
      <c r="C176" s="3" t="s">
        <v>65</v>
      </c>
      <c r="D176" s="7" t="str">
        <f>HYPERLINK("https://data.bls.gov/projections/nationalMatrix?queryParams=19-1022&amp;ioType=o", "Projections for 19-1022")</f>
        <v>Projections for 19-1022</v>
      </c>
    </row>
    <row r="177" spans="1:4" x14ac:dyDescent="0.35">
      <c r="A177" s="3" t="s">
        <v>398</v>
      </c>
      <c r="B177" s="3" t="s">
        <v>399</v>
      </c>
      <c r="C177" s="3" t="s">
        <v>65</v>
      </c>
      <c r="D177" s="7" t="str">
        <f>HYPERLINK("https://data.bls.gov/projections/nationalMatrix?queryParams=19-1023&amp;ioType=o", "Projections for 19-1023")</f>
        <v>Projections for 19-1023</v>
      </c>
    </row>
    <row r="178" spans="1:4" x14ac:dyDescent="0.35">
      <c r="A178" s="3" t="s">
        <v>400</v>
      </c>
      <c r="B178" s="3" t="s">
        <v>401</v>
      </c>
      <c r="C178" s="3" t="s">
        <v>65</v>
      </c>
      <c r="D178" s="7" t="str">
        <f>HYPERLINK("https://data.bls.gov/projections/nationalMatrix?queryParams=19-1029&amp;ioType=o", "Projections for 19-1029")</f>
        <v>Projections for 19-1029</v>
      </c>
    </row>
    <row r="179" spans="1:4" x14ac:dyDescent="0.35">
      <c r="A179" s="3" t="s">
        <v>402</v>
      </c>
      <c r="B179" s="3" t="s">
        <v>403</v>
      </c>
      <c r="C179" s="3" t="s">
        <v>60</v>
      </c>
      <c r="D179" s="7" t="str">
        <f>HYPERLINK("https://data.bls.gov/projections/nationalMatrix?queryParams=19-1030&amp;ioType=o", "Projections for 19-1030")</f>
        <v>Projections for 19-1030</v>
      </c>
    </row>
    <row r="180" spans="1:4" x14ac:dyDescent="0.35">
      <c r="A180" s="3" t="s">
        <v>404</v>
      </c>
      <c r="B180" s="3" t="s">
        <v>405</v>
      </c>
      <c r="C180" s="3" t="s">
        <v>65</v>
      </c>
      <c r="D180" s="7" t="str">
        <f>HYPERLINK("https://data.bls.gov/projections/nationalMatrix?queryParams=19-1031&amp;ioType=o", "Projections for 19-1031")</f>
        <v>Projections for 19-1031</v>
      </c>
    </row>
    <row r="181" spans="1:4" x14ac:dyDescent="0.35">
      <c r="A181" s="3" t="s">
        <v>406</v>
      </c>
      <c r="B181" s="3" t="s">
        <v>407</v>
      </c>
      <c r="C181" s="3" t="s">
        <v>65</v>
      </c>
      <c r="D181" s="7" t="str">
        <f>HYPERLINK("https://data.bls.gov/projections/nationalMatrix?queryParams=19-1032&amp;ioType=o", "Projections for 19-1032")</f>
        <v>Projections for 19-1032</v>
      </c>
    </row>
    <row r="182" spans="1:4" x14ac:dyDescent="0.35">
      <c r="A182" s="3" t="s">
        <v>408</v>
      </c>
      <c r="B182" s="3" t="s">
        <v>409</v>
      </c>
      <c r="C182" s="3" t="s">
        <v>60</v>
      </c>
      <c r="D182" s="7" t="str">
        <f>HYPERLINK("https://data.bls.gov/projections/nationalMatrix?queryParams=19-1040&amp;ioType=o", "Projections for 19-1040")</f>
        <v>Projections for 19-1040</v>
      </c>
    </row>
    <row r="183" spans="1:4" x14ac:dyDescent="0.35">
      <c r="A183" s="3" t="s">
        <v>410</v>
      </c>
      <c r="B183" s="3" t="s">
        <v>411</v>
      </c>
      <c r="C183" s="3" t="s">
        <v>65</v>
      </c>
      <c r="D183" s="7" t="str">
        <f>HYPERLINK("https://data.bls.gov/projections/nationalMatrix?queryParams=19-1041&amp;ioType=o", "Projections for 19-1041")</f>
        <v>Projections for 19-1041</v>
      </c>
    </row>
    <row r="184" spans="1:4" x14ac:dyDescent="0.35">
      <c r="A184" s="3" t="s">
        <v>412</v>
      </c>
      <c r="B184" s="3" t="s">
        <v>413</v>
      </c>
      <c r="C184" s="3" t="s">
        <v>65</v>
      </c>
      <c r="D184" s="7" t="str">
        <f>HYPERLINK("https://data.bls.gov/projections/nationalMatrix?queryParams=19-1042&amp;ioType=o", "Projections for 19-1042")</f>
        <v>Projections for 19-1042</v>
      </c>
    </row>
    <row r="185" spans="1:4" x14ac:dyDescent="0.35">
      <c r="A185" s="3" t="s">
        <v>414</v>
      </c>
      <c r="B185" s="3" t="s">
        <v>415</v>
      </c>
      <c r="C185" s="3" t="s">
        <v>65</v>
      </c>
      <c r="D185" s="7" t="str">
        <f>HYPERLINK("https://data.bls.gov/projections/nationalMatrix?queryParams=19-1099&amp;ioType=o", "Projections for 19-1099")</f>
        <v>Projections for 19-1099</v>
      </c>
    </row>
    <row r="186" spans="1:4" x14ac:dyDescent="0.35">
      <c r="A186" s="3" t="s">
        <v>416</v>
      </c>
      <c r="B186" s="3" t="s">
        <v>417</v>
      </c>
      <c r="C186" s="3" t="s">
        <v>60</v>
      </c>
      <c r="D186" s="7" t="str">
        <f>HYPERLINK("https://data.bls.gov/projections/nationalMatrix?queryParams=19-2000&amp;ioType=o", "Projections for 19-2000")</f>
        <v>Projections for 19-2000</v>
      </c>
    </row>
    <row r="187" spans="1:4" x14ac:dyDescent="0.35">
      <c r="A187" s="3" t="s">
        <v>418</v>
      </c>
      <c r="B187" s="3" t="s">
        <v>419</v>
      </c>
      <c r="C187" s="3" t="s">
        <v>60</v>
      </c>
      <c r="D187" s="7" t="str">
        <f>HYPERLINK("https://data.bls.gov/projections/nationalMatrix?queryParams=19-2010&amp;ioType=o", "Projections for 19-2010")</f>
        <v>Projections for 19-2010</v>
      </c>
    </row>
    <row r="188" spans="1:4" x14ac:dyDescent="0.35">
      <c r="A188" s="3" t="s">
        <v>420</v>
      </c>
      <c r="B188" s="3" t="s">
        <v>421</v>
      </c>
      <c r="C188" s="3" t="s">
        <v>65</v>
      </c>
      <c r="D188" s="7" t="str">
        <f>HYPERLINK("https://data.bls.gov/projections/nationalMatrix?queryParams=19-2011&amp;ioType=o", "Projections for 19-2011")</f>
        <v>Projections for 19-2011</v>
      </c>
    </row>
    <row r="189" spans="1:4" x14ac:dyDescent="0.35">
      <c r="A189" s="3" t="s">
        <v>422</v>
      </c>
      <c r="B189" s="3" t="s">
        <v>423</v>
      </c>
      <c r="C189" s="3" t="s">
        <v>65</v>
      </c>
      <c r="D189" s="7" t="str">
        <f>HYPERLINK("https://data.bls.gov/projections/nationalMatrix?queryParams=19-2012&amp;ioType=o", "Projections for 19-2012")</f>
        <v>Projections for 19-2012</v>
      </c>
    </row>
    <row r="190" spans="1:4" x14ac:dyDescent="0.35">
      <c r="A190" s="3" t="s">
        <v>424</v>
      </c>
      <c r="B190" s="3" t="s">
        <v>425</v>
      </c>
      <c r="C190" s="3" t="s">
        <v>65</v>
      </c>
      <c r="D190" s="7" t="str">
        <f>HYPERLINK("https://data.bls.gov/projections/nationalMatrix?queryParams=19-2021&amp;ioType=o", "Projections for 19-2021")</f>
        <v>Projections for 19-2021</v>
      </c>
    </row>
    <row r="191" spans="1:4" x14ac:dyDescent="0.35">
      <c r="A191" s="3" t="s">
        <v>426</v>
      </c>
      <c r="B191" s="3" t="s">
        <v>427</v>
      </c>
      <c r="C191" s="3" t="s">
        <v>60</v>
      </c>
      <c r="D191" s="7" t="str">
        <f>HYPERLINK("https://data.bls.gov/projections/nationalMatrix?queryParams=19-2030&amp;ioType=o", "Projections for 19-2030")</f>
        <v>Projections for 19-2030</v>
      </c>
    </row>
    <row r="192" spans="1:4" x14ac:dyDescent="0.35">
      <c r="A192" s="3" t="s">
        <v>428</v>
      </c>
      <c r="B192" s="3" t="s">
        <v>429</v>
      </c>
      <c r="C192" s="3" t="s">
        <v>65</v>
      </c>
      <c r="D192" s="7" t="str">
        <f>HYPERLINK("https://data.bls.gov/projections/nationalMatrix?queryParams=19-2031&amp;ioType=o", "Projections for 19-2031")</f>
        <v>Projections for 19-2031</v>
      </c>
    </row>
    <row r="193" spans="1:4" x14ac:dyDescent="0.35">
      <c r="A193" s="3" t="s">
        <v>430</v>
      </c>
      <c r="B193" s="3" t="s">
        <v>431</v>
      </c>
      <c r="C193" s="3" t="s">
        <v>65</v>
      </c>
      <c r="D193" s="7" t="str">
        <f>HYPERLINK("https://data.bls.gov/projections/nationalMatrix?queryParams=19-2032&amp;ioType=o", "Projections for 19-2032")</f>
        <v>Projections for 19-2032</v>
      </c>
    </row>
    <row r="194" spans="1:4" x14ac:dyDescent="0.35">
      <c r="A194" s="3" t="s">
        <v>432</v>
      </c>
      <c r="B194" s="3" t="s">
        <v>433</v>
      </c>
      <c r="C194" s="3" t="s">
        <v>60</v>
      </c>
      <c r="D194" s="7" t="str">
        <f>HYPERLINK("https://data.bls.gov/projections/nationalMatrix?queryParams=19-2040&amp;ioType=o", "Projections for 19-2040")</f>
        <v>Projections for 19-2040</v>
      </c>
    </row>
    <row r="195" spans="1:4" x14ac:dyDescent="0.35">
      <c r="A195" s="3" t="s">
        <v>434</v>
      </c>
      <c r="B195" s="3" t="s">
        <v>435</v>
      </c>
      <c r="C195" s="3" t="s">
        <v>65</v>
      </c>
      <c r="D195" s="7" t="str">
        <f>HYPERLINK("https://data.bls.gov/projections/nationalMatrix?queryParams=19-2041&amp;ioType=o", "Projections for 19-2041")</f>
        <v>Projections for 19-2041</v>
      </c>
    </row>
    <row r="196" spans="1:4" x14ac:dyDescent="0.35">
      <c r="A196" s="3" t="s">
        <v>436</v>
      </c>
      <c r="B196" s="3" t="s">
        <v>437</v>
      </c>
      <c r="C196" s="3" t="s">
        <v>65</v>
      </c>
      <c r="D196" s="7" t="str">
        <f>HYPERLINK("https://data.bls.gov/projections/nationalMatrix?queryParams=19-2042&amp;ioType=o", "Projections for 19-2042")</f>
        <v>Projections for 19-2042</v>
      </c>
    </row>
    <row r="197" spans="1:4" x14ac:dyDescent="0.35">
      <c r="A197" s="3" t="s">
        <v>438</v>
      </c>
      <c r="B197" s="3" t="s">
        <v>439</v>
      </c>
      <c r="C197" s="3" t="s">
        <v>65</v>
      </c>
      <c r="D197" s="7" t="str">
        <f>HYPERLINK("https://data.bls.gov/projections/nationalMatrix?queryParams=19-2043&amp;ioType=o", "Projections for 19-2043")</f>
        <v>Projections for 19-2043</v>
      </c>
    </row>
    <row r="198" spans="1:4" x14ac:dyDescent="0.35">
      <c r="A198" s="3" t="s">
        <v>440</v>
      </c>
      <c r="B198" s="3" t="s">
        <v>441</v>
      </c>
      <c r="C198" s="3" t="s">
        <v>65</v>
      </c>
      <c r="D198" s="7" t="str">
        <f>HYPERLINK("https://data.bls.gov/projections/nationalMatrix?queryParams=19-2099&amp;ioType=o", "Projections for 19-2099")</f>
        <v>Projections for 19-2099</v>
      </c>
    </row>
    <row r="199" spans="1:4" x14ac:dyDescent="0.35">
      <c r="A199" s="3" t="s">
        <v>442</v>
      </c>
      <c r="B199" s="3" t="s">
        <v>443</v>
      </c>
      <c r="C199" s="3" t="s">
        <v>60</v>
      </c>
      <c r="D199" s="7" t="str">
        <f>HYPERLINK("https://data.bls.gov/projections/nationalMatrix?queryParams=19-3000&amp;ioType=o", "Projections for 19-3000")</f>
        <v>Projections for 19-3000</v>
      </c>
    </row>
    <row r="200" spans="1:4" x14ac:dyDescent="0.35">
      <c r="A200" s="3" t="s">
        <v>444</v>
      </c>
      <c r="B200" s="3" t="s">
        <v>445</v>
      </c>
      <c r="C200" s="3" t="s">
        <v>65</v>
      </c>
      <c r="D200" s="7" t="str">
        <f>HYPERLINK("https://data.bls.gov/projections/nationalMatrix?queryParams=19-3011&amp;ioType=o", "Projections for 19-3011")</f>
        <v>Projections for 19-3011</v>
      </c>
    </row>
    <row r="201" spans="1:4" x14ac:dyDescent="0.35">
      <c r="A201" s="3" t="s">
        <v>446</v>
      </c>
      <c r="B201" s="3" t="s">
        <v>447</v>
      </c>
      <c r="C201" s="3" t="s">
        <v>65</v>
      </c>
      <c r="D201" s="7" t="str">
        <f>HYPERLINK("https://data.bls.gov/projections/nationalMatrix?queryParams=19-3022&amp;ioType=o", "Projections for 19-3022")</f>
        <v>Projections for 19-3022</v>
      </c>
    </row>
    <row r="202" spans="1:4" x14ac:dyDescent="0.35">
      <c r="A202" s="3" t="s">
        <v>448</v>
      </c>
      <c r="B202" s="3" t="s">
        <v>449</v>
      </c>
      <c r="C202" s="3" t="s">
        <v>60</v>
      </c>
      <c r="D202" s="7" t="str">
        <f>HYPERLINK("https://data.bls.gov/projections/nationalMatrix?queryParams=19-3030&amp;ioType=o", "Projections for 19-3030")</f>
        <v>Projections for 19-3030</v>
      </c>
    </row>
    <row r="203" spans="1:4" x14ac:dyDescent="0.35">
      <c r="A203" s="3" t="s">
        <v>450</v>
      </c>
      <c r="B203" s="3" t="s">
        <v>451</v>
      </c>
      <c r="C203" s="3" t="s">
        <v>65</v>
      </c>
      <c r="D203" s="7" t="str">
        <f>HYPERLINK("https://data.bls.gov/projections/nationalMatrix?queryParams=19-3032&amp;ioType=o", "Projections for 19-3032")</f>
        <v>Projections for 19-3032</v>
      </c>
    </row>
    <row r="204" spans="1:4" x14ac:dyDescent="0.35">
      <c r="A204" s="3" t="s">
        <v>452</v>
      </c>
      <c r="B204" s="3" t="s">
        <v>453</v>
      </c>
      <c r="C204" s="3" t="s">
        <v>65</v>
      </c>
      <c r="D204" s="7" t="str">
        <f>HYPERLINK("https://data.bls.gov/projections/nationalMatrix?queryParams=19-3033&amp;ioType=o", "Projections for 19-3033")</f>
        <v>Projections for 19-3033</v>
      </c>
    </row>
    <row r="205" spans="1:4" x14ac:dyDescent="0.35">
      <c r="A205" s="3" t="s">
        <v>454</v>
      </c>
      <c r="B205" s="3" t="s">
        <v>455</v>
      </c>
      <c r="C205" s="3" t="s">
        <v>65</v>
      </c>
      <c r="D205" s="7" t="str">
        <f>HYPERLINK("https://data.bls.gov/projections/nationalMatrix?queryParams=19-3034&amp;ioType=o", "Projections for 19-3034")</f>
        <v>Projections for 19-3034</v>
      </c>
    </row>
    <row r="206" spans="1:4" x14ac:dyDescent="0.35">
      <c r="A206" s="3" t="s">
        <v>456</v>
      </c>
      <c r="B206" s="3" t="s">
        <v>457</v>
      </c>
      <c r="C206" s="3" t="s">
        <v>65</v>
      </c>
      <c r="D206" s="7" t="str">
        <f>HYPERLINK("https://data.bls.gov/projections/nationalMatrix?queryParams=19-3039&amp;ioType=o", "Projections for 19-3039")</f>
        <v>Projections for 19-3039</v>
      </c>
    </row>
    <row r="207" spans="1:4" x14ac:dyDescent="0.35">
      <c r="A207" s="3" t="s">
        <v>458</v>
      </c>
      <c r="B207" s="3" t="s">
        <v>459</v>
      </c>
      <c r="C207" s="3" t="s">
        <v>65</v>
      </c>
      <c r="D207" s="7" t="str">
        <f>HYPERLINK("https://data.bls.gov/projections/nationalMatrix?queryParams=19-3041&amp;ioType=o", "Projections for 19-3041")</f>
        <v>Projections for 19-3041</v>
      </c>
    </row>
    <row r="208" spans="1:4" x14ac:dyDescent="0.35">
      <c r="A208" s="3" t="s">
        <v>460</v>
      </c>
      <c r="B208" s="3" t="s">
        <v>461</v>
      </c>
      <c r="C208" s="3" t="s">
        <v>65</v>
      </c>
      <c r="D208" s="7" t="str">
        <f>HYPERLINK("https://data.bls.gov/projections/nationalMatrix?queryParams=19-3051&amp;ioType=o", "Projections for 19-3051")</f>
        <v>Projections for 19-3051</v>
      </c>
    </row>
    <row r="209" spans="1:4" x14ac:dyDescent="0.35">
      <c r="A209" s="3" t="s">
        <v>462</v>
      </c>
      <c r="B209" s="3" t="s">
        <v>463</v>
      </c>
      <c r="C209" s="3" t="s">
        <v>60</v>
      </c>
      <c r="D209" s="7" t="str">
        <f>HYPERLINK("https://data.bls.gov/projections/nationalMatrix?queryParams=19-3090&amp;ioType=o", "Projections for 19-3090")</f>
        <v>Projections for 19-3090</v>
      </c>
    </row>
    <row r="210" spans="1:4" x14ac:dyDescent="0.35">
      <c r="A210" s="3" t="s">
        <v>464</v>
      </c>
      <c r="B210" s="3" t="s">
        <v>465</v>
      </c>
      <c r="C210" s="3" t="s">
        <v>65</v>
      </c>
      <c r="D210" s="7" t="str">
        <f>HYPERLINK("https://data.bls.gov/projections/nationalMatrix?queryParams=19-3091&amp;ioType=o", "Projections for 19-3091")</f>
        <v>Projections for 19-3091</v>
      </c>
    </row>
    <row r="211" spans="1:4" x14ac:dyDescent="0.35">
      <c r="A211" s="3" t="s">
        <v>466</v>
      </c>
      <c r="B211" s="3" t="s">
        <v>467</v>
      </c>
      <c r="C211" s="3" t="s">
        <v>65</v>
      </c>
      <c r="D211" s="7" t="str">
        <f>HYPERLINK("https://data.bls.gov/projections/nationalMatrix?queryParams=19-3092&amp;ioType=o", "Projections for 19-3092")</f>
        <v>Projections for 19-3092</v>
      </c>
    </row>
    <row r="212" spans="1:4" x14ac:dyDescent="0.35">
      <c r="A212" s="3" t="s">
        <v>468</v>
      </c>
      <c r="B212" s="3" t="s">
        <v>469</v>
      </c>
      <c r="C212" s="3" t="s">
        <v>65</v>
      </c>
      <c r="D212" s="7" t="str">
        <f>HYPERLINK("https://data.bls.gov/projections/nationalMatrix?queryParams=19-3093&amp;ioType=o", "Projections for 19-3093")</f>
        <v>Projections for 19-3093</v>
      </c>
    </row>
    <row r="213" spans="1:4" x14ac:dyDescent="0.35">
      <c r="A213" s="3" t="s">
        <v>470</v>
      </c>
      <c r="B213" s="3" t="s">
        <v>471</v>
      </c>
      <c r="C213" s="3" t="s">
        <v>65</v>
      </c>
      <c r="D213" s="7" t="str">
        <f>HYPERLINK("https://data.bls.gov/projections/nationalMatrix?queryParams=19-3094&amp;ioType=o", "Projections for 19-3094")</f>
        <v>Projections for 19-3094</v>
      </c>
    </row>
    <row r="214" spans="1:4" x14ac:dyDescent="0.35">
      <c r="A214" s="3" t="s">
        <v>472</v>
      </c>
      <c r="B214" s="3" t="s">
        <v>473</v>
      </c>
      <c r="C214" s="3" t="s">
        <v>65</v>
      </c>
      <c r="D214" s="7" t="str">
        <f>HYPERLINK("https://data.bls.gov/projections/nationalMatrix?queryParams=19-3099&amp;ioType=o", "Projections for 19-3099")</f>
        <v>Projections for 19-3099</v>
      </c>
    </row>
    <row r="215" spans="1:4" x14ac:dyDescent="0.35">
      <c r="A215" s="3" t="s">
        <v>474</v>
      </c>
      <c r="B215" s="3" t="s">
        <v>475</v>
      </c>
      <c r="C215" s="3" t="s">
        <v>60</v>
      </c>
      <c r="D215" s="7" t="str">
        <f>HYPERLINK("https://data.bls.gov/projections/nationalMatrix?queryParams=19-4000&amp;ioType=o", "Projections for 19-4000")</f>
        <v>Projections for 19-4000</v>
      </c>
    </row>
    <row r="216" spans="1:4" x14ac:dyDescent="0.35">
      <c r="A216" s="3" t="s">
        <v>476</v>
      </c>
      <c r="B216" s="3" t="s">
        <v>477</v>
      </c>
      <c r="C216" s="3" t="s">
        <v>60</v>
      </c>
      <c r="D216" s="7" t="str">
        <f>HYPERLINK("https://data.bls.gov/projections/nationalMatrix?queryParams=19-4010&amp;ioType=o", "Projections for 19-4010")</f>
        <v>Projections for 19-4010</v>
      </c>
    </row>
    <row r="217" spans="1:4" x14ac:dyDescent="0.35">
      <c r="A217" s="3" t="s">
        <v>478</v>
      </c>
      <c r="B217" s="3" t="s">
        <v>479</v>
      </c>
      <c r="C217" s="3" t="s">
        <v>65</v>
      </c>
      <c r="D217" s="7" t="str">
        <f>HYPERLINK("https://data.bls.gov/projections/nationalMatrix?queryParams=19-4012&amp;ioType=o", "Projections for 19-4012")</f>
        <v>Projections for 19-4012</v>
      </c>
    </row>
    <row r="218" spans="1:4" x14ac:dyDescent="0.35">
      <c r="A218" s="3" t="s">
        <v>480</v>
      </c>
      <c r="B218" s="3" t="s">
        <v>481</v>
      </c>
      <c r="C218" s="3" t="s">
        <v>65</v>
      </c>
      <c r="D218" s="7" t="str">
        <f>HYPERLINK("https://data.bls.gov/projections/nationalMatrix?queryParams=19-4013&amp;ioType=o", "Projections for 19-4013")</f>
        <v>Projections for 19-4013</v>
      </c>
    </row>
    <row r="219" spans="1:4" x14ac:dyDescent="0.35">
      <c r="A219" s="3" t="s">
        <v>482</v>
      </c>
      <c r="B219" s="3" t="s">
        <v>483</v>
      </c>
      <c r="C219" s="3" t="s">
        <v>65</v>
      </c>
      <c r="D219" s="7" t="str">
        <f>HYPERLINK("https://data.bls.gov/projections/nationalMatrix?queryParams=19-4021&amp;ioType=o", "Projections for 19-4021")</f>
        <v>Projections for 19-4021</v>
      </c>
    </row>
    <row r="220" spans="1:4" x14ac:dyDescent="0.35">
      <c r="A220" s="3" t="s">
        <v>484</v>
      </c>
      <c r="B220" s="3" t="s">
        <v>485</v>
      </c>
      <c r="C220" s="3" t="s">
        <v>65</v>
      </c>
      <c r="D220" s="7" t="str">
        <f>HYPERLINK("https://data.bls.gov/projections/nationalMatrix?queryParams=19-4031&amp;ioType=o", "Projections for 19-4031")</f>
        <v>Projections for 19-4031</v>
      </c>
    </row>
    <row r="221" spans="1:4" x14ac:dyDescent="0.35">
      <c r="A221" s="3" t="s">
        <v>486</v>
      </c>
      <c r="B221" s="3" t="s">
        <v>487</v>
      </c>
      <c r="C221" s="3" t="s">
        <v>60</v>
      </c>
      <c r="D221" s="7" t="str">
        <f>HYPERLINK("https://data.bls.gov/projections/nationalMatrix?queryParams=19-4040&amp;ioType=o", "Projections for 19-4040")</f>
        <v>Projections for 19-4040</v>
      </c>
    </row>
    <row r="222" spans="1:4" x14ac:dyDescent="0.35">
      <c r="A222" s="3" t="s">
        <v>488</v>
      </c>
      <c r="B222" s="3" t="s">
        <v>489</v>
      </c>
      <c r="C222" s="3" t="s">
        <v>65</v>
      </c>
      <c r="D222" s="7" t="str">
        <f>HYPERLINK("https://data.bls.gov/projections/nationalMatrix?queryParams=19-4042&amp;ioType=o", "Projections for 19-4042")</f>
        <v>Projections for 19-4042</v>
      </c>
    </row>
    <row r="223" spans="1:4" x14ac:dyDescent="0.35">
      <c r="A223" s="3" t="s">
        <v>490</v>
      </c>
      <c r="B223" s="3" t="s">
        <v>491</v>
      </c>
      <c r="C223" s="3" t="s">
        <v>65</v>
      </c>
      <c r="D223" s="7" t="str">
        <f>HYPERLINK("https://data.bls.gov/projections/nationalMatrix?queryParams=19-4043&amp;ioType=o", "Projections for 19-4043")</f>
        <v>Projections for 19-4043</v>
      </c>
    </row>
    <row r="224" spans="1:4" x14ac:dyDescent="0.35">
      <c r="A224" s="3" t="s">
        <v>492</v>
      </c>
      <c r="B224" s="3" t="s">
        <v>493</v>
      </c>
      <c r="C224" s="3" t="s">
        <v>65</v>
      </c>
      <c r="D224" s="7" t="str">
        <f>HYPERLINK("https://data.bls.gov/projections/nationalMatrix?queryParams=19-4044&amp;ioType=o", "Projections for 19-4044")</f>
        <v>Projections for 19-4044</v>
      </c>
    </row>
    <row r="225" spans="1:4" x14ac:dyDescent="0.35">
      <c r="A225" s="3" t="s">
        <v>494</v>
      </c>
      <c r="B225" s="3" t="s">
        <v>495</v>
      </c>
      <c r="C225" s="3" t="s">
        <v>65</v>
      </c>
      <c r="D225" s="7" t="str">
        <f>HYPERLINK("https://data.bls.gov/projections/nationalMatrix?queryParams=19-4051&amp;ioType=o", "Projections for 19-4051")</f>
        <v>Projections for 19-4051</v>
      </c>
    </row>
    <row r="226" spans="1:4" x14ac:dyDescent="0.35">
      <c r="A226" s="3" t="s">
        <v>496</v>
      </c>
      <c r="B226" s="3" t="s">
        <v>497</v>
      </c>
      <c r="C226" s="3" t="s">
        <v>65</v>
      </c>
      <c r="D226" s="7" t="str">
        <f>HYPERLINK("https://data.bls.gov/projections/nationalMatrix?queryParams=19-4061&amp;ioType=o", "Projections for 19-4061")</f>
        <v>Projections for 19-4061</v>
      </c>
    </row>
    <row r="227" spans="1:4" x14ac:dyDescent="0.35">
      <c r="A227" s="3" t="s">
        <v>498</v>
      </c>
      <c r="B227" s="3" t="s">
        <v>499</v>
      </c>
      <c r="C227" s="3" t="s">
        <v>65</v>
      </c>
      <c r="D227" s="7" t="str">
        <f>HYPERLINK("https://data.bls.gov/projections/nationalMatrix?queryParams=19-4071&amp;ioType=o", "Projections for 19-4071")</f>
        <v>Projections for 19-4071</v>
      </c>
    </row>
    <row r="228" spans="1:4" x14ac:dyDescent="0.35">
      <c r="A228" s="3" t="s">
        <v>500</v>
      </c>
      <c r="B228" s="3" t="s">
        <v>501</v>
      </c>
      <c r="C228" s="3" t="s">
        <v>60</v>
      </c>
      <c r="D228" s="7" t="str">
        <f>HYPERLINK("https://data.bls.gov/projections/nationalMatrix?queryParams=19-4090&amp;ioType=o", "Projections for 19-4090")</f>
        <v>Projections for 19-4090</v>
      </c>
    </row>
    <row r="229" spans="1:4" x14ac:dyDescent="0.35">
      <c r="A229" s="3" t="s">
        <v>502</v>
      </c>
      <c r="B229" s="3" t="s">
        <v>503</v>
      </c>
      <c r="C229" s="3" t="s">
        <v>65</v>
      </c>
      <c r="D229" s="7" t="str">
        <f>HYPERLINK("https://data.bls.gov/projections/nationalMatrix?queryParams=19-4092&amp;ioType=o", "Projections for 19-4092")</f>
        <v>Projections for 19-4092</v>
      </c>
    </row>
    <row r="230" spans="1:4" x14ac:dyDescent="0.35">
      <c r="A230" s="3" t="s">
        <v>504</v>
      </c>
      <c r="B230" s="3" t="s">
        <v>505</v>
      </c>
      <c r="C230" s="3" t="s">
        <v>65</v>
      </c>
      <c r="D230" s="7" t="str">
        <f>HYPERLINK("https://data.bls.gov/projections/nationalMatrix?queryParams=19-4099&amp;ioType=o", "Projections for 19-4099")</f>
        <v>Projections for 19-4099</v>
      </c>
    </row>
    <row r="231" spans="1:4" x14ac:dyDescent="0.35">
      <c r="A231" s="3" t="s">
        <v>506</v>
      </c>
      <c r="B231" s="3" t="s">
        <v>507</v>
      </c>
      <c r="C231" s="3" t="s">
        <v>60</v>
      </c>
      <c r="D231" s="7" t="str">
        <f>HYPERLINK("https://data.bls.gov/projections/nationalMatrix?queryParams=19-5000&amp;ioType=o", "Projections for 19-5000")</f>
        <v>Projections for 19-5000</v>
      </c>
    </row>
    <row r="232" spans="1:4" x14ac:dyDescent="0.35">
      <c r="A232" s="3" t="s">
        <v>508</v>
      </c>
      <c r="B232" s="3" t="s">
        <v>509</v>
      </c>
      <c r="C232" s="3" t="s">
        <v>65</v>
      </c>
      <c r="D232" s="7" t="str">
        <f>HYPERLINK("https://data.bls.gov/projections/nationalMatrix?queryParams=19-5011&amp;ioType=o", "Projections for 19-5011")</f>
        <v>Projections for 19-5011</v>
      </c>
    </row>
    <row r="233" spans="1:4" x14ac:dyDescent="0.35">
      <c r="A233" s="3" t="s">
        <v>510</v>
      </c>
      <c r="B233" s="3" t="s">
        <v>511</v>
      </c>
      <c r="C233" s="3" t="s">
        <v>65</v>
      </c>
      <c r="D233" s="7" t="str">
        <f>HYPERLINK("https://data.bls.gov/projections/nationalMatrix?queryParams=19-5012&amp;ioType=o", "Projections for 19-5012")</f>
        <v>Projections for 19-5012</v>
      </c>
    </row>
    <row r="234" spans="1:4" x14ac:dyDescent="0.35">
      <c r="A234" s="3" t="s">
        <v>18</v>
      </c>
      <c r="B234" s="3" t="s">
        <v>19</v>
      </c>
      <c r="C234" s="3" t="s">
        <v>60</v>
      </c>
      <c r="D234" s="7" t="str">
        <f>HYPERLINK("https://data.bls.gov/projections/nationalMatrix?queryParams=21-0000&amp;ioType=o", "Projections for 21-0000")</f>
        <v>Projections for 21-0000</v>
      </c>
    </row>
    <row r="235" spans="1:4" x14ac:dyDescent="0.35">
      <c r="A235" s="3" t="s">
        <v>512</v>
      </c>
      <c r="B235" s="3" t="s">
        <v>513</v>
      </c>
      <c r="C235" s="3" t="s">
        <v>60</v>
      </c>
      <c r="D235" s="7" t="str">
        <f>HYPERLINK("https://data.bls.gov/projections/nationalMatrix?queryParams=21-1000&amp;ioType=o", "Projections for 21-1000")</f>
        <v>Projections for 21-1000</v>
      </c>
    </row>
    <row r="236" spans="1:4" x14ac:dyDescent="0.35">
      <c r="A236" s="3" t="s">
        <v>514</v>
      </c>
      <c r="B236" s="3" t="s">
        <v>515</v>
      </c>
      <c r="C236" s="3" t="s">
        <v>60</v>
      </c>
      <c r="D236" s="7" t="str">
        <f>HYPERLINK("https://data.bls.gov/projections/nationalMatrix?queryParams=21-1010&amp;ioType=o", "Projections for 21-1010")</f>
        <v>Projections for 21-1010</v>
      </c>
    </row>
    <row r="237" spans="1:4" x14ac:dyDescent="0.35">
      <c r="A237" s="3" t="s">
        <v>516</v>
      </c>
      <c r="B237" s="3" t="s">
        <v>517</v>
      </c>
      <c r="C237" s="3" t="s">
        <v>65</v>
      </c>
      <c r="D237" s="7" t="str">
        <f>HYPERLINK("https://data.bls.gov/projections/nationalMatrix?queryParams=21-1012&amp;ioType=o", "Projections for 21-1012")</f>
        <v>Projections for 21-1012</v>
      </c>
    </row>
    <row r="238" spans="1:4" x14ac:dyDescent="0.35">
      <c r="A238" s="3" t="s">
        <v>518</v>
      </c>
      <c r="B238" s="3" t="s">
        <v>519</v>
      </c>
      <c r="C238" s="3" t="s">
        <v>65</v>
      </c>
      <c r="D238" s="7" t="str">
        <f>HYPERLINK("https://data.bls.gov/projections/nationalMatrix?queryParams=21-1013&amp;ioType=o", "Projections for 21-1013")</f>
        <v>Projections for 21-1013</v>
      </c>
    </row>
    <row r="239" spans="1:4" x14ac:dyDescent="0.35">
      <c r="A239" s="3" t="s">
        <v>520</v>
      </c>
      <c r="B239" s="3" t="s">
        <v>521</v>
      </c>
      <c r="C239" s="3" t="s">
        <v>65</v>
      </c>
      <c r="D239" s="7" t="str">
        <f>HYPERLINK("https://data.bls.gov/projections/nationalMatrix?queryParams=21-1015&amp;ioType=o", "Projections for 21-1015")</f>
        <v>Projections for 21-1015</v>
      </c>
    </row>
    <row r="240" spans="1:4" x14ac:dyDescent="0.35">
      <c r="A240" s="3" t="s">
        <v>522</v>
      </c>
      <c r="B240" s="3" t="s">
        <v>523</v>
      </c>
      <c r="C240" s="3" t="s">
        <v>65</v>
      </c>
      <c r="D240" s="7" t="str">
        <f>HYPERLINK("https://data.bls.gov/projections/nationalMatrix?queryParams=21-1018&amp;ioType=o", "Projections for 21-1018")</f>
        <v>Projections for 21-1018</v>
      </c>
    </row>
    <row r="241" spans="1:4" x14ac:dyDescent="0.35">
      <c r="A241" s="3" t="s">
        <v>524</v>
      </c>
      <c r="B241" s="3" t="s">
        <v>525</v>
      </c>
      <c r="C241" s="3" t="s">
        <v>65</v>
      </c>
      <c r="D241" s="7" t="str">
        <f>HYPERLINK("https://data.bls.gov/projections/nationalMatrix?queryParams=21-1019&amp;ioType=o", "Projections for 21-1019")</f>
        <v>Projections for 21-1019</v>
      </c>
    </row>
    <row r="242" spans="1:4" x14ac:dyDescent="0.35">
      <c r="A242" s="3" t="s">
        <v>526</v>
      </c>
      <c r="B242" s="3" t="s">
        <v>527</v>
      </c>
      <c r="C242" s="3" t="s">
        <v>60</v>
      </c>
      <c r="D242" s="7" t="str">
        <f>HYPERLINK("https://data.bls.gov/projections/nationalMatrix?queryParams=21-1020&amp;ioType=o", "Projections for 21-1020")</f>
        <v>Projections for 21-1020</v>
      </c>
    </row>
    <row r="243" spans="1:4" x14ac:dyDescent="0.35">
      <c r="A243" s="3" t="s">
        <v>528</v>
      </c>
      <c r="B243" s="3" t="s">
        <v>529</v>
      </c>
      <c r="C243" s="3" t="s">
        <v>65</v>
      </c>
      <c r="D243" s="7" t="str">
        <f>HYPERLINK("https://data.bls.gov/projections/nationalMatrix?queryParams=21-1021&amp;ioType=o", "Projections for 21-1021")</f>
        <v>Projections for 21-1021</v>
      </c>
    </row>
    <row r="244" spans="1:4" x14ac:dyDescent="0.35">
      <c r="A244" s="3" t="s">
        <v>530</v>
      </c>
      <c r="B244" s="3" t="s">
        <v>531</v>
      </c>
      <c r="C244" s="3" t="s">
        <v>65</v>
      </c>
      <c r="D244" s="7" t="str">
        <f>HYPERLINK("https://data.bls.gov/projections/nationalMatrix?queryParams=21-1022&amp;ioType=o", "Projections for 21-1022")</f>
        <v>Projections for 21-1022</v>
      </c>
    </row>
    <row r="245" spans="1:4" x14ac:dyDescent="0.35">
      <c r="A245" s="3" t="s">
        <v>532</v>
      </c>
      <c r="B245" s="3" t="s">
        <v>533</v>
      </c>
      <c r="C245" s="3" t="s">
        <v>65</v>
      </c>
      <c r="D245" s="7" t="str">
        <f>HYPERLINK("https://data.bls.gov/projections/nationalMatrix?queryParams=21-1023&amp;ioType=o", "Projections for 21-1023")</f>
        <v>Projections for 21-1023</v>
      </c>
    </row>
    <row r="246" spans="1:4" x14ac:dyDescent="0.35">
      <c r="A246" s="3" t="s">
        <v>534</v>
      </c>
      <c r="B246" s="3" t="s">
        <v>535</v>
      </c>
      <c r="C246" s="3" t="s">
        <v>65</v>
      </c>
      <c r="D246" s="7" t="str">
        <f>HYPERLINK("https://data.bls.gov/projections/nationalMatrix?queryParams=21-1029&amp;ioType=o", "Projections for 21-1029")</f>
        <v>Projections for 21-1029</v>
      </c>
    </row>
    <row r="247" spans="1:4" x14ac:dyDescent="0.35">
      <c r="A247" s="3" t="s">
        <v>536</v>
      </c>
      <c r="B247" s="3" t="s">
        <v>537</v>
      </c>
      <c r="C247" s="3" t="s">
        <v>60</v>
      </c>
      <c r="D247" s="7" t="str">
        <f>HYPERLINK("https://data.bls.gov/projections/nationalMatrix?queryParams=21-1090&amp;ioType=o", "Projections for 21-1090")</f>
        <v>Projections for 21-1090</v>
      </c>
    </row>
    <row r="248" spans="1:4" x14ac:dyDescent="0.35">
      <c r="A248" s="3" t="s">
        <v>538</v>
      </c>
      <c r="B248" s="3" t="s">
        <v>539</v>
      </c>
      <c r="C248" s="3" t="s">
        <v>65</v>
      </c>
      <c r="D248" s="7" t="str">
        <f>HYPERLINK("https://data.bls.gov/projections/nationalMatrix?queryParams=21-1091&amp;ioType=o", "Projections for 21-1091")</f>
        <v>Projections for 21-1091</v>
      </c>
    </row>
    <row r="249" spans="1:4" x14ac:dyDescent="0.35">
      <c r="A249" s="3" t="s">
        <v>540</v>
      </c>
      <c r="B249" s="3" t="s">
        <v>541</v>
      </c>
      <c r="C249" s="3" t="s">
        <v>65</v>
      </c>
      <c r="D249" s="7" t="str">
        <f>HYPERLINK("https://data.bls.gov/projections/nationalMatrix?queryParams=21-1092&amp;ioType=o", "Projections for 21-1092")</f>
        <v>Projections for 21-1092</v>
      </c>
    </row>
    <row r="250" spans="1:4" x14ac:dyDescent="0.35">
      <c r="A250" s="3" t="s">
        <v>542</v>
      </c>
      <c r="B250" s="3" t="s">
        <v>543</v>
      </c>
      <c r="C250" s="3" t="s">
        <v>65</v>
      </c>
      <c r="D250" s="7" t="str">
        <f>HYPERLINK("https://data.bls.gov/projections/nationalMatrix?queryParams=21-1093&amp;ioType=o", "Projections for 21-1093")</f>
        <v>Projections for 21-1093</v>
      </c>
    </row>
    <row r="251" spans="1:4" x14ac:dyDescent="0.35">
      <c r="A251" s="3" t="s">
        <v>544</v>
      </c>
      <c r="B251" s="3" t="s">
        <v>545</v>
      </c>
      <c r="C251" s="3" t="s">
        <v>65</v>
      </c>
      <c r="D251" s="7" t="str">
        <f>HYPERLINK("https://data.bls.gov/projections/nationalMatrix?queryParams=21-1094&amp;ioType=o", "Projections for 21-1094")</f>
        <v>Projections for 21-1094</v>
      </c>
    </row>
    <row r="252" spans="1:4" x14ac:dyDescent="0.35">
      <c r="A252" s="3" t="s">
        <v>546</v>
      </c>
      <c r="B252" s="3" t="s">
        <v>547</v>
      </c>
      <c r="C252" s="3" t="s">
        <v>65</v>
      </c>
      <c r="D252" s="7" t="str">
        <f>HYPERLINK("https://data.bls.gov/projections/nationalMatrix?queryParams=21-1099&amp;ioType=o", "Projections for 21-1099")</f>
        <v>Projections for 21-1099</v>
      </c>
    </row>
    <row r="253" spans="1:4" x14ac:dyDescent="0.35">
      <c r="A253" s="3" t="s">
        <v>548</v>
      </c>
      <c r="B253" s="3" t="s">
        <v>549</v>
      </c>
      <c r="C253" s="3" t="s">
        <v>60</v>
      </c>
      <c r="D253" s="7" t="str">
        <f>HYPERLINK("https://data.bls.gov/projections/nationalMatrix?queryParams=21-2000&amp;ioType=o", "Projections for 21-2000")</f>
        <v>Projections for 21-2000</v>
      </c>
    </row>
    <row r="254" spans="1:4" x14ac:dyDescent="0.35">
      <c r="A254" s="3" t="s">
        <v>550</v>
      </c>
      <c r="B254" s="3" t="s">
        <v>551</v>
      </c>
      <c r="C254" s="3" t="s">
        <v>65</v>
      </c>
      <c r="D254" s="7" t="str">
        <f>HYPERLINK("https://data.bls.gov/projections/nationalMatrix?queryParams=21-2011&amp;ioType=o", "Projections for 21-2011")</f>
        <v>Projections for 21-2011</v>
      </c>
    </row>
    <row r="255" spans="1:4" x14ac:dyDescent="0.35">
      <c r="A255" s="3" t="s">
        <v>552</v>
      </c>
      <c r="B255" s="3" t="s">
        <v>553</v>
      </c>
      <c r="C255" s="3" t="s">
        <v>65</v>
      </c>
      <c r="D255" s="7" t="str">
        <f>HYPERLINK("https://data.bls.gov/projections/nationalMatrix?queryParams=21-2021&amp;ioType=o", "Projections for 21-2021")</f>
        <v>Projections for 21-2021</v>
      </c>
    </row>
    <row r="256" spans="1:4" x14ac:dyDescent="0.35">
      <c r="A256" s="3" t="s">
        <v>554</v>
      </c>
      <c r="B256" s="3" t="s">
        <v>555</v>
      </c>
      <c r="C256" s="3" t="s">
        <v>65</v>
      </c>
      <c r="D256" s="7" t="str">
        <f>HYPERLINK("https://data.bls.gov/projections/nationalMatrix?queryParams=21-2099&amp;ioType=o", "Projections for 21-2099")</f>
        <v>Projections for 21-2099</v>
      </c>
    </row>
    <row r="257" spans="1:4" x14ac:dyDescent="0.35">
      <c r="A257" s="3" t="s">
        <v>20</v>
      </c>
      <c r="B257" s="3" t="s">
        <v>21</v>
      </c>
      <c r="C257" s="3" t="s">
        <v>60</v>
      </c>
      <c r="D257" s="7" t="str">
        <f>HYPERLINK("https://data.bls.gov/projections/nationalMatrix?queryParams=23-0000&amp;ioType=o", "Projections for 23-0000")</f>
        <v>Projections for 23-0000</v>
      </c>
    </row>
    <row r="258" spans="1:4" x14ac:dyDescent="0.35">
      <c r="A258" s="3" t="s">
        <v>556</v>
      </c>
      <c r="B258" s="3" t="s">
        <v>557</v>
      </c>
      <c r="C258" s="3" t="s">
        <v>60</v>
      </c>
      <c r="D258" s="7" t="str">
        <f>HYPERLINK("https://data.bls.gov/projections/nationalMatrix?queryParams=23-1000&amp;ioType=o", "Projections for 23-1000")</f>
        <v>Projections for 23-1000</v>
      </c>
    </row>
    <row r="259" spans="1:4" x14ac:dyDescent="0.35">
      <c r="A259" s="3" t="s">
        <v>558</v>
      </c>
      <c r="B259" s="3" t="s">
        <v>559</v>
      </c>
      <c r="C259" s="3" t="s">
        <v>60</v>
      </c>
      <c r="D259" s="7" t="str">
        <f>HYPERLINK("https://data.bls.gov/projections/nationalMatrix?queryParams=23-1010&amp;ioType=o", "Projections for 23-1010")</f>
        <v>Projections for 23-1010</v>
      </c>
    </row>
    <row r="260" spans="1:4" x14ac:dyDescent="0.35">
      <c r="A260" s="3" t="s">
        <v>560</v>
      </c>
      <c r="B260" s="3" t="s">
        <v>561</v>
      </c>
      <c r="C260" s="3" t="s">
        <v>65</v>
      </c>
      <c r="D260" s="7" t="str">
        <f>HYPERLINK("https://data.bls.gov/projections/nationalMatrix?queryParams=23-1011&amp;ioType=o", "Projections for 23-1011")</f>
        <v>Projections for 23-1011</v>
      </c>
    </row>
    <row r="261" spans="1:4" x14ac:dyDescent="0.35">
      <c r="A261" s="3" t="s">
        <v>562</v>
      </c>
      <c r="B261" s="3" t="s">
        <v>563</v>
      </c>
      <c r="C261" s="3" t="s">
        <v>65</v>
      </c>
      <c r="D261" s="7" t="str">
        <f>HYPERLINK("https://data.bls.gov/projections/nationalMatrix?queryParams=23-1012&amp;ioType=o", "Projections for 23-1012")</f>
        <v>Projections for 23-1012</v>
      </c>
    </row>
    <row r="262" spans="1:4" x14ac:dyDescent="0.35">
      <c r="A262" s="3" t="s">
        <v>564</v>
      </c>
      <c r="B262" s="3" t="s">
        <v>565</v>
      </c>
      <c r="C262" s="3" t="s">
        <v>60</v>
      </c>
      <c r="D262" s="7" t="str">
        <f>HYPERLINK("https://data.bls.gov/projections/nationalMatrix?queryParams=23-1020&amp;ioType=o", "Projections for 23-1020")</f>
        <v>Projections for 23-1020</v>
      </c>
    </row>
    <row r="263" spans="1:4" x14ac:dyDescent="0.35">
      <c r="A263" s="3" t="s">
        <v>566</v>
      </c>
      <c r="B263" s="3" t="s">
        <v>567</v>
      </c>
      <c r="C263" s="3" t="s">
        <v>65</v>
      </c>
      <c r="D263" s="7" t="str">
        <f>HYPERLINK("https://data.bls.gov/projections/nationalMatrix?queryParams=23-1021&amp;ioType=o", "Projections for 23-1021")</f>
        <v>Projections for 23-1021</v>
      </c>
    </row>
    <row r="264" spans="1:4" x14ac:dyDescent="0.35">
      <c r="A264" s="3" t="s">
        <v>568</v>
      </c>
      <c r="B264" s="3" t="s">
        <v>569</v>
      </c>
      <c r="C264" s="3" t="s">
        <v>65</v>
      </c>
      <c r="D264" s="7" t="str">
        <f>HYPERLINK("https://data.bls.gov/projections/nationalMatrix?queryParams=23-1022&amp;ioType=o", "Projections for 23-1022")</f>
        <v>Projections for 23-1022</v>
      </c>
    </row>
    <row r="265" spans="1:4" x14ac:dyDescent="0.35">
      <c r="A265" s="3" t="s">
        <v>570</v>
      </c>
      <c r="B265" s="3" t="s">
        <v>571</v>
      </c>
      <c r="C265" s="3" t="s">
        <v>65</v>
      </c>
      <c r="D265" s="7" t="str">
        <f>HYPERLINK("https://data.bls.gov/projections/nationalMatrix?queryParams=23-1023&amp;ioType=o", "Projections for 23-1023")</f>
        <v>Projections for 23-1023</v>
      </c>
    </row>
    <row r="266" spans="1:4" x14ac:dyDescent="0.35">
      <c r="A266" s="3" t="s">
        <v>572</v>
      </c>
      <c r="B266" s="3" t="s">
        <v>573</v>
      </c>
      <c r="C266" s="3" t="s">
        <v>60</v>
      </c>
      <c r="D266" s="7" t="str">
        <f>HYPERLINK("https://data.bls.gov/projections/nationalMatrix?queryParams=23-2000&amp;ioType=o", "Projections for 23-2000")</f>
        <v>Projections for 23-2000</v>
      </c>
    </row>
    <row r="267" spans="1:4" x14ac:dyDescent="0.35">
      <c r="A267" s="3" t="s">
        <v>574</v>
      </c>
      <c r="B267" s="3" t="s">
        <v>575</v>
      </c>
      <c r="C267" s="3" t="s">
        <v>65</v>
      </c>
      <c r="D267" s="7" t="str">
        <f>HYPERLINK("https://data.bls.gov/projections/nationalMatrix?queryParams=23-2011&amp;ioType=o", "Projections for 23-2011")</f>
        <v>Projections for 23-2011</v>
      </c>
    </row>
    <row r="268" spans="1:4" x14ac:dyDescent="0.35">
      <c r="A268" s="3" t="s">
        <v>576</v>
      </c>
      <c r="B268" s="3" t="s">
        <v>577</v>
      </c>
      <c r="C268" s="3" t="s">
        <v>60</v>
      </c>
      <c r="D268" s="7" t="str">
        <f>HYPERLINK("https://data.bls.gov/projections/nationalMatrix?queryParams=23-2090&amp;ioType=o", "Projections for 23-2090")</f>
        <v>Projections for 23-2090</v>
      </c>
    </row>
    <row r="269" spans="1:4" x14ac:dyDescent="0.35">
      <c r="A269" s="3" t="s">
        <v>578</v>
      </c>
      <c r="B269" s="3" t="s">
        <v>579</v>
      </c>
      <c r="C269" s="3" t="s">
        <v>65</v>
      </c>
      <c r="D269" s="7" t="str">
        <f>HYPERLINK("https://data.bls.gov/projections/nationalMatrix?queryParams=23-2093&amp;ioType=o", "Projections for 23-2093")</f>
        <v>Projections for 23-2093</v>
      </c>
    </row>
    <row r="270" spans="1:4" x14ac:dyDescent="0.35">
      <c r="A270" s="3" t="s">
        <v>580</v>
      </c>
      <c r="B270" s="3" t="s">
        <v>581</v>
      </c>
      <c r="C270" s="3" t="s">
        <v>65</v>
      </c>
      <c r="D270" s="7" t="str">
        <f>HYPERLINK("https://data.bls.gov/projections/nationalMatrix?queryParams=23-2099&amp;ioType=o", "Projections for 23-2099")</f>
        <v>Projections for 23-2099</v>
      </c>
    </row>
    <row r="271" spans="1:4" x14ac:dyDescent="0.35">
      <c r="A271" s="3" t="s">
        <v>22</v>
      </c>
      <c r="B271" s="3" t="s">
        <v>23</v>
      </c>
      <c r="C271" s="3" t="s">
        <v>60</v>
      </c>
      <c r="D271" s="7" t="str">
        <f>HYPERLINK("https://data.bls.gov/projections/nationalMatrix?queryParams=25-0000&amp;ioType=o", "Projections for 25-0000")</f>
        <v>Projections for 25-0000</v>
      </c>
    </row>
    <row r="272" spans="1:4" x14ac:dyDescent="0.35">
      <c r="A272" s="3" t="s">
        <v>582</v>
      </c>
      <c r="B272" s="3" t="s">
        <v>583</v>
      </c>
      <c r="C272" s="3" t="s">
        <v>60</v>
      </c>
      <c r="D272" s="7" t="str">
        <f>HYPERLINK("https://data.bls.gov/projections/nationalMatrix?queryParams=25-1000&amp;ioType=o", "Projections for 25-1000")</f>
        <v>Projections for 25-1000</v>
      </c>
    </row>
    <row r="273" spans="1:4" x14ac:dyDescent="0.35">
      <c r="A273" s="3" t="s">
        <v>584</v>
      </c>
      <c r="B273" s="3" t="s">
        <v>585</v>
      </c>
      <c r="C273" s="3" t="s">
        <v>65</v>
      </c>
      <c r="D273" s="7" t="str">
        <f>HYPERLINK("https://data.bls.gov/projections/nationalMatrix?queryParams=25-1011&amp;ioType=o", "Projections for 25-1011")</f>
        <v>Projections for 25-1011</v>
      </c>
    </row>
    <row r="274" spans="1:4" x14ac:dyDescent="0.35">
      <c r="A274" s="3" t="s">
        <v>586</v>
      </c>
      <c r="B274" s="3" t="s">
        <v>587</v>
      </c>
      <c r="C274" s="3" t="s">
        <v>60</v>
      </c>
      <c r="D274" s="7" t="str">
        <f>HYPERLINK("https://data.bls.gov/projections/nationalMatrix?queryParams=25-1020&amp;ioType=o", "Projections for 25-1020")</f>
        <v>Projections for 25-1020</v>
      </c>
    </row>
    <row r="275" spans="1:4" x14ac:dyDescent="0.35">
      <c r="A275" s="3" t="s">
        <v>588</v>
      </c>
      <c r="B275" s="3" t="s">
        <v>589</v>
      </c>
      <c r="C275" s="3" t="s">
        <v>65</v>
      </c>
      <c r="D275" s="7" t="str">
        <f>HYPERLINK("https://data.bls.gov/projections/nationalMatrix?queryParams=25-1021&amp;ioType=o", "Projections for 25-1021")</f>
        <v>Projections for 25-1021</v>
      </c>
    </row>
    <row r="276" spans="1:4" x14ac:dyDescent="0.35">
      <c r="A276" s="3" t="s">
        <v>590</v>
      </c>
      <c r="B276" s="3" t="s">
        <v>591</v>
      </c>
      <c r="C276" s="3" t="s">
        <v>65</v>
      </c>
      <c r="D276" s="7" t="str">
        <f>HYPERLINK("https://data.bls.gov/projections/nationalMatrix?queryParams=25-1022&amp;ioType=o", "Projections for 25-1022")</f>
        <v>Projections for 25-1022</v>
      </c>
    </row>
    <row r="277" spans="1:4" x14ac:dyDescent="0.35">
      <c r="A277" s="3" t="s">
        <v>592</v>
      </c>
      <c r="B277" s="3" t="s">
        <v>593</v>
      </c>
      <c r="C277" s="3" t="s">
        <v>60</v>
      </c>
      <c r="D277" s="7" t="str">
        <f>HYPERLINK("https://data.bls.gov/projections/nationalMatrix?queryParams=25-1030&amp;ioType=o", "Projections for 25-1030")</f>
        <v>Projections for 25-1030</v>
      </c>
    </row>
    <row r="278" spans="1:4" x14ac:dyDescent="0.35">
      <c r="A278" s="3" t="s">
        <v>594</v>
      </c>
      <c r="B278" s="3" t="s">
        <v>595</v>
      </c>
      <c r="C278" s="3" t="s">
        <v>65</v>
      </c>
      <c r="D278" s="7" t="str">
        <f>HYPERLINK("https://data.bls.gov/projections/nationalMatrix?queryParams=25-1031&amp;ioType=o", "Projections for 25-1031")</f>
        <v>Projections for 25-1031</v>
      </c>
    </row>
    <row r="279" spans="1:4" x14ac:dyDescent="0.35">
      <c r="A279" s="3" t="s">
        <v>596</v>
      </c>
      <c r="B279" s="3" t="s">
        <v>597</v>
      </c>
      <c r="C279" s="3" t="s">
        <v>65</v>
      </c>
      <c r="D279" s="7" t="str">
        <f>HYPERLINK("https://data.bls.gov/projections/nationalMatrix?queryParams=25-1032&amp;ioType=o", "Projections for 25-1032")</f>
        <v>Projections for 25-1032</v>
      </c>
    </row>
    <row r="280" spans="1:4" x14ac:dyDescent="0.35">
      <c r="A280" s="3" t="s">
        <v>598</v>
      </c>
      <c r="B280" s="3" t="s">
        <v>599</v>
      </c>
      <c r="C280" s="3" t="s">
        <v>60</v>
      </c>
      <c r="D280" s="7" t="str">
        <f>HYPERLINK("https://data.bls.gov/projections/nationalMatrix?queryParams=25-1040&amp;ioType=o", "Projections for 25-1040")</f>
        <v>Projections for 25-1040</v>
      </c>
    </row>
    <row r="281" spans="1:4" x14ac:dyDescent="0.35">
      <c r="A281" s="3" t="s">
        <v>600</v>
      </c>
      <c r="B281" s="3" t="s">
        <v>601</v>
      </c>
      <c r="C281" s="3" t="s">
        <v>65</v>
      </c>
      <c r="D281" s="7" t="str">
        <f>HYPERLINK("https://data.bls.gov/projections/nationalMatrix?queryParams=25-1041&amp;ioType=o", "Projections for 25-1041")</f>
        <v>Projections for 25-1041</v>
      </c>
    </row>
    <row r="282" spans="1:4" x14ac:dyDescent="0.35">
      <c r="A282" s="3" t="s">
        <v>602</v>
      </c>
      <c r="B282" s="3" t="s">
        <v>603</v>
      </c>
      <c r="C282" s="3" t="s">
        <v>65</v>
      </c>
      <c r="D282" s="7" t="str">
        <f>HYPERLINK("https://data.bls.gov/projections/nationalMatrix?queryParams=25-1042&amp;ioType=o", "Projections for 25-1042")</f>
        <v>Projections for 25-1042</v>
      </c>
    </row>
    <row r="283" spans="1:4" x14ac:dyDescent="0.35">
      <c r="A283" s="3" t="s">
        <v>604</v>
      </c>
      <c r="B283" s="3" t="s">
        <v>605</v>
      </c>
      <c r="C283" s="3" t="s">
        <v>65</v>
      </c>
      <c r="D283" s="7" t="str">
        <f>HYPERLINK("https://data.bls.gov/projections/nationalMatrix?queryParams=25-1043&amp;ioType=o", "Projections for 25-1043")</f>
        <v>Projections for 25-1043</v>
      </c>
    </row>
    <row r="284" spans="1:4" x14ac:dyDescent="0.35">
      <c r="A284" s="3" t="s">
        <v>606</v>
      </c>
      <c r="B284" s="3" t="s">
        <v>607</v>
      </c>
      <c r="C284" s="3" t="s">
        <v>60</v>
      </c>
      <c r="D284" s="7" t="str">
        <f>HYPERLINK("https://data.bls.gov/projections/nationalMatrix?queryParams=25-1050&amp;ioType=o", "Projections for 25-1050")</f>
        <v>Projections for 25-1050</v>
      </c>
    </row>
    <row r="285" spans="1:4" x14ac:dyDescent="0.35">
      <c r="A285" s="3" t="s">
        <v>608</v>
      </c>
      <c r="B285" s="3" t="s">
        <v>609</v>
      </c>
      <c r="C285" s="3" t="s">
        <v>65</v>
      </c>
      <c r="D285" s="7" t="str">
        <f>HYPERLINK("https://data.bls.gov/projections/nationalMatrix?queryParams=25-1051&amp;ioType=o", "Projections for 25-1051")</f>
        <v>Projections for 25-1051</v>
      </c>
    </row>
    <row r="286" spans="1:4" x14ac:dyDescent="0.35">
      <c r="A286" s="3" t="s">
        <v>610</v>
      </c>
      <c r="B286" s="3" t="s">
        <v>611</v>
      </c>
      <c r="C286" s="3" t="s">
        <v>65</v>
      </c>
      <c r="D286" s="7" t="str">
        <f>HYPERLINK("https://data.bls.gov/projections/nationalMatrix?queryParams=25-1052&amp;ioType=o", "Projections for 25-1052")</f>
        <v>Projections for 25-1052</v>
      </c>
    </row>
    <row r="287" spans="1:4" x14ac:dyDescent="0.35">
      <c r="A287" s="3" t="s">
        <v>612</v>
      </c>
      <c r="B287" s="3" t="s">
        <v>613</v>
      </c>
      <c r="C287" s="3" t="s">
        <v>65</v>
      </c>
      <c r="D287" s="7" t="str">
        <f>HYPERLINK("https://data.bls.gov/projections/nationalMatrix?queryParams=25-1053&amp;ioType=o", "Projections for 25-1053")</f>
        <v>Projections for 25-1053</v>
      </c>
    </row>
    <row r="288" spans="1:4" x14ac:dyDescent="0.35">
      <c r="A288" s="3" t="s">
        <v>614</v>
      </c>
      <c r="B288" s="3" t="s">
        <v>615</v>
      </c>
      <c r="C288" s="3" t="s">
        <v>65</v>
      </c>
      <c r="D288" s="7" t="str">
        <f>HYPERLINK("https://data.bls.gov/projections/nationalMatrix?queryParams=25-1054&amp;ioType=o", "Projections for 25-1054")</f>
        <v>Projections for 25-1054</v>
      </c>
    </row>
    <row r="289" spans="1:4" x14ac:dyDescent="0.35">
      <c r="A289" s="3" t="s">
        <v>616</v>
      </c>
      <c r="B289" s="3" t="s">
        <v>617</v>
      </c>
      <c r="C289" s="3" t="s">
        <v>60</v>
      </c>
      <c r="D289" s="7" t="str">
        <f>HYPERLINK("https://data.bls.gov/projections/nationalMatrix?queryParams=25-1060&amp;ioType=o", "Projections for 25-1060")</f>
        <v>Projections for 25-1060</v>
      </c>
    </row>
    <row r="290" spans="1:4" x14ac:dyDescent="0.35">
      <c r="A290" s="3" t="s">
        <v>618</v>
      </c>
      <c r="B290" s="3" t="s">
        <v>619</v>
      </c>
      <c r="C290" s="3" t="s">
        <v>65</v>
      </c>
      <c r="D290" s="7" t="str">
        <f>HYPERLINK("https://data.bls.gov/projections/nationalMatrix?queryParams=25-1061&amp;ioType=o", "Projections for 25-1061")</f>
        <v>Projections for 25-1061</v>
      </c>
    </row>
    <row r="291" spans="1:4" x14ac:dyDescent="0.35">
      <c r="A291" s="3" t="s">
        <v>620</v>
      </c>
      <c r="B291" s="3" t="s">
        <v>621</v>
      </c>
      <c r="C291" s="3" t="s">
        <v>65</v>
      </c>
      <c r="D291" s="7" t="str">
        <f>HYPERLINK("https://data.bls.gov/projections/nationalMatrix?queryParams=25-1062&amp;ioType=o", "Projections for 25-1062")</f>
        <v>Projections for 25-1062</v>
      </c>
    </row>
    <row r="292" spans="1:4" x14ac:dyDescent="0.35">
      <c r="A292" s="3" t="s">
        <v>622</v>
      </c>
      <c r="B292" s="3" t="s">
        <v>623</v>
      </c>
      <c r="C292" s="3" t="s">
        <v>65</v>
      </c>
      <c r="D292" s="7" t="str">
        <f>HYPERLINK("https://data.bls.gov/projections/nationalMatrix?queryParams=25-1063&amp;ioType=o", "Projections for 25-1063")</f>
        <v>Projections for 25-1063</v>
      </c>
    </row>
    <row r="293" spans="1:4" x14ac:dyDescent="0.35">
      <c r="A293" s="3" t="s">
        <v>624</v>
      </c>
      <c r="B293" s="3" t="s">
        <v>625</v>
      </c>
      <c r="C293" s="3" t="s">
        <v>65</v>
      </c>
      <c r="D293" s="7" t="str">
        <f>HYPERLINK("https://data.bls.gov/projections/nationalMatrix?queryParams=25-1064&amp;ioType=o", "Projections for 25-1064")</f>
        <v>Projections for 25-1064</v>
      </c>
    </row>
    <row r="294" spans="1:4" x14ac:dyDescent="0.35">
      <c r="A294" s="3" t="s">
        <v>626</v>
      </c>
      <c r="B294" s="3" t="s">
        <v>627</v>
      </c>
      <c r="C294" s="3" t="s">
        <v>65</v>
      </c>
      <c r="D294" s="7" t="str">
        <f>HYPERLINK("https://data.bls.gov/projections/nationalMatrix?queryParams=25-1065&amp;ioType=o", "Projections for 25-1065")</f>
        <v>Projections for 25-1065</v>
      </c>
    </row>
    <row r="295" spans="1:4" x14ac:dyDescent="0.35">
      <c r="A295" s="3" t="s">
        <v>628</v>
      </c>
      <c r="B295" s="3" t="s">
        <v>629</v>
      </c>
      <c r="C295" s="3" t="s">
        <v>65</v>
      </c>
      <c r="D295" s="7" t="str">
        <f>HYPERLINK("https://data.bls.gov/projections/nationalMatrix?queryParams=25-1066&amp;ioType=o", "Projections for 25-1066")</f>
        <v>Projections for 25-1066</v>
      </c>
    </row>
    <row r="296" spans="1:4" x14ac:dyDescent="0.35">
      <c r="A296" s="3" t="s">
        <v>630</v>
      </c>
      <c r="B296" s="3" t="s">
        <v>631</v>
      </c>
      <c r="C296" s="3" t="s">
        <v>65</v>
      </c>
      <c r="D296" s="7" t="str">
        <f>HYPERLINK("https://data.bls.gov/projections/nationalMatrix?queryParams=25-1067&amp;ioType=o", "Projections for 25-1067")</f>
        <v>Projections for 25-1067</v>
      </c>
    </row>
    <row r="297" spans="1:4" x14ac:dyDescent="0.35">
      <c r="A297" s="3" t="s">
        <v>632</v>
      </c>
      <c r="B297" s="3" t="s">
        <v>633</v>
      </c>
      <c r="C297" s="3" t="s">
        <v>65</v>
      </c>
      <c r="D297" s="7" t="str">
        <f>HYPERLINK("https://data.bls.gov/projections/nationalMatrix?queryParams=25-1069&amp;ioType=o", "Projections for 25-1069")</f>
        <v>Projections for 25-1069</v>
      </c>
    </row>
    <row r="298" spans="1:4" x14ac:dyDescent="0.35">
      <c r="A298" s="3" t="s">
        <v>634</v>
      </c>
      <c r="B298" s="3" t="s">
        <v>635</v>
      </c>
      <c r="C298" s="3" t="s">
        <v>60</v>
      </c>
      <c r="D298" s="7" t="str">
        <f>HYPERLINK("https://data.bls.gov/projections/nationalMatrix?queryParams=25-1070&amp;ioType=o", "Projections for 25-1070")</f>
        <v>Projections for 25-1070</v>
      </c>
    </row>
    <row r="299" spans="1:4" x14ac:dyDescent="0.35">
      <c r="A299" s="3" t="s">
        <v>636</v>
      </c>
      <c r="B299" s="3" t="s">
        <v>637</v>
      </c>
      <c r="C299" s="3" t="s">
        <v>65</v>
      </c>
      <c r="D299" s="7" t="str">
        <f>HYPERLINK("https://data.bls.gov/projections/nationalMatrix?queryParams=25-1071&amp;ioType=o", "Projections for 25-1071")</f>
        <v>Projections for 25-1071</v>
      </c>
    </row>
    <row r="300" spans="1:4" x14ac:dyDescent="0.35">
      <c r="A300" s="3" t="s">
        <v>638</v>
      </c>
      <c r="B300" s="3" t="s">
        <v>639</v>
      </c>
      <c r="C300" s="3" t="s">
        <v>65</v>
      </c>
      <c r="D300" s="7" t="str">
        <f>HYPERLINK("https://data.bls.gov/projections/nationalMatrix?queryParams=25-1072&amp;ioType=o", "Projections for 25-1072")</f>
        <v>Projections for 25-1072</v>
      </c>
    </row>
    <row r="301" spans="1:4" x14ac:dyDescent="0.35">
      <c r="A301" s="3" t="s">
        <v>640</v>
      </c>
      <c r="B301" s="3" t="s">
        <v>641</v>
      </c>
      <c r="C301" s="3" t="s">
        <v>60</v>
      </c>
      <c r="D301" s="7" t="str">
        <f>HYPERLINK("https://data.bls.gov/projections/nationalMatrix?queryParams=25-1080&amp;ioType=o", "Projections for 25-1080")</f>
        <v>Projections for 25-1080</v>
      </c>
    </row>
    <row r="302" spans="1:4" x14ac:dyDescent="0.35">
      <c r="A302" s="3" t="s">
        <v>642</v>
      </c>
      <c r="B302" s="3" t="s">
        <v>643</v>
      </c>
      <c r="C302" s="3" t="s">
        <v>65</v>
      </c>
      <c r="D302" s="7" t="str">
        <f>HYPERLINK("https://data.bls.gov/projections/nationalMatrix?queryParams=25-1081&amp;ioType=o", "Projections for 25-1081")</f>
        <v>Projections for 25-1081</v>
      </c>
    </row>
    <row r="303" spans="1:4" x14ac:dyDescent="0.35">
      <c r="A303" s="3" t="s">
        <v>644</v>
      </c>
      <c r="B303" s="3" t="s">
        <v>645</v>
      </c>
      <c r="C303" s="3" t="s">
        <v>65</v>
      </c>
      <c r="D303" s="7" t="str">
        <f>HYPERLINK("https://data.bls.gov/projections/nationalMatrix?queryParams=25-1082&amp;ioType=o", "Projections for 25-1082")</f>
        <v>Projections for 25-1082</v>
      </c>
    </row>
    <row r="304" spans="1:4" x14ac:dyDescent="0.35">
      <c r="A304" s="3" t="s">
        <v>646</v>
      </c>
      <c r="B304" s="3" t="s">
        <v>647</v>
      </c>
      <c r="C304" s="3" t="s">
        <v>60</v>
      </c>
      <c r="D304" s="7" t="str">
        <f>HYPERLINK("https://data.bls.gov/projections/nationalMatrix?queryParams=25-1110&amp;ioType=o", "Projections for 25-1110")</f>
        <v>Projections for 25-1110</v>
      </c>
    </row>
    <row r="305" spans="1:4" x14ac:dyDescent="0.35">
      <c r="A305" s="3" t="s">
        <v>648</v>
      </c>
      <c r="B305" s="3" t="s">
        <v>649</v>
      </c>
      <c r="C305" s="3" t="s">
        <v>65</v>
      </c>
      <c r="D305" s="7" t="str">
        <f>HYPERLINK("https://data.bls.gov/projections/nationalMatrix?queryParams=25-1111&amp;ioType=o", "Projections for 25-1111")</f>
        <v>Projections for 25-1111</v>
      </c>
    </row>
    <row r="306" spans="1:4" x14ac:dyDescent="0.35">
      <c r="A306" s="3" t="s">
        <v>650</v>
      </c>
      <c r="B306" s="3" t="s">
        <v>651</v>
      </c>
      <c r="C306" s="3" t="s">
        <v>65</v>
      </c>
      <c r="D306" s="7" t="str">
        <f>HYPERLINK("https://data.bls.gov/projections/nationalMatrix?queryParams=25-1112&amp;ioType=o", "Projections for 25-1112")</f>
        <v>Projections for 25-1112</v>
      </c>
    </row>
    <row r="307" spans="1:4" x14ac:dyDescent="0.35">
      <c r="A307" s="3" t="s">
        <v>652</v>
      </c>
      <c r="B307" s="3" t="s">
        <v>653</v>
      </c>
      <c r="C307" s="3" t="s">
        <v>65</v>
      </c>
      <c r="D307" s="7" t="str">
        <f>HYPERLINK("https://data.bls.gov/projections/nationalMatrix?queryParams=25-1113&amp;ioType=o", "Projections for 25-1113")</f>
        <v>Projections for 25-1113</v>
      </c>
    </row>
    <row r="308" spans="1:4" x14ac:dyDescent="0.35">
      <c r="A308" s="3" t="s">
        <v>654</v>
      </c>
      <c r="B308" s="3" t="s">
        <v>655</v>
      </c>
      <c r="C308" s="3" t="s">
        <v>60</v>
      </c>
      <c r="D308" s="7" t="str">
        <f>HYPERLINK("https://data.bls.gov/projections/nationalMatrix?queryParams=25-1120&amp;ioType=o", "Projections for 25-1120")</f>
        <v>Projections for 25-1120</v>
      </c>
    </row>
    <row r="309" spans="1:4" x14ac:dyDescent="0.35">
      <c r="A309" s="3" t="s">
        <v>656</v>
      </c>
      <c r="B309" s="3" t="s">
        <v>657</v>
      </c>
      <c r="C309" s="3" t="s">
        <v>65</v>
      </c>
      <c r="D309" s="7" t="str">
        <f>HYPERLINK("https://data.bls.gov/projections/nationalMatrix?queryParams=25-1121&amp;ioType=o", "Projections for 25-1121")</f>
        <v>Projections for 25-1121</v>
      </c>
    </row>
    <row r="310" spans="1:4" x14ac:dyDescent="0.35">
      <c r="A310" s="3" t="s">
        <v>658</v>
      </c>
      <c r="B310" s="3" t="s">
        <v>659</v>
      </c>
      <c r="C310" s="3" t="s">
        <v>65</v>
      </c>
      <c r="D310" s="7" t="str">
        <f>HYPERLINK("https://data.bls.gov/projections/nationalMatrix?queryParams=25-1122&amp;ioType=o", "Projections for 25-1122")</f>
        <v>Projections for 25-1122</v>
      </c>
    </row>
    <row r="311" spans="1:4" x14ac:dyDescent="0.35">
      <c r="A311" s="3" t="s">
        <v>660</v>
      </c>
      <c r="B311" s="3" t="s">
        <v>661</v>
      </c>
      <c r="C311" s="3" t="s">
        <v>65</v>
      </c>
      <c r="D311" s="7" t="str">
        <f>HYPERLINK("https://data.bls.gov/projections/nationalMatrix?queryParams=25-1123&amp;ioType=o", "Projections for 25-1123")</f>
        <v>Projections for 25-1123</v>
      </c>
    </row>
    <row r="312" spans="1:4" x14ac:dyDescent="0.35">
      <c r="A312" s="3" t="s">
        <v>662</v>
      </c>
      <c r="B312" s="3" t="s">
        <v>663</v>
      </c>
      <c r="C312" s="3" t="s">
        <v>65</v>
      </c>
      <c r="D312" s="7" t="str">
        <f>HYPERLINK("https://data.bls.gov/projections/nationalMatrix?queryParams=25-1124&amp;ioType=o", "Projections for 25-1124")</f>
        <v>Projections for 25-1124</v>
      </c>
    </row>
    <row r="313" spans="1:4" x14ac:dyDescent="0.35">
      <c r="A313" s="3" t="s">
        <v>664</v>
      </c>
      <c r="B313" s="3" t="s">
        <v>665</v>
      </c>
      <c r="C313" s="3" t="s">
        <v>65</v>
      </c>
      <c r="D313" s="7" t="str">
        <f>HYPERLINK("https://data.bls.gov/projections/nationalMatrix?queryParams=25-1125&amp;ioType=o", "Projections for 25-1125")</f>
        <v>Projections for 25-1125</v>
      </c>
    </row>
    <row r="314" spans="1:4" x14ac:dyDescent="0.35">
      <c r="A314" s="3" t="s">
        <v>666</v>
      </c>
      <c r="B314" s="3" t="s">
        <v>667</v>
      </c>
      <c r="C314" s="3" t="s">
        <v>65</v>
      </c>
      <c r="D314" s="7" t="str">
        <f>HYPERLINK("https://data.bls.gov/projections/nationalMatrix?queryParams=25-1126&amp;ioType=o", "Projections for 25-1126")</f>
        <v>Projections for 25-1126</v>
      </c>
    </row>
    <row r="315" spans="1:4" x14ac:dyDescent="0.35">
      <c r="A315" s="3" t="s">
        <v>668</v>
      </c>
      <c r="B315" s="3" t="s">
        <v>669</v>
      </c>
      <c r="C315" s="3" t="s">
        <v>60</v>
      </c>
      <c r="D315" s="7" t="str">
        <f>HYPERLINK("https://data.bls.gov/projections/nationalMatrix?queryParams=25-1190&amp;ioType=o", "Projections for 25-1190")</f>
        <v>Projections for 25-1190</v>
      </c>
    </row>
    <row r="316" spans="1:4" x14ac:dyDescent="0.35">
      <c r="A316" s="3" t="s">
        <v>670</v>
      </c>
      <c r="B316" s="3" t="s">
        <v>671</v>
      </c>
      <c r="C316" s="3" t="s">
        <v>65</v>
      </c>
      <c r="D316" s="7" t="str">
        <f>HYPERLINK("https://data.bls.gov/projections/nationalMatrix?queryParams=25-1192&amp;ioType=o", "Projections for 25-1192")</f>
        <v>Projections for 25-1192</v>
      </c>
    </row>
    <row r="317" spans="1:4" x14ac:dyDescent="0.35">
      <c r="A317" s="3" t="s">
        <v>672</v>
      </c>
      <c r="B317" s="3" t="s">
        <v>673</v>
      </c>
      <c r="C317" s="3" t="s">
        <v>65</v>
      </c>
      <c r="D317" s="7" t="str">
        <f>HYPERLINK("https://data.bls.gov/projections/nationalMatrix?queryParams=25-1193&amp;ioType=o", "Projections for 25-1193")</f>
        <v>Projections for 25-1193</v>
      </c>
    </row>
    <row r="318" spans="1:4" x14ac:dyDescent="0.35">
      <c r="A318" s="3" t="s">
        <v>674</v>
      </c>
      <c r="B318" s="3" t="s">
        <v>675</v>
      </c>
      <c r="C318" s="3" t="s">
        <v>65</v>
      </c>
      <c r="D318" s="7" t="str">
        <f>HYPERLINK("https://data.bls.gov/projections/nationalMatrix?queryParams=25-1194&amp;ioType=o", "Projections for 25-1194")</f>
        <v>Projections for 25-1194</v>
      </c>
    </row>
    <row r="319" spans="1:4" x14ac:dyDescent="0.35">
      <c r="A319" s="3" t="s">
        <v>676</v>
      </c>
      <c r="B319" s="3" t="s">
        <v>677</v>
      </c>
      <c r="C319" s="3" t="s">
        <v>65</v>
      </c>
      <c r="D319" s="7" t="str">
        <f>HYPERLINK("https://data.bls.gov/projections/nationalMatrix?queryParams=25-1199&amp;ioType=o", "Projections for 25-1199")</f>
        <v>Projections for 25-1199</v>
      </c>
    </row>
    <row r="320" spans="1:4" x14ac:dyDescent="0.35">
      <c r="A320" s="3" t="s">
        <v>678</v>
      </c>
      <c r="B320" s="3" t="s">
        <v>679</v>
      </c>
      <c r="C320" s="3" t="s">
        <v>60</v>
      </c>
      <c r="D320" s="7" t="str">
        <f>HYPERLINK("https://data.bls.gov/projections/nationalMatrix?queryParams=25-2000&amp;ioType=o", "Projections for 25-2000")</f>
        <v>Projections for 25-2000</v>
      </c>
    </row>
    <row r="321" spans="1:4" x14ac:dyDescent="0.35">
      <c r="A321" s="3" t="s">
        <v>680</v>
      </c>
      <c r="B321" s="3" t="s">
        <v>681</v>
      </c>
      <c r="C321" s="3" t="s">
        <v>60</v>
      </c>
      <c r="D321" s="7" t="str">
        <f>HYPERLINK("https://data.bls.gov/projections/nationalMatrix?queryParams=25-2010&amp;ioType=o", "Projections for 25-2010")</f>
        <v>Projections for 25-2010</v>
      </c>
    </row>
    <row r="322" spans="1:4" x14ac:dyDescent="0.35">
      <c r="A322" s="3" t="s">
        <v>682</v>
      </c>
      <c r="B322" s="3" t="s">
        <v>683</v>
      </c>
      <c r="C322" s="3" t="s">
        <v>65</v>
      </c>
      <c r="D322" s="7" t="str">
        <f>HYPERLINK("https://data.bls.gov/projections/nationalMatrix?queryParams=25-2011&amp;ioType=o", "Projections for 25-2011")</f>
        <v>Projections for 25-2011</v>
      </c>
    </row>
    <row r="323" spans="1:4" x14ac:dyDescent="0.35">
      <c r="A323" s="3" t="s">
        <v>684</v>
      </c>
      <c r="B323" s="3" t="s">
        <v>685</v>
      </c>
      <c r="C323" s="3" t="s">
        <v>65</v>
      </c>
      <c r="D323" s="7" t="str">
        <f>HYPERLINK("https://data.bls.gov/projections/nationalMatrix?queryParams=25-2012&amp;ioType=o", "Projections for 25-2012")</f>
        <v>Projections for 25-2012</v>
      </c>
    </row>
    <row r="324" spans="1:4" x14ac:dyDescent="0.35">
      <c r="A324" s="3" t="s">
        <v>686</v>
      </c>
      <c r="B324" s="3" t="s">
        <v>687</v>
      </c>
      <c r="C324" s="3" t="s">
        <v>60</v>
      </c>
      <c r="D324" s="7" t="str">
        <f>HYPERLINK("https://data.bls.gov/projections/nationalMatrix?queryParams=25-2020&amp;ioType=o", "Projections for 25-2020")</f>
        <v>Projections for 25-2020</v>
      </c>
    </row>
    <row r="325" spans="1:4" x14ac:dyDescent="0.35">
      <c r="A325" s="3" t="s">
        <v>688</v>
      </c>
      <c r="B325" s="3" t="s">
        <v>689</v>
      </c>
      <c r="C325" s="3" t="s">
        <v>65</v>
      </c>
      <c r="D325" s="7" t="str">
        <f>HYPERLINK("https://data.bls.gov/projections/nationalMatrix?queryParams=25-2021&amp;ioType=o", "Projections for 25-2021")</f>
        <v>Projections for 25-2021</v>
      </c>
    </row>
    <row r="326" spans="1:4" x14ac:dyDescent="0.35">
      <c r="A326" s="3" t="s">
        <v>690</v>
      </c>
      <c r="B326" s="3" t="s">
        <v>691</v>
      </c>
      <c r="C326" s="3" t="s">
        <v>65</v>
      </c>
      <c r="D326" s="7" t="str">
        <f>HYPERLINK("https://data.bls.gov/projections/nationalMatrix?queryParams=25-2022&amp;ioType=o", "Projections for 25-2022")</f>
        <v>Projections for 25-2022</v>
      </c>
    </row>
    <row r="327" spans="1:4" x14ac:dyDescent="0.35">
      <c r="A327" s="3" t="s">
        <v>692</v>
      </c>
      <c r="B327" s="3" t="s">
        <v>693</v>
      </c>
      <c r="C327" s="3" t="s">
        <v>65</v>
      </c>
      <c r="D327" s="7" t="str">
        <f>HYPERLINK("https://data.bls.gov/projections/nationalMatrix?queryParams=25-2023&amp;ioType=o", "Projections for 25-2023")</f>
        <v>Projections for 25-2023</v>
      </c>
    </row>
    <row r="328" spans="1:4" x14ac:dyDescent="0.35">
      <c r="A328" s="3" t="s">
        <v>694</v>
      </c>
      <c r="B328" s="3" t="s">
        <v>695</v>
      </c>
      <c r="C328" s="3" t="s">
        <v>60</v>
      </c>
      <c r="D328" s="7" t="str">
        <f>HYPERLINK("https://data.bls.gov/projections/nationalMatrix?queryParams=25-2030&amp;ioType=o", "Projections for 25-2030")</f>
        <v>Projections for 25-2030</v>
      </c>
    </row>
    <row r="329" spans="1:4" x14ac:dyDescent="0.35">
      <c r="A329" s="3" t="s">
        <v>696</v>
      </c>
      <c r="B329" s="3" t="s">
        <v>697</v>
      </c>
      <c r="C329" s="3" t="s">
        <v>65</v>
      </c>
      <c r="D329" s="7" t="str">
        <f>HYPERLINK("https://data.bls.gov/projections/nationalMatrix?queryParams=25-2031&amp;ioType=o", "Projections for 25-2031")</f>
        <v>Projections for 25-2031</v>
      </c>
    </row>
    <row r="330" spans="1:4" x14ac:dyDescent="0.35">
      <c r="A330" s="3" t="s">
        <v>698</v>
      </c>
      <c r="B330" s="3" t="s">
        <v>699</v>
      </c>
      <c r="C330" s="3" t="s">
        <v>65</v>
      </c>
      <c r="D330" s="7" t="str">
        <f>HYPERLINK("https://data.bls.gov/projections/nationalMatrix?queryParams=25-2032&amp;ioType=o", "Projections for 25-2032")</f>
        <v>Projections for 25-2032</v>
      </c>
    </row>
    <row r="331" spans="1:4" x14ac:dyDescent="0.35">
      <c r="A331" s="3" t="s">
        <v>700</v>
      </c>
      <c r="B331" s="3" t="s">
        <v>701</v>
      </c>
      <c r="C331" s="3" t="s">
        <v>60</v>
      </c>
      <c r="D331" s="7" t="str">
        <f>HYPERLINK("https://data.bls.gov/projections/nationalMatrix?queryParams=25-2050&amp;ioType=o", "Projections for 25-2050")</f>
        <v>Projections for 25-2050</v>
      </c>
    </row>
    <row r="332" spans="1:4" x14ac:dyDescent="0.35">
      <c r="A332" s="3" t="s">
        <v>702</v>
      </c>
      <c r="B332" s="3" t="s">
        <v>703</v>
      </c>
      <c r="C332" s="3" t="s">
        <v>65</v>
      </c>
      <c r="D332" s="7" t="str">
        <f>HYPERLINK("https://data.bls.gov/projections/nationalMatrix?queryParams=25-2051&amp;ioType=o", "Projections for 25-2051")</f>
        <v>Projections for 25-2051</v>
      </c>
    </row>
    <row r="333" spans="1:4" x14ac:dyDescent="0.35">
      <c r="A333" s="3" t="s">
        <v>704</v>
      </c>
      <c r="B333" s="3" t="s">
        <v>705</v>
      </c>
      <c r="C333" s="3" t="s">
        <v>65</v>
      </c>
      <c r="D333" s="7" t="str">
        <f>HYPERLINK("https://data.bls.gov/projections/nationalMatrix?queryParams=25-2052&amp;ioType=o", "Projections for 25-2052")</f>
        <v>Projections for 25-2052</v>
      </c>
    </row>
    <row r="334" spans="1:4" x14ac:dyDescent="0.35">
      <c r="A334" s="3" t="s">
        <v>706</v>
      </c>
      <c r="B334" s="3" t="s">
        <v>707</v>
      </c>
      <c r="C334" s="3" t="s">
        <v>65</v>
      </c>
      <c r="D334" s="7" t="str">
        <f>HYPERLINK("https://data.bls.gov/projections/nationalMatrix?queryParams=25-2057&amp;ioType=o", "Projections for 25-2057")</f>
        <v>Projections for 25-2057</v>
      </c>
    </row>
    <row r="335" spans="1:4" x14ac:dyDescent="0.35">
      <c r="A335" s="3" t="s">
        <v>708</v>
      </c>
      <c r="B335" s="3" t="s">
        <v>709</v>
      </c>
      <c r="C335" s="3" t="s">
        <v>65</v>
      </c>
      <c r="D335" s="7" t="str">
        <f>HYPERLINK("https://data.bls.gov/projections/nationalMatrix?queryParams=25-2058&amp;ioType=o", "Projections for 25-2058")</f>
        <v>Projections for 25-2058</v>
      </c>
    </row>
    <row r="336" spans="1:4" x14ac:dyDescent="0.35">
      <c r="A336" s="3" t="s">
        <v>710</v>
      </c>
      <c r="B336" s="3" t="s">
        <v>711</v>
      </c>
      <c r="C336" s="3" t="s">
        <v>65</v>
      </c>
      <c r="D336" s="7" t="str">
        <f>HYPERLINK("https://data.bls.gov/projections/nationalMatrix?queryParams=25-2059&amp;ioType=o", "Projections for 25-2059")</f>
        <v>Projections for 25-2059</v>
      </c>
    </row>
    <row r="337" spans="1:4" x14ac:dyDescent="0.35">
      <c r="A337" s="3" t="s">
        <v>712</v>
      </c>
      <c r="B337" s="3" t="s">
        <v>713</v>
      </c>
      <c r="C337" s="3" t="s">
        <v>60</v>
      </c>
      <c r="D337" s="7" t="str">
        <f>HYPERLINK("https://data.bls.gov/projections/nationalMatrix?queryParams=25-3000&amp;ioType=o", "Projections for 25-3000")</f>
        <v>Projections for 25-3000</v>
      </c>
    </row>
    <row r="338" spans="1:4" x14ac:dyDescent="0.35">
      <c r="A338" s="3" t="s">
        <v>714</v>
      </c>
      <c r="B338" s="3" t="s">
        <v>715</v>
      </c>
      <c r="C338" s="3" t="s">
        <v>65</v>
      </c>
      <c r="D338" s="7" t="str">
        <f>HYPERLINK("https://data.bls.gov/projections/nationalMatrix?queryParams=25-3011&amp;ioType=o", "Projections for 25-3011")</f>
        <v>Projections for 25-3011</v>
      </c>
    </row>
    <row r="339" spans="1:4" x14ac:dyDescent="0.35">
      <c r="A339" s="3" t="s">
        <v>716</v>
      </c>
      <c r="B339" s="3" t="s">
        <v>717</v>
      </c>
      <c r="C339" s="3" t="s">
        <v>65</v>
      </c>
      <c r="D339" s="7" t="str">
        <f>HYPERLINK("https://data.bls.gov/projections/nationalMatrix?queryParams=25-3021&amp;ioType=o", "Projections for 25-3021")</f>
        <v>Projections for 25-3021</v>
      </c>
    </row>
    <row r="340" spans="1:4" x14ac:dyDescent="0.35">
      <c r="A340" s="3" t="s">
        <v>718</v>
      </c>
      <c r="B340" s="3" t="s">
        <v>719</v>
      </c>
      <c r="C340" s="3" t="s">
        <v>65</v>
      </c>
      <c r="D340" s="7" t="str">
        <f>HYPERLINK("https://data.bls.gov/projections/nationalMatrix?queryParams=25-3031&amp;ioType=o", "Projections for 25-3031")</f>
        <v>Projections for 25-3031</v>
      </c>
    </row>
    <row r="341" spans="1:4" x14ac:dyDescent="0.35">
      <c r="A341" s="3" t="s">
        <v>720</v>
      </c>
      <c r="B341" s="3" t="s">
        <v>721</v>
      </c>
      <c r="C341" s="3" t="s">
        <v>65</v>
      </c>
      <c r="D341" s="7" t="str">
        <f>HYPERLINK("https://data.bls.gov/projections/nationalMatrix?queryParams=25-3041&amp;ioType=o", "Projections for 25-3041")</f>
        <v>Projections for 25-3041</v>
      </c>
    </row>
    <row r="342" spans="1:4" x14ac:dyDescent="0.35">
      <c r="A342" s="3" t="s">
        <v>722</v>
      </c>
      <c r="B342" s="3" t="s">
        <v>723</v>
      </c>
      <c r="C342" s="3" t="s">
        <v>65</v>
      </c>
      <c r="D342" s="7" t="str">
        <f>HYPERLINK("https://data.bls.gov/projections/nationalMatrix?queryParams=25-3099&amp;ioType=o", "Projections for 25-3099")</f>
        <v>Projections for 25-3099</v>
      </c>
    </row>
    <row r="343" spans="1:4" x14ac:dyDescent="0.35">
      <c r="A343" s="3" t="s">
        <v>724</v>
      </c>
      <c r="B343" s="3" t="s">
        <v>725</v>
      </c>
      <c r="C343" s="3" t="s">
        <v>60</v>
      </c>
      <c r="D343" s="7" t="str">
        <f>HYPERLINK("https://data.bls.gov/projections/nationalMatrix?queryParams=25-4000&amp;ioType=o", "Projections for 25-4000")</f>
        <v>Projections for 25-4000</v>
      </c>
    </row>
    <row r="344" spans="1:4" x14ac:dyDescent="0.35">
      <c r="A344" s="3" t="s">
        <v>726</v>
      </c>
      <c r="B344" s="3" t="s">
        <v>727</v>
      </c>
      <c r="C344" s="3" t="s">
        <v>60</v>
      </c>
      <c r="D344" s="7" t="str">
        <f>HYPERLINK("https://data.bls.gov/projections/nationalMatrix?queryParams=25-4010&amp;ioType=o", "Projections for 25-4010")</f>
        <v>Projections for 25-4010</v>
      </c>
    </row>
    <row r="345" spans="1:4" x14ac:dyDescent="0.35">
      <c r="A345" s="3" t="s">
        <v>728</v>
      </c>
      <c r="B345" s="3" t="s">
        <v>729</v>
      </c>
      <c r="C345" s="3" t="s">
        <v>65</v>
      </c>
      <c r="D345" s="7" t="str">
        <f>HYPERLINK("https://data.bls.gov/projections/nationalMatrix?queryParams=25-4011&amp;ioType=o", "Projections for 25-4011")</f>
        <v>Projections for 25-4011</v>
      </c>
    </row>
    <row r="346" spans="1:4" x14ac:dyDescent="0.35">
      <c r="A346" s="3" t="s">
        <v>730</v>
      </c>
      <c r="B346" s="3" t="s">
        <v>731</v>
      </c>
      <c r="C346" s="3" t="s">
        <v>65</v>
      </c>
      <c r="D346" s="7" t="str">
        <f>HYPERLINK("https://data.bls.gov/projections/nationalMatrix?queryParams=25-4012&amp;ioType=o", "Projections for 25-4012")</f>
        <v>Projections for 25-4012</v>
      </c>
    </row>
    <row r="347" spans="1:4" x14ac:dyDescent="0.35">
      <c r="A347" s="3" t="s">
        <v>732</v>
      </c>
      <c r="B347" s="3" t="s">
        <v>733</v>
      </c>
      <c r="C347" s="3" t="s">
        <v>65</v>
      </c>
      <c r="D347" s="7" t="str">
        <f>HYPERLINK("https://data.bls.gov/projections/nationalMatrix?queryParams=25-4013&amp;ioType=o", "Projections for 25-4013")</f>
        <v>Projections for 25-4013</v>
      </c>
    </row>
    <row r="348" spans="1:4" x14ac:dyDescent="0.35">
      <c r="A348" s="3" t="s">
        <v>734</v>
      </c>
      <c r="B348" s="3" t="s">
        <v>735</v>
      </c>
      <c r="C348" s="3" t="s">
        <v>65</v>
      </c>
      <c r="D348" s="7" t="str">
        <f>HYPERLINK("https://data.bls.gov/projections/nationalMatrix?queryParams=25-4022&amp;ioType=o", "Projections for 25-4022")</f>
        <v>Projections for 25-4022</v>
      </c>
    </row>
    <row r="349" spans="1:4" x14ac:dyDescent="0.35">
      <c r="A349" s="3" t="s">
        <v>736</v>
      </c>
      <c r="B349" s="3" t="s">
        <v>737</v>
      </c>
      <c r="C349" s="3" t="s">
        <v>65</v>
      </c>
      <c r="D349" s="7" t="str">
        <f>HYPERLINK("https://data.bls.gov/projections/nationalMatrix?queryParams=25-4031&amp;ioType=o", "Projections for 25-4031")</f>
        <v>Projections for 25-4031</v>
      </c>
    </row>
    <row r="350" spans="1:4" x14ac:dyDescent="0.35">
      <c r="A350" s="3" t="s">
        <v>738</v>
      </c>
      <c r="B350" s="3" t="s">
        <v>739</v>
      </c>
      <c r="C350" s="3" t="s">
        <v>60</v>
      </c>
      <c r="D350" s="7" t="str">
        <f>HYPERLINK("https://data.bls.gov/projections/nationalMatrix?queryParams=25-9000&amp;ioType=o", "Projections for 25-9000")</f>
        <v>Projections for 25-9000</v>
      </c>
    </row>
    <row r="351" spans="1:4" x14ac:dyDescent="0.35">
      <c r="A351" s="3" t="s">
        <v>740</v>
      </c>
      <c r="B351" s="3" t="s">
        <v>741</v>
      </c>
      <c r="C351" s="3" t="s">
        <v>65</v>
      </c>
      <c r="D351" s="7" t="str">
        <f>HYPERLINK("https://data.bls.gov/projections/nationalMatrix?queryParams=25-9021&amp;ioType=o", "Projections for 25-9021")</f>
        <v>Projections for 25-9021</v>
      </c>
    </row>
    <row r="352" spans="1:4" x14ac:dyDescent="0.35">
      <c r="A352" s="3" t="s">
        <v>742</v>
      </c>
      <c r="B352" s="3" t="s">
        <v>743</v>
      </c>
      <c r="C352" s="3" t="s">
        <v>65</v>
      </c>
      <c r="D352" s="7" t="str">
        <f>HYPERLINK("https://data.bls.gov/projections/nationalMatrix?queryParams=25-9031&amp;ioType=o", "Projections for 25-9031")</f>
        <v>Projections for 25-9031</v>
      </c>
    </row>
    <row r="353" spans="1:4" x14ac:dyDescent="0.35">
      <c r="A353" s="3" t="s">
        <v>744</v>
      </c>
      <c r="B353" s="3" t="s">
        <v>745</v>
      </c>
      <c r="C353" s="3" t="s">
        <v>60</v>
      </c>
      <c r="D353" s="7" t="str">
        <f>HYPERLINK("https://data.bls.gov/projections/nationalMatrix?queryParams=25-9040&amp;ioType=o", "Projections for 25-9040")</f>
        <v>Projections for 25-9040</v>
      </c>
    </row>
    <row r="354" spans="1:4" x14ac:dyDescent="0.35">
      <c r="A354" s="3" t="s">
        <v>746</v>
      </c>
      <c r="B354" s="3" t="s">
        <v>747</v>
      </c>
      <c r="C354" s="3" t="s">
        <v>65</v>
      </c>
      <c r="D354" s="7" t="str">
        <f>HYPERLINK("https://data.bls.gov/projections/nationalMatrix?queryParams=25-9044&amp;ioType=o", "Projections for 25-9044")</f>
        <v>Projections for 25-9044</v>
      </c>
    </row>
    <row r="355" spans="1:4" x14ac:dyDescent="0.35">
      <c r="A355" s="3" t="s">
        <v>748</v>
      </c>
      <c r="B355" s="3" t="s">
        <v>749</v>
      </c>
      <c r="C355" s="3" t="s">
        <v>65</v>
      </c>
      <c r="D355" s="7" t="str">
        <f>HYPERLINK("https://data.bls.gov/projections/nationalMatrix?queryParams=25-9045&amp;ioType=o", "Projections for 25-9045")</f>
        <v>Projections for 25-9045</v>
      </c>
    </row>
    <row r="356" spans="1:4" x14ac:dyDescent="0.35">
      <c r="A356" s="3" t="s">
        <v>750</v>
      </c>
      <c r="B356" s="3" t="s">
        <v>751</v>
      </c>
      <c r="C356" s="3" t="s">
        <v>65</v>
      </c>
      <c r="D356" s="7" t="str">
        <f>HYPERLINK("https://data.bls.gov/projections/nationalMatrix?queryParams=25-9099&amp;ioType=o", "Projections for 25-9099")</f>
        <v>Projections for 25-9099</v>
      </c>
    </row>
    <row r="357" spans="1:4" x14ac:dyDescent="0.35">
      <c r="A357" s="3" t="s">
        <v>24</v>
      </c>
      <c r="B357" s="3" t="s">
        <v>25</v>
      </c>
      <c r="C357" s="3" t="s">
        <v>60</v>
      </c>
      <c r="D357" s="7" t="str">
        <f>HYPERLINK("https://data.bls.gov/projections/nationalMatrix?queryParams=27-0000&amp;ioType=o", "Projections for 27-0000")</f>
        <v>Projections for 27-0000</v>
      </c>
    </row>
    <row r="358" spans="1:4" x14ac:dyDescent="0.35">
      <c r="A358" s="3" t="s">
        <v>752</v>
      </c>
      <c r="B358" s="3" t="s">
        <v>753</v>
      </c>
      <c r="C358" s="3" t="s">
        <v>60</v>
      </c>
      <c r="D358" s="7" t="str">
        <f>HYPERLINK("https://data.bls.gov/projections/nationalMatrix?queryParams=27-1000&amp;ioType=o", "Projections for 27-1000")</f>
        <v>Projections for 27-1000</v>
      </c>
    </row>
    <row r="359" spans="1:4" x14ac:dyDescent="0.35">
      <c r="A359" s="3" t="s">
        <v>754</v>
      </c>
      <c r="B359" s="3" t="s">
        <v>755</v>
      </c>
      <c r="C359" s="3" t="s">
        <v>60</v>
      </c>
      <c r="D359" s="7" t="str">
        <f>HYPERLINK("https://data.bls.gov/projections/nationalMatrix?queryParams=27-1010&amp;ioType=o", "Projections for 27-1010")</f>
        <v>Projections for 27-1010</v>
      </c>
    </row>
    <row r="360" spans="1:4" x14ac:dyDescent="0.35">
      <c r="A360" s="3" t="s">
        <v>756</v>
      </c>
      <c r="B360" s="3" t="s">
        <v>757</v>
      </c>
      <c r="C360" s="3" t="s">
        <v>65</v>
      </c>
      <c r="D360" s="7" t="str">
        <f>HYPERLINK("https://data.bls.gov/projections/nationalMatrix?queryParams=27-1011&amp;ioType=o", "Projections for 27-1011")</f>
        <v>Projections for 27-1011</v>
      </c>
    </row>
    <row r="361" spans="1:4" x14ac:dyDescent="0.35">
      <c r="A361" s="3" t="s">
        <v>758</v>
      </c>
      <c r="B361" s="3" t="s">
        <v>759</v>
      </c>
      <c r="C361" s="3" t="s">
        <v>65</v>
      </c>
      <c r="D361" s="7" t="str">
        <f>HYPERLINK("https://data.bls.gov/projections/nationalMatrix?queryParams=27-1012&amp;ioType=o", "Projections for 27-1012")</f>
        <v>Projections for 27-1012</v>
      </c>
    </row>
    <row r="362" spans="1:4" x14ac:dyDescent="0.35">
      <c r="A362" s="3" t="s">
        <v>760</v>
      </c>
      <c r="B362" s="3" t="s">
        <v>761</v>
      </c>
      <c r="C362" s="3" t="s">
        <v>65</v>
      </c>
      <c r="D362" s="7" t="str">
        <f>HYPERLINK("https://data.bls.gov/projections/nationalMatrix?queryParams=27-1013&amp;ioType=o", "Projections for 27-1013")</f>
        <v>Projections for 27-1013</v>
      </c>
    </row>
    <row r="363" spans="1:4" x14ac:dyDescent="0.35">
      <c r="A363" s="3" t="s">
        <v>762</v>
      </c>
      <c r="B363" s="3" t="s">
        <v>763</v>
      </c>
      <c r="C363" s="3" t="s">
        <v>65</v>
      </c>
      <c r="D363" s="7" t="str">
        <f>HYPERLINK("https://data.bls.gov/projections/nationalMatrix?queryParams=27-1014&amp;ioType=o", "Projections for 27-1014")</f>
        <v>Projections for 27-1014</v>
      </c>
    </row>
    <row r="364" spans="1:4" x14ac:dyDescent="0.35">
      <c r="A364" s="3" t="s">
        <v>764</v>
      </c>
      <c r="B364" s="3" t="s">
        <v>765</v>
      </c>
      <c r="C364" s="3" t="s">
        <v>65</v>
      </c>
      <c r="D364" s="7" t="str">
        <f>HYPERLINK("https://data.bls.gov/projections/nationalMatrix?queryParams=27-1019&amp;ioType=o", "Projections for 27-1019")</f>
        <v>Projections for 27-1019</v>
      </c>
    </row>
    <row r="365" spans="1:4" x14ac:dyDescent="0.35">
      <c r="A365" s="3" t="s">
        <v>766</v>
      </c>
      <c r="B365" s="3" t="s">
        <v>767</v>
      </c>
      <c r="C365" s="3" t="s">
        <v>60</v>
      </c>
      <c r="D365" s="7" t="str">
        <f>HYPERLINK("https://data.bls.gov/projections/nationalMatrix?queryParams=27-1020&amp;ioType=o", "Projections for 27-1020")</f>
        <v>Projections for 27-1020</v>
      </c>
    </row>
    <row r="366" spans="1:4" x14ac:dyDescent="0.35">
      <c r="A366" s="3" t="s">
        <v>768</v>
      </c>
      <c r="B366" s="3" t="s">
        <v>769</v>
      </c>
      <c r="C366" s="3" t="s">
        <v>65</v>
      </c>
      <c r="D366" s="7" t="str">
        <f>HYPERLINK("https://data.bls.gov/projections/nationalMatrix?queryParams=27-1021&amp;ioType=o", "Projections for 27-1021")</f>
        <v>Projections for 27-1021</v>
      </c>
    </row>
    <row r="367" spans="1:4" x14ac:dyDescent="0.35">
      <c r="A367" s="3" t="s">
        <v>770</v>
      </c>
      <c r="B367" s="3" t="s">
        <v>771</v>
      </c>
      <c r="C367" s="3" t="s">
        <v>65</v>
      </c>
      <c r="D367" s="7" t="str">
        <f>HYPERLINK("https://data.bls.gov/projections/nationalMatrix?queryParams=27-1022&amp;ioType=o", "Projections for 27-1022")</f>
        <v>Projections for 27-1022</v>
      </c>
    </row>
    <row r="368" spans="1:4" x14ac:dyDescent="0.35">
      <c r="A368" s="3" t="s">
        <v>772</v>
      </c>
      <c r="B368" s="3" t="s">
        <v>773</v>
      </c>
      <c r="C368" s="3" t="s">
        <v>65</v>
      </c>
      <c r="D368" s="7" t="str">
        <f>HYPERLINK("https://data.bls.gov/projections/nationalMatrix?queryParams=27-1023&amp;ioType=o", "Projections for 27-1023")</f>
        <v>Projections for 27-1023</v>
      </c>
    </row>
    <row r="369" spans="1:4" x14ac:dyDescent="0.35">
      <c r="A369" s="3" t="s">
        <v>774</v>
      </c>
      <c r="B369" s="3" t="s">
        <v>775</v>
      </c>
      <c r="C369" s="3" t="s">
        <v>65</v>
      </c>
      <c r="D369" s="7" t="str">
        <f>HYPERLINK("https://data.bls.gov/projections/nationalMatrix?queryParams=27-1024&amp;ioType=o", "Projections for 27-1024")</f>
        <v>Projections for 27-1024</v>
      </c>
    </row>
    <row r="370" spans="1:4" x14ac:dyDescent="0.35">
      <c r="A370" s="3" t="s">
        <v>776</v>
      </c>
      <c r="B370" s="3" t="s">
        <v>777</v>
      </c>
      <c r="C370" s="3" t="s">
        <v>65</v>
      </c>
      <c r="D370" s="7" t="str">
        <f>HYPERLINK("https://data.bls.gov/projections/nationalMatrix?queryParams=27-1025&amp;ioType=o", "Projections for 27-1025")</f>
        <v>Projections for 27-1025</v>
      </c>
    </row>
    <row r="371" spans="1:4" x14ac:dyDescent="0.35">
      <c r="A371" s="3" t="s">
        <v>778</v>
      </c>
      <c r="B371" s="3" t="s">
        <v>779</v>
      </c>
      <c r="C371" s="3" t="s">
        <v>65</v>
      </c>
      <c r="D371" s="7" t="str">
        <f>HYPERLINK("https://data.bls.gov/projections/nationalMatrix?queryParams=27-1026&amp;ioType=o", "Projections for 27-1026")</f>
        <v>Projections for 27-1026</v>
      </c>
    </row>
    <row r="372" spans="1:4" x14ac:dyDescent="0.35">
      <c r="A372" s="3" t="s">
        <v>780</v>
      </c>
      <c r="B372" s="3" t="s">
        <v>781</v>
      </c>
      <c r="C372" s="3" t="s">
        <v>65</v>
      </c>
      <c r="D372" s="7" t="str">
        <f>HYPERLINK("https://data.bls.gov/projections/nationalMatrix?queryParams=27-1027&amp;ioType=o", "Projections for 27-1027")</f>
        <v>Projections for 27-1027</v>
      </c>
    </row>
    <row r="373" spans="1:4" x14ac:dyDescent="0.35">
      <c r="A373" s="3" t="s">
        <v>782</v>
      </c>
      <c r="B373" s="3" t="s">
        <v>783</v>
      </c>
      <c r="C373" s="3" t="s">
        <v>65</v>
      </c>
      <c r="D373" s="7" t="str">
        <f>HYPERLINK("https://data.bls.gov/projections/nationalMatrix?queryParams=27-1029&amp;ioType=o", "Projections for 27-1029")</f>
        <v>Projections for 27-1029</v>
      </c>
    </row>
    <row r="374" spans="1:4" x14ac:dyDescent="0.35">
      <c r="A374" s="3" t="s">
        <v>784</v>
      </c>
      <c r="B374" s="3" t="s">
        <v>785</v>
      </c>
      <c r="C374" s="3" t="s">
        <v>60</v>
      </c>
      <c r="D374" s="7" t="str">
        <f>HYPERLINK("https://data.bls.gov/projections/nationalMatrix?queryParams=27-2000&amp;ioType=o", "Projections for 27-2000")</f>
        <v>Projections for 27-2000</v>
      </c>
    </row>
    <row r="375" spans="1:4" x14ac:dyDescent="0.35">
      <c r="A375" s="3" t="s">
        <v>786</v>
      </c>
      <c r="B375" s="3" t="s">
        <v>787</v>
      </c>
      <c r="C375" s="3" t="s">
        <v>60</v>
      </c>
      <c r="D375" s="7" t="str">
        <f>HYPERLINK("https://data.bls.gov/projections/nationalMatrix?queryParams=27-2010&amp;ioType=o", "Projections for 27-2010")</f>
        <v>Projections for 27-2010</v>
      </c>
    </row>
    <row r="376" spans="1:4" x14ac:dyDescent="0.35">
      <c r="A376" s="3" t="s">
        <v>788</v>
      </c>
      <c r="B376" s="3" t="s">
        <v>789</v>
      </c>
      <c r="C376" s="3" t="s">
        <v>65</v>
      </c>
      <c r="D376" s="7" t="str">
        <f>HYPERLINK("https://data.bls.gov/projections/nationalMatrix?queryParams=27-2011&amp;ioType=o", "Projections for 27-2011")</f>
        <v>Projections for 27-2011</v>
      </c>
    </row>
    <row r="377" spans="1:4" x14ac:dyDescent="0.35">
      <c r="A377" s="3" t="s">
        <v>790</v>
      </c>
      <c r="B377" s="3" t="s">
        <v>791</v>
      </c>
      <c r="C377" s="3" t="s">
        <v>65</v>
      </c>
      <c r="D377" s="7" t="str">
        <f>HYPERLINK("https://data.bls.gov/projections/nationalMatrix?queryParams=27-2012&amp;ioType=o", "Projections for 27-2012")</f>
        <v>Projections for 27-2012</v>
      </c>
    </row>
    <row r="378" spans="1:4" x14ac:dyDescent="0.35">
      <c r="A378" s="3" t="s">
        <v>792</v>
      </c>
      <c r="B378" s="3" t="s">
        <v>793</v>
      </c>
      <c r="C378" s="3" t="s">
        <v>60</v>
      </c>
      <c r="D378" s="7" t="str">
        <f>HYPERLINK("https://data.bls.gov/projections/nationalMatrix?queryParams=27-2020&amp;ioType=o", "Projections for 27-2020")</f>
        <v>Projections for 27-2020</v>
      </c>
    </row>
    <row r="379" spans="1:4" x14ac:dyDescent="0.35">
      <c r="A379" s="3" t="s">
        <v>794</v>
      </c>
      <c r="B379" s="3" t="s">
        <v>795</v>
      </c>
      <c r="C379" s="3" t="s">
        <v>65</v>
      </c>
      <c r="D379" s="7" t="str">
        <f>HYPERLINK("https://data.bls.gov/projections/nationalMatrix?queryParams=27-2021&amp;ioType=o", "Projections for 27-2021")</f>
        <v>Projections for 27-2021</v>
      </c>
    </row>
    <row r="380" spans="1:4" x14ac:dyDescent="0.35">
      <c r="A380" s="3" t="s">
        <v>796</v>
      </c>
      <c r="B380" s="3" t="s">
        <v>797</v>
      </c>
      <c r="C380" s="3" t="s">
        <v>65</v>
      </c>
      <c r="D380" s="7" t="str">
        <f>HYPERLINK("https://data.bls.gov/projections/nationalMatrix?queryParams=27-2022&amp;ioType=o", "Projections for 27-2022")</f>
        <v>Projections for 27-2022</v>
      </c>
    </row>
    <row r="381" spans="1:4" x14ac:dyDescent="0.35">
      <c r="A381" s="3" t="s">
        <v>798</v>
      </c>
      <c r="B381" s="3" t="s">
        <v>799</v>
      </c>
      <c r="C381" s="3" t="s">
        <v>65</v>
      </c>
      <c r="D381" s="7" t="str">
        <f>HYPERLINK("https://data.bls.gov/projections/nationalMatrix?queryParams=27-2023&amp;ioType=o", "Projections for 27-2023")</f>
        <v>Projections for 27-2023</v>
      </c>
    </row>
    <row r="382" spans="1:4" x14ac:dyDescent="0.35">
      <c r="A382" s="3" t="s">
        <v>800</v>
      </c>
      <c r="B382" s="3" t="s">
        <v>801</v>
      </c>
      <c r="C382" s="3" t="s">
        <v>60</v>
      </c>
      <c r="D382" s="7" t="str">
        <f>HYPERLINK("https://data.bls.gov/projections/nationalMatrix?queryParams=27-2030&amp;ioType=o", "Projections for 27-2030")</f>
        <v>Projections for 27-2030</v>
      </c>
    </row>
    <row r="383" spans="1:4" x14ac:dyDescent="0.35">
      <c r="A383" s="3" t="s">
        <v>802</v>
      </c>
      <c r="B383" s="3" t="s">
        <v>803</v>
      </c>
      <c r="C383" s="3" t="s">
        <v>65</v>
      </c>
      <c r="D383" s="7" t="str">
        <f>HYPERLINK("https://data.bls.gov/projections/nationalMatrix?queryParams=27-2031&amp;ioType=o", "Projections for 27-2031")</f>
        <v>Projections for 27-2031</v>
      </c>
    </row>
    <row r="384" spans="1:4" x14ac:dyDescent="0.35">
      <c r="A384" s="3" t="s">
        <v>804</v>
      </c>
      <c r="B384" s="3" t="s">
        <v>805</v>
      </c>
      <c r="C384" s="3" t="s">
        <v>65</v>
      </c>
      <c r="D384" s="7" t="str">
        <f>HYPERLINK("https://data.bls.gov/projections/nationalMatrix?queryParams=27-2032&amp;ioType=o", "Projections for 27-2032")</f>
        <v>Projections for 27-2032</v>
      </c>
    </row>
    <row r="385" spans="1:4" x14ac:dyDescent="0.35">
      <c r="A385" s="3" t="s">
        <v>806</v>
      </c>
      <c r="B385" s="3" t="s">
        <v>807</v>
      </c>
      <c r="C385" s="3" t="s">
        <v>60</v>
      </c>
      <c r="D385" s="7" t="str">
        <f>HYPERLINK("https://data.bls.gov/projections/nationalMatrix?queryParams=27-2040&amp;ioType=o", "Projections for 27-2040")</f>
        <v>Projections for 27-2040</v>
      </c>
    </row>
    <row r="386" spans="1:4" x14ac:dyDescent="0.35">
      <c r="A386" s="3" t="s">
        <v>808</v>
      </c>
      <c r="B386" s="3" t="s">
        <v>809</v>
      </c>
      <c r="C386" s="3" t="s">
        <v>65</v>
      </c>
      <c r="D386" s="7" t="str">
        <f>HYPERLINK("https://data.bls.gov/projections/nationalMatrix?queryParams=27-2041&amp;ioType=o", "Projections for 27-2041")</f>
        <v>Projections for 27-2041</v>
      </c>
    </row>
    <row r="387" spans="1:4" x14ac:dyDescent="0.35">
      <c r="A387" s="3" t="s">
        <v>810</v>
      </c>
      <c r="B387" s="3" t="s">
        <v>811</v>
      </c>
      <c r="C387" s="3" t="s">
        <v>65</v>
      </c>
      <c r="D387" s="7" t="str">
        <f>HYPERLINK("https://data.bls.gov/projections/nationalMatrix?queryParams=27-2042&amp;ioType=o", "Projections for 27-2042")</f>
        <v>Projections for 27-2042</v>
      </c>
    </row>
    <row r="388" spans="1:4" x14ac:dyDescent="0.35">
      <c r="A388" s="3" t="s">
        <v>812</v>
      </c>
      <c r="B388" s="3" t="s">
        <v>813</v>
      </c>
      <c r="C388" s="3" t="s">
        <v>60</v>
      </c>
      <c r="D388" s="7" t="str">
        <f>HYPERLINK("https://data.bls.gov/projections/nationalMatrix?queryParams=27-2090&amp;ioType=o", "Projections for 27-2090")</f>
        <v>Projections for 27-2090</v>
      </c>
    </row>
    <row r="389" spans="1:4" x14ac:dyDescent="0.35">
      <c r="A389" s="3" t="s">
        <v>814</v>
      </c>
      <c r="B389" s="3" t="s">
        <v>815</v>
      </c>
      <c r="C389" s="3" t="s">
        <v>65</v>
      </c>
      <c r="D389" s="7" t="str">
        <f>HYPERLINK("https://data.bls.gov/projections/nationalMatrix?queryParams=27-2091&amp;ioType=o", "Projections for 27-2091")</f>
        <v>Projections for 27-2091</v>
      </c>
    </row>
    <row r="390" spans="1:4" x14ac:dyDescent="0.35">
      <c r="A390" s="3" t="s">
        <v>816</v>
      </c>
      <c r="B390" s="3" t="s">
        <v>817</v>
      </c>
      <c r="C390" s="3" t="s">
        <v>65</v>
      </c>
      <c r="D390" s="7" t="str">
        <f>HYPERLINK("https://data.bls.gov/projections/nationalMatrix?queryParams=27-2099&amp;ioType=o", "Projections for 27-2099")</f>
        <v>Projections for 27-2099</v>
      </c>
    </row>
    <row r="391" spans="1:4" x14ac:dyDescent="0.35">
      <c r="A391" s="3" t="s">
        <v>818</v>
      </c>
      <c r="B391" s="3" t="s">
        <v>819</v>
      </c>
      <c r="C391" s="3" t="s">
        <v>60</v>
      </c>
      <c r="D391" s="7" t="str">
        <f>HYPERLINK("https://data.bls.gov/projections/nationalMatrix?queryParams=27-3000&amp;ioType=o", "Projections for 27-3000")</f>
        <v>Projections for 27-3000</v>
      </c>
    </row>
    <row r="392" spans="1:4" x14ac:dyDescent="0.35">
      <c r="A392" s="3" t="s">
        <v>820</v>
      </c>
      <c r="B392" s="3" t="s">
        <v>821</v>
      </c>
      <c r="C392" s="3" t="s">
        <v>65</v>
      </c>
      <c r="D392" s="7" t="str">
        <f>HYPERLINK("https://data.bls.gov/projections/nationalMatrix?queryParams=27-3011&amp;ioType=o", "Projections for 27-3011")</f>
        <v>Projections for 27-3011</v>
      </c>
    </row>
    <row r="393" spans="1:4" x14ac:dyDescent="0.35">
      <c r="A393" s="3" t="s">
        <v>822</v>
      </c>
      <c r="B393" s="3" t="s">
        <v>823</v>
      </c>
      <c r="C393" s="3" t="s">
        <v>65</v>
      </c>
      <c r="D393" s="7" t="str">
        <f>HYPERLINK("https://data.bls.gov/projections/nationalMatrix?queryParams=27-3023&amp;ioType=o", "Projections for 27-3023")</f>
        <v>Projections for 27-3023</v>
      </c>
    </row>
    <row r="394" spans="1:4" x14ac:dyDescent="0.35">
      <c r="A394" s="3" t="s">
        <v>824</v>
      </c>
      <c r="B394" s="3" t="s">
        <v>825</v>
      </c>
      <c r="C394" s="3" t="s">
        <v>65</v>
      </c>
      <c r="D394" s="7" t="str">
        <f>HYPERLINK("https://data.bls.gov/projections/nationalMatrix?queryParams=27-3031&amp;ioType=o", "Projections for 27-3031")</f>
        <v>Projections for 27-3031</v>
      </c>
    </row>
    <row r="395" spans="1:4" x14ac:dyDescent="0.35">
      <c r="A395" s="3" t="s">
        <v>826</v>
      </c>
      <c r="B395" s="3" t="s">
        <v>827</v>
      </c>
      <c r="C395" s="3" t="s">
        <v>60</v>
      </c>
      <c r="D395" s="7" t="str">
        <f>HYPERLINK("https://data.bls.gov/projections/nationalMatrix?queryParams=27-3040&amp;ioType=o", "Projections for 27-3040")</f>
        <v>Projections for 27-3040</v>
      </c>
    </row>
    <row r="396" spans="1:4" x14ac:dyDescent="0.35">
      <c r="A396" s="3" t="s">
        <v>828</v>
      </c>
      <c r="B396" s="3" t="s">
        <v>829</v>
      </c>
      <c r="C396" s="3" t="s">
        <v>65</v>
      </c>
      <c r="D396" s="7" t="str">
        <f>HYPERLINK("https://data.bls.gov/projections/nationalMatrix?queryParams=27-3041&amp;ioType=o", "Projections for 27-3041")</f>
        <v>Projections for 27-3041</v>
      </c>
    </row>
    <row r="397" spans="1:4" x14ac:dyDescent="0.35">
      <c r="A397" s="3" t="s">
        <v>830</v>
      </c>
      <c r="B397" s="3" t="s">
        <v>831</v>
      </c>
      <c r="C397" s="3" t="s">
        <v>65</v>
      </c>
      <c r="D397" s="7" t="str">
        <f>HYPERLINK("https://data.bls.gov/projections/nationalMatrix?queryParams=27-3042&amp;ioType=o", "Projections for 27-3042")</f>
        <v>Projections for 27-3042</v>
      </c>
    </row>
    <row r="398" spans="1:4" x14ac:dyDescent="0.35">
      <c r="A398" s="3" t="s">
        <v>832</v>
      </c>
      <c r="B398" s="3" t="s">
        <v>833</v>
      </c>
      <c r="C398" s="3" t="s">
        <v>65</v>
      </c>
      <c r="D398" s="7" t="str">
        <f>HYPERLINK("https://data.bls.gov/projections/nationalMatrix?queryParams=27-3043&amp;ioType=o", "Projections for 27-3043")</f>
        <v>Projections for 27-3043</v>
      </c>
    </row>
    <row r="399" spans="1:4" x14ac:dyDescent="0.35">
      <c r="A399" s="3" t="s">
        <v>834</v>
      </c>
      <c r="B399" s="3" t="s">
        <v>835</v>
      </c>
      <c r="C399" s="3" t="s">
        <v>60</v>
      </c>
      <c r="D399" s="7" t="str">
        <f>HYPERLINK("https://data.bls.gov/projections/nationalMatrix?queryParams=27-3090&amp;ioType=o", "Projections for 27-3090")</f>
        <v>Projections for 27-3090</v>
      </c>
    </row>
    <row r="400" spans="1:4" x14ac:dyDescent="0.35">
      <c r="A400" s="3" t="s">
        <v>836</v>
      </c>
      <c r="B400" s="3" t="s">
        <v>837</v>
      </c>
      <c r="C400" s="3" t="s">
        <v>65</v>
      </c>
      <c r="D400" s="7" t="str">
        <f>HYPERLINK("https://data.bls.gov/projections/nationalMatrix?queryParams=27-3091&amp;ioType=o", "Projections for 27-3091")</f>
        <v>Projections for 27-3091</v>
      </c>
    </row>
    <row r="401" spans="1:4" x14ac:dyDescent="0.35">
      <c r="A401" s="3" t="s">
        <v>838</v>
      </c>
      <c r="B401" s="3" t="s">
        <v>839</v>
      </c>
      <c r="C401" s="3" t="s">
        <v>65</v>
      </c>
      <c r="D401" s="7" t="str">
        <f>HYPERLINK("https://data.bls.gov/projections/nationalMatrix?queryParams=27-3092&amp;ioType=o", "Projections for 27-3092")</f>
        <v>Projections for 27-3092</v>
      </c>
    </row>
    <row r="402" spans="1:4" x14ac:dyDescent="0.35">
      <c r="A402" s="3" t="s">
        <v>840</v>
      </c>
      <c r="B402" s="3" t="s">
        <v>841</v>
      </c>
      <c r="C402" s="3" t="s">
        <v>65</v>
      </c>
      <c r="D402" s="7" t="str">
        <f>HYPERLINK("https://data.bls.gov/projections/nationalMatrix?queryParams=27-3099&amp;ioType=o", "Projections for 27-3099")</f>
        <v>Projections for 27-3099</v>
      </c>
    </row>
    <row r="403" spans="1:4" x14ac:dyDescent="0.35">
      <c r="A403" s="3" t="s">
        <v>842</v>
      </c>
      <c r="B403" s="3" t="s">
        <v>843</v>
      </c>
      <c r="C403" s="3" t="s">
        <v>60</v>
      </c>
      <c r="D403" s="7" t="str">
        <f>HYPERLINK("https://data.bls.gov/projections/nationalMatrix?queryParams=27-4000&amp;ioType=o", "Projections for 27-4000")</f>
        <v>Projections for 27-4000</v>
      </c>
    </row>
    <row r="404" spans="1:4" x14ac:dyDescent="0.35">
      <c r="A404" s="3" t="s">
        <v>844</v>
      </c>
      <c r="B404" s="3" t="s">
        <v>845</v>
      </c>
      <c r="C404" s="3" t="s">
        <v>60</v>
      </c>
      <c r="D404" s="7" t="str">
        <f>HYPERLINK("https://data.bls.gov/projections/nationalMatrix?queryParams=27-4010&amp;ioType=o", "Projections for 27-4010")</f>
        <v>Projections for 27-4010</v>
      </c>
    </row>
    <row r="405" spans="1:4" x14ac:dyDescent="0.35">
      <c r="A405" s="3" t="s">
        <v>846</v>
      </c>
      <c r="B405" s="3" t="s">
        <v>847</v>
      </c>
      <c r="C405" s="3" t="s">
        <v>65</v>
      </c>
      <c r="D405" s="7" t="str">
        <f>HYPERLINK("https://data.bls.gov/projections/nationalMatrix?queryParams=27-4011&amp;ioType=o", "Projections for 27-4011")</f>
        <v>Projections for 27-4011</v>
      </c>
    </row>
    <row r="406" spans="1:4" x14ac:dyDescent="0.35">
      <c r="A406" s="3" t="s">
        <v>848</v>
      </c>
      <c r="B406" s="3" t="s">
        <v>849</v>
      </c>
      <c r="C406" s="3" t="s">
        <v>65</v>
      </c>
      <c r="D406" s="7" t="str">
        <f>HYPERLINK("https://data.bls.gov/projections/nationalMatrix?queryParams=27-4012&amp;ioType=o", "Projections for 27-4012")</f>
        <v>Projections for 27-4012</v>
      </c>
    </row>
    <row r="407" spans="1:4" x14ac:dyDescent="0.35">
      <c r="A407" s="3" t="s">
        <v>850</v>
      </c>
      <c r="B407" s="3" t="s">
        <v>851</v>
      </c>
      <c r="C407" s="3" t="s">
        <v>65</v>
      </c>
      <c r="D407" s="7" t="str">
        <f>HYPERLINK("https://data.bls.gov/projections/nationalMatrix?queryParams=27-4014&amp;ioType=o", "Projections for 27-4014")</f>
        <v>Projections for 27-4014</v>
      </c>
    </row>
    <row r="408" spans="1:4" x14ac:dyDescent="0.35">
      <c r="A408" s="3" t="s">
        <v>852</v>
      </c>
      <c r="B408" s="3" t="s">
        <v>853</v>
      </c>
      <c r="C408" s="3" t="s">
        <v>65</v>
      </c>
      <c r="D408" s="7" t="str">
        <f>HYPERLINK("https://data.bls.gov/projections/nationalMatrix?queryParams=27-4015&amp;ioType=o", "Projections for 27-4015")</f>
        <v>Projections for 27-4015</v>
      </c>
    </row>
    <row r="409" spans="1:4" x14ac:dyDescent="0.35">
      <c r="A409" s="3" t="s">
        <v>854</v>
      </c>
      <c r="B409" s="3" t="s">
        <v>855</v>
      </c>
      <c r="C409" s="3" t="s">
        <v>65</v>
      </c>
      <c r="D409" s="7" t="str">
        <f>HYPERLINK("https://data.bls.gov/projections/nationalMatrix?queryParams=27-4021&amp;ioType=o", "Projections for 27-4021")</f>
        <v>Projections for 27-4021</v>
      </c>
    </row>
    <row r="410" spans="1:4" x14ac:dyDescent="0.35">
      <c r="A410" s="3" t="s">
        <v>856</v>
      </c>
      <c r="B410" s="3" t="s">
        <v>857</v>
      </c>
      <c r="C410" s="3" t="s">
        <v>60</v>
      </c>
      <c r="D410" s="7" t="str">
        <f>HYPERLINK("https://data.bls.gov/projections/nationalMatrix?queryParams=27-4030&amp;ioType=o", "Projections for 27-4030")</f>
        <v>Projections for 27-4030</v>
      </c>
    </row>
    <row r="411" spans="1:4" x14ac:dyDescent="0.35">
      <c r="A411" s="3" t="s">
        <v>858</v>
      </c>
      <c r="B411" s="3" t="s">
        <v>859</v>
      </c>
      <c r="C411" s="3" t="s">
        <v>65</v>
      </c>
      <c r="D411" s="7" t="str">
        <f>HYPERLINK("https://data.bls.gov/projections/nationalMatrix?queryParams=27-4031&amp;ioType=o", "Projections for 27-4031")</f>
        <v>Projections for 27-4031</v>
      </c>
    </row>
    <row r="412" spans="1:4" x14ac:dyDescent="0.35">
      <c r="A412" s="3" t="s">
        <v>860</v>
      </c>
      <c r="B412" s="3" t="s">
        <v>861</v>
      </c>
      <c r="C412" s="3" t="s">
        <v>65</v>
      </c>
      <c r="D412" s="7" t="str">
        <f>HYPERLINK("https://data.bls.gov/projections/nationalMatrix?queryParams=27-4032&amp;ioType=o", "Projections for 27-4032")</f>
        <v>Projections for 27-4032</v>
      </c>
    </row>
    <row r="413" spans="1:4" x14ac:dyDescent="0.35">
      <c r="A413" s="3" t="s">
        <v>862</v>
      </c>
      <c r="B413" s="3" t="s">
        <v>863</v>
      </c>
      <c r="C413" s="3" t="s">
        <v>65</v>
      </c>
      <c r="D413" s="7" t="str">
        <f>HYPERLINK("https://data.bls.gov/projections/nationalMatrix?queryParams=27-4099&amp;ioType=o", "Projections for 27-4099")</f>
        <v>Projections for 27-4099</v>
      </c>
    </row>
    <row r="414" spans="1:4" x14ac:dyDescent="0.35">
      <c r="A414" s="3" t="s">
        <v>26</v>
      </c>
      <c r="B414" s="3" t="s">
        <v>27</v>
      </c>
      <c r="C414" s="3" t="s">
        <v>60</v>
      </c>
      <c r="D414" s="7" t="str">
        <f>HYPERLINK("https://data.bls.gov/projections/nationalMatrix?queryParams=29-0000&amp;ioType=o", "Projections for 29-0000")</f>
        <v>Projections for 29-0000</v>
      </c>
    </row>
    <row r="415" spans="1:4" x14ac:dyDescent="0.35">
      <c r="A415" s="3" t="s">
        <v>864</v>
      </c>
      <c r="B415" s="3" t="s">
        <v>865</v>
      </c>
      <c r="C415" s="3" t="s">
        <v>60</v>
      </c>
      <c r="D415" s="7" t="str">
        <f>HYPERLINK("https://data.bls.gov/projections/nationalMatrix?queryParams=29-1000&amp;ioType=o", "Projections for 29-1000")</f>
        <v>Projections for 29-1000</v>
      </c>
    </row>
    <row r="416" spans="1:4" x14ac:dyDescent="0.35">
      <c r="A416" s="3" t="s">
        <v>866</v>
      </c>
      <c r="B416" s="3" t="s">
        <v>867</v>
      </c>
      <c r="C416" s="3" t="s">
        <v>65</v>
      </c>
      <c r="D416" s="7" t="str">
        <f>HYPERLINK("https://data.bls.gov/projections/nationalMatrix?queryParams=29-1011&amp;ioType=o", "Projections for 29-1011")</f>
        <v>Projections for 29-1011</v>
      </c>
    </row>
    <row r="417" spans="1:4" x14ac:dyDescent="0.35">
      <c r="A417" s="3" t="s">
        <v>868</v>
      </c>
      <c r="B417" s="3" t="s">
        <v>869</v>
      </c>
      <c r="C417" s="3" t="s">
        <v>60</v>
      </c>
      <c r="D417" s="7" t="str">
        <f>HYPERLINK("https://data.bls.gov/projections/nationalMatrix?queryParams=29-1020&amp;ioType=o", "Projections for 29-1020")</f>
        <v>Projections for 29-1020</v>
      </c>
    </row>
    <row r="418" spans="1:4" x14ac:dyDescent="0.35">
      <c r="A418" s="3" t="s">
        <v>870</v>
      </c>
      <c r="B418" s="3" t="s">
        <v>871</v>
      </c>
      <c r="C418" s="3" t="s">
        <v>65</v>
      </c>
      <c r="D418" s="7" t="str">
        <f>HYPERLINK("https://data.bls.gov/projections/nationalMatrix?queryParams=29-1021&amp;ioType=o", "Projections for 29-1021")</f>
        <v>Projections for 29-1021</v>
      </c>
    </row>
    <row r="419" spans="1:4" x14ac:dyDescent="0.35">
      <c r="A419" s="3" t="s">
        <v>872</v>
      </c>
      <c r="B419" s="3" t="s">
        <v>873</v>
      </c>
      <c r="C419" s="3" t="s">
        <v>65</v>
      </c>
      <c r="D419" s="7" t="str">
        <f>HYPERLINK("https://data.bls.gov/projections/nationalMatrix?queryParams=29-1022&amp;ioType=o", "Projections for 29-1022")</f>
        <v>Projections for 29-1022</v>
      </c>
    </row>
    <row r="420" spans="1:4" x14ac:dyDescent="0.35">
      <c r="A420" s="3" t="s">
        <v>874</v>
      </c>
      <c r="B420" s="3" t="s">
        <v>875</v>
      </c>
      <c r="C420" s="3" t="s">
        <v>65</v>
      </c>
      <c r="D420" s="7" t="str">
        <f>HYPERLINK("https://data.bls.gov/projections/nationalMatrix?queryParams=29-1023&amp;ioType=o", "Projections for 29-1023")</f>
        <v>Projections for 29-1023</v>
      </c>
    </row>
    <row r="421" spans="1:4" x14ac:dyDescent="0.35">
      <c r="A421" s="3" t="s">
        <v>876</v>
      </c>
      <c r="B421" s="3" t="s">
        <v>877</v>
      </c>
      <c r="C421" s="3" t="s">
        <v>65</v>
      </c>
      <c r="D421" s="7" t="str">
        <f>HYPERLINK("https://data.bls.gov/projections/nationalMatrix?queryParams=29-1024&amp;ioType=o", "Projections for 29-1024")</f>
        <v>Projections for 29-1024</v>
      </c>
    </row>
    <row r="422" spans="1:4" x14ac:dyDescent="0.35">
      <c r="A422" s="3" t="s">
        <v>878</v>
      </c>
      <c r="B422" s="3" t="s">
        <v>879</v>
      </c>
      <c r="C422" s="3" t="s">
        <v>65</v>
      </c>
      <c r="D422" s="7" t="str">
        <f>HYPERLINK("https://data.bls.gov/projections/nationalMatrix?queryParams=29-1029&amp;ioType=o", "Projections for 29-1029")</f>
        <v>Projections for 29-1029</v>
      </c>
    </row>
    <row r="423" spans="1:4" x14ac:dyDescent="0.35">
      <c r="A423" s="3" t="s">
        <v>880</v>
      </c>
      <c r="B423" s="3" t="s">
        <v>881</v>
      </c>
      <c r="C423" s="3" t="s">
        <v>65</v>
      </c>
      <c r="D423" s="7" t="str">
        <f>HYPERLINK("https://data.bls.gov/projections/nationalMatrix?queryParams=29-1031&amp;ioType=o", "Projections for 29-1031")</f>
        <v>Projections for 29-1031</v>
      </c>
    </row>
    <row r="424" spans="1:4" x14ac:dyDescent="0.35">
      <c r="A424" s="3" t="s">
        <v>882</v>
      </c>
      <c r="B424" s="3" t="s">
        <v>883</v>
      </c>
      <c r="C424" s="3" t="s">
        <v>65</v>
      </c>
      <c r="D424" s="7" t="str">
        <f>HYPERLINK("https://data.bls.gov/projections/nationalMatrix?queryParams=29-1041&amp;ioType=o", "Projections for 29-1041")</f>
        <v>Projections for 29-1041</v>
      </c>
    </row>
    <row r="425" spans="1:4" x14ac:dyDescent="0.35">
      <c r="A425" s="3" t="s">
        <v>884</v>
      </c>
      <c r="B425" s="3" t="s">
        <v>885</v>
      </c>
      <c r="C425" s="3" t="s">
        <v>65</v>
      </c>
      <c r="D425" s="7" t="str">
        <f>HYPERLINK("https://data.bls.gov/projections/nationalMatrix?queryParams=29-1051&amp;ioType=o", "Projections for 29-1051")</f>
        <v>Projections for 29-1051</v>
      </c>
    </row>
    <row r="426" spans="1:4" x14ac:dyDescent="0.35">
      <c r="A426" s="3" t="s">
        <v>886</v>
      </c>
      <c r="B426" s="3" t="s">
        <v>887</v>
      </c>
      <c r="C426" s="3" t="s">
        <v>65</v>
      </c>
      <c r="D426" s="7" t="str">
        <f>HYPERLINK("https://data.bls.gov/projections/nationalMatrix?queryParams=29-1071&amp;ioType=o", "Projections for 29-1071")</f>
        <v>Projections for 29-1071</v>
      </c>
    </row>
    <row r="427" spans="1:4" x14ac:dyDescent="0.35">
      <c r="A427" s="3" t="s">
        <v>888</v>
      </c>
      <c r="B427" s="3" t="s">
        <v>889</v>
      </c>
      <c r="C427" s="3" t="s">
        <v>65</v>
      </c>
      <c r="D427" s="7" t="str">
        <f>HYPERLINK("https://data.bls.gov/projections/nationalMatrix?queryParams=29-1081&amp;ioType=o", "Projections for 29-1081")</f>
        <v>Projections for 29-1081</v>
      </c>
    </row>
    <row r="428" spans="1:4" x14ac:dyDescent="0.35">
      <c r="A428" s="3" t="s">
        <v>890</v>
      </c>
      <c r="B428" s="3" t="s">
        <v>891</v>
      </c>
      <c r="C428" s="3" t="s">
        <v>60</v>
      </c>
      <c r="D428" s="7" t="str">
        <f>HYPERLINK("https://data.bls.gov/projections/nationalMatrix?queryParams=29-1120&amp;ioType=o", "Projections for 29-1120")</f>
        <v>Projections for 29-1120</v>
      </c>
    </row>
    <row r="429" spans="1:4" x14ac:dyDescent="0.35">
      <c r="A429" s="3" t="s">
        <v>892</v>
      </c>
      <c r="B429" s="3" t="s">
        <v>893</v>
      </c>
      <c r="C429" s="3" t="s">
        <v>65</v>
      </c>
      <c r="D429" s="7" t="str">
        <f>HYPERLINK("https://data.bls.gov/projections/nationalMatrix?queryParams=29-1122&amp;ioType=o", "Projections for 29-1122")</f>
        <v>Projections for 29-1122</v>
      </c>
    </row>
    <row r="430" spans="1:4" x14ac:dyDescent="0.35">
      <c r="A430" s="3" t="s">
        <v>894</v>
      </c>
      <c r="B430" s="3" t="s">
        <v>895</v>
      </c>
      <c r="C430" s="3" t="s">
        <v>65</v>
      </c>
      <c r="D430" s="7" t="str">
        <f>HYPERLINK("https://data.bls.gov/projections/nationalMatrix?queryParams=29-1123&amp;ioType=o", "Projections for 29-1123")</f>
        <v>Projections for 29-1123</v>
      </c>
    </row>
    <row r="431" spans="1:4" x14ac:dyDescent="0.35">
      <c r="A431" s="3" t="s">
        <v>896</v>
      </c>
      <c r="B431" s="3" t="s">
        <v>897</v>
      </c>
      <c r="C431" s="3" t="s">
        <v>65</v>
      </c>
      <c r="D431" s="7" t="str">
        <f>HYPERLINK("https://data.bls.gov/projections/nationalMatrix?queryParams=29-1124&amp;ioType=o", "Projections for 29-1124")</f>
        <v>Projections for 29-1124</v>
      </c>
    </row>
    <row r="432" spans="1:4" x14ac:dyDescent="0.35">
      <c r="A432" s="3" t="s">
        <v>898</v>
      </c>
      <c r="B432" s="3" t="s">
        <v>899</v>
      </c>
      <c r="C432" s="3" t="s">
        <v>65</v>
      </c>
      <c r="D432" s="7" t="str">
        <f>HYPERLINK("https://data.bls.gov/projections/nationalMatrix?queryParams=29-1125&amp;ioType=o", "Projections for 29-1125")</f>
        <v>Projections for 29-1125</v>
      </c>
    </row>
    <row r="433" spans="1:4" x14ac:dyDescent="0.35">
      <c r="A433" s="3" t="s">
        <v>900</v>
      </c>
      <c r="B433" s="3" t="s">
        <v>901</v>
      </c>
      <c r="C433" s="3" t="s">
        <v>65</v>
      </c>
      <c r="D433" s="7" t="str">
        <f>HYPERLINK("https://data.bls.gov/projections/nationalMatrix?queryParams=29-1126&amp;ioType=o", "Projections for 29-1126")</f>
        <v>Projections for 29-1126</v>
      </c>
    </row>
    <row r="434" spans="1:4" x14ac:dyDescent="0.35">
      <c r="A434" s="3" t="s">
        <v>902</v>
      </c>
      <c r="B434" s="3" t="s">
        <v>903</v>
      </c>
      <c r="C434" s="3" t="s">
        <v>65</v>
      </c>
      <c r="D434" s="7" t="str">
        <f>HYPERLINK("https://data.bls.gov/projections/nationalMatrix?queryParams=29-1127&amp;ioType=o", "Projections for 29-1127")</f>
        <v>Projections for 29-1127</v>
      </c>
    </row>
    <row r="435" spans="1:4" x14ac:dyDescent="0.35">
      <c r="A435" s="3" t="s">
        <v>904</v>
      </c>
      <c r="B435" s="3" t="s">
        <v>905</v>
      </c>
      <c r="C435" s="3" t="s">
        <v>65</v>
      </c>
      <c r="D435" s="7" t="str">
        <f>HYPERLINK("https://data.bls.gov/projections/nationalMatrix?queryParams=29-1128&amp;ioType=o", "Projections for 29-1128")</f>
        <v>Projections for 29-1128</v>
      </c>
    </row>
    <row r="436" spans="1:4" x14ac:dyDescent="0.35">
      <c r="A436" s="3" t="s">
        <v>906</v>
      </c>
      <c r="B436" s="3" t="s">
        <v>907</v>
      </c>
      <c r="C436" s="3" t="s">
        <v>65</v>
      </c>
      <c r="D436" s="7" t="str">
        <f>HYPERLINK("https://data.bls.gov/projections/nationalMatrix?queryParams=29-1129&amp;ioType=o", "Projections for 29-1129")</f>
        <v>Projections for 29-1129</v>
      </c>
    </row>
    <row r="437" spans="1:4" x14ac:dyDescent="0.35">
      <c r="A437" s="3" t="s">
        <v>908</v>
      </c>
      <c r="B437" s="3" t="s">
        <v>909</v>
      </c>
      <c r="C437" s="3" t="s">
        <v>65</v>
      </c>
      <c r="D437" s="7" t="str">
        <f>HYPERLINK("https://data.bls.gov/projections/nationalMatrix?queryParams=29-1131&amp;ioType=o", "Projections for 29-1131")</f>
        <v>Projections for 29-1131</v>
      </c>
    </row>
    <row r="438" spans="1:4" x14ac:dyDescent="0.35">
      <c r="A438" s="3" t="s">
        <v>910</v>
      </c>
      <c r="B438" s="3" t="s">
        <v>911</v>
      </c>
      <c r="C438" s="3" t="s">
        <v>65</v>
      </c>
      <c r="D438" s="7" t="str">
        <f>HYPERLINK("https://data.bls.gov/projections/nationalMatrix?queryParams=29-1141&amp;ioType=o", "Projections for 29-1141")</f>
        <v>Projections for 29-1141</v>
      </c>
    </row>
    <row r="439" spans="1:4" x14ac:dyDescent="0.35">
      <c r="A439" s="3" t="s">
        <v>912</v>
      </c>
      <c r="B439" s="3" t="s">
        <v>913</v>
      </c>
      <c r="C439" s="3" t="s">
        <v>65</v>
      </c>
      <c r="D439" s="7" t="str">
        <f>HYPERLINK("https://data.bls.gov/projections/nationalMatrix?queryParams=29-1151&amp;ioType=o", "Projections for 29-1151")</f>
        <v>Projections for 29-1151</v>
      </c>
    </row>
    <row r="440" spans="1:4" x14ac:dyDescent="0.35">
      <c r="A440" s="3" t="s">
        <v>914</v>
      </c>
      <c r="B440" s="3" t="s">
        <v>915</v>
      </c>
      <c r="C440" s="3" t="s">
        <v>65</v>
      </c>
      <c r="D440" s="7" t="str">
        <f>HYPERLINK("https://data.bls.gov/projections/nationalMatrix?queryParams=29-1161&amp;ioType=o", "Projections for 29-1161")</f>
        <v>Projections for 29-1161</v>
      </c>
    </row>
    <row r="441" spans="1:4" x14ac:dyDescent="0.35">
      <c r="A441" s="3" t="s">
        <v>916</v>
      </c>
      <c r="B441" s="3" t="s">
        <v>917</v>
      </c>
      <c r="C441" s="3" t="s">
        <v>65</v>
      </c>
      <c r="D441" s="7" t="str">
        <f>HYPERLINK("https://data.bls.gov/projections/nationalMatrix?queryParams=29-1171&amp;ioType=o", "Projections for 29-1171")</f>
        <v>Projections for 29-1171</v>
      </c>
    </row>
    <row r="442" spans="1:4" x14ac:dyDescent="0.35">
      <c r="A442" s="3" t="s">
        <v>918</v>
      </c>
      <c r="B442" s="3" t="s">
        <v>919</v>
      </c>
      <c r="C442" s="3" t="s">
        <v>65</v>
      </c>
      <c r="D442" s="7" t="str">
        <f>HYPERLINK("https://data.bls.gov/projections/nationalMatrix?queryParams=29-1181&amp;ioType=o", "Projections for 29-1181")</f>
        <v>Projections for 29-1181</v>
      </c>
    </row>
    <row r="443" spans="1:4" x14ac:dyDescent="0.35">
      <c r="A443" s="3" t="s">
        <v>920</v>
      </c>
      <c r="B443" s="3" t="s">
        <v>921</v>
      </c>
      <c r="C443" s="3" t="s">
        <v>60</v>
      </c>
      <c r="D443" s="7" t="str">
        <f>HYPERLINK("https://data.bls.gov/projections/nationalMatrix?queryParams=29-1210&amp;ioType=o", "Projections for 29-1210")</f>
        <v>Projections for 29-1210</v>
      </c>
    </row>
    <row r="444" spans="1:4" x14ac:dyDescent="0.35">
      <c r="A444" s="3" t="s">
        <v>922</v>
      </c>
      <c r="B444" s="3" t="s">
        <v>923</v>
      </c>
      <c r="C444" s="3" t="s">
        <v>65</v>
      </c>
      <c r="D444" s="7" t="str">
        <f>HYPERLINK("https://data.bls.gov/projections/nationalMatrix?queryParams=29-1211&amp;ioType=o", "Projections for 29-1211")</f>
        <v>Projections for 29-1211</v>
      </c>
    </row>
    <row r="445" spans="1:4" x14ac:dyDescent="0.35">
      <c r="A445" s="3" t="s">
        <v>924</v>
      </c>
      <c r="B445" s="3" t="s">
        <v>925</v>
      </c>
      <c r="C445" s="3" t="s">
        <v>65</v>
      </c>
      <c r="D445" s="7" t="str">
        <f>HYPERLINK("https://data.bls.gov/projections/nationalMatrix?queryParams=29-1212&amp;ioType=o", "Projections for 29-1212")</f>
        <v>Projections for 29-1212</v>
      </c>
    </row>
    <row r="446" spans="1:4" x14ac:dyDescent="0.35">
      <c r="A446" s="3" t="s">
        <v>926</v>
      </c>
      <c r="B446" s="3" t="s">
        <v>927</v>
      </c>
      <c r="C446" s="3" t="s">
        <v>65</v>
      </c>
      <c r="D446" s="7" t="str">
        <f>HYPERLINK("https://data.bls.gov/projections/nationalMatrix?queryParams=29-1213&amp;ioType=o", "Projections for 29-1213")</f>
        <v>Projections for 29-1213</v>
      </c>
    </row>
    <row r="447" spans="1:4" x14ac:dyDescent="0.35">
      <c r="A447" s="3" t="s">
        <v>928</v>
      </c>
      <c r="B447" s="3" t="s">
        <v>929</v>
      </c>
      <c r="C447" s="3" t="s">
        <v>65</v>
      </c>
      <c r="D447" s="7" t="str">
        <f>HYPERLINK("https://data.bls.gov/projections/nationalMatrix?queryParams=29-1214&amp;ioType=o", "Projections for 29-1214")</f>
        <v>Projections for 29-1214</v>
      </c>
    </row>
    <row r="448" spans="1:4" x14ac:dyDescent="0.35">
      <c r="A448" s="3" t="s">
        <v>930</v>
      </c>
      <c r="B448" s="3" t="s">
        <v>931</v>
      </c>
      <c r="C448" s="3" t="s">
        <v>65</v>
      </c>
      <c r="D448" s="7" t="str">
        <f>HYPERLINK("https://data.bls.gov/projections/nationalMatrix?queryParams=29-1215&amp;ioType=o", "Projections for 29-1215")</f>
        <v>Projections for 29-1215</v>
      </c>
    </row>
    <row r="449" spans="1:4" x14ac:dyDescent="0.35">
      <c r="A449" s="3" t="s">
        <v>932</v>
      </c>
      <c r="B449" s="3" t="s">
        <v>933</v>
      </c>
      <c r="C449" s="3" t="s">
        <v>65</v>
      </c>
      <c r="D449" s="7" t="str">
        <f>HYPERLINK("https://data.bls.gov/projections/nationalMatrix?queryParams=29-1216&amp;ioType=o", "Projections for 29-1216")</f>
        <v>Projections for 29-1216</v>
      </c>
    </row>
    <row r="450" spans="1:4" x14ac:dyDescent="0.35">
      <c r="A450" s="3" t="s">
        <v>934</v>
      </c>
      <c r="B450" s="3" t="s">
        <v>935</v>
      </c>
      <c r="C450" s="3" t="s">
        <v>65</v>
      </c>
      <c r="D450" s="7" t="str">
        <f>HYPERLINK("https://data.bls.gov/projections/nationalMatrix?queryParams=29-1217&amp;ioType=o", "Projections for 29-1217")</f>
        <v>Projections for 29-1217</v>
      </c>
    </row>
    <row r="451" spans="1:4" x14ac:dyDescent="0.35">
      <c r="A451" s="3" t="s">
        <v>936</v>
      </c>
      <c r="B451" s="3" t="s">
        <v>937</v>
      </c>
      <c r="C451" s="3" t="s">
        <v>65</v>
      </c>
      <c r="D451" s="7" t="str">
        <f>HYPERLINK("https://data.bls.gov/projections/nationalMatrix?queryParams=29-1218&amp;ioType=o", "Projections for 29-1218")</f>
        <v>Projections for 29-1218</v>
      </c>
    </row>
    <row r="452" spans="1:4" x14ac:dyDescent="0.35">
      <c r="A452" s="3" t="s">
        <v>938</v>
      </c>
      <c r="B452" s="3" t="s">
        <v>939</v>
      </c>
      <c r="C452" s="3" t="s">
        <v>65</v>
      </c>
      <c r="D452" s="7" t="str">
        <f>HYPERLINK("https://data.bls.gov/projections/nationalMatrix?queryParams=29-1221&amp;ioType=o", "Projections for 29-1221")</f>
        <v>Projections for 29-1221</v>
      </c>
    </row>
    <row r="453" spans="1:4" x14ac:dyDescent="0.35">
      <c r="A453" s="3" t="s">
        <v>940</v>
      </c>
      <c r="B453" s="3" t="s">
        <v>941</v>
      </c>
      <c r="C453" s="3" t="s">
        <v>65</v>
      </c>
      <c r="D453" s="7" t="str">
        <f>HYPERLINK("https://data.bls.gov/projections/nationalMatrix?queryParams=29-1222&amp;ioType=o", "Projections for 29-1222")</f>
        <v>Projections for 29-1222</v>
      </c>
    </row>
    <row r="454" spans="1:4" x14ac:dyDescent="0.35">
      <c r="A454" s="3" t="s">
        <v>942</v>
      </c>
      <c r="B454" s="3" t="s">
        <v>943</v>
      </c>
      <c r="C454" s="3" t="s">
        <v>65</v>
      </c>
      <c r="D454" s="7" t="str">
        <f>HYPERLINK("https://data.bls.gov/projections/nationalMatrix?queryParams=29-1223&amp;ioType=o", "Projections for 29-1223")</f>
        <v>Projections for 29-1223</v>
      </c>
    </row>
    <row r="455" spans="1:4" x14ac:dyDescent="0.35">
      <c r="A455" s="3" t="s">
        <v>944</v>
      </c>
      <c r="B455" s="3" t="s">
        <v>945</v>
      </c>
      <c r="C455" s="3" t="s">
        <v>65</v>
      </c>
      <c r="D455" s="7" t="str">
        <f>HYPERLINK("https://data.bls.gov/projections/nationalMatrix?queryParams=29-1224&amp;ioType=o", "Projections for 29-1224")</f>
        <v>Projections for 29-1224</v>
      </c>
    </row>
    <row r="456" spans="1:4" x14ac:dyDescent="0.35">
      <c r="A456" s="3" t="s">
        <v>946</v>
      </c>
      <c r="B456" s="3" t="s">
        <v>947</v>
      </c>
      <c r="C456" s="3" t="s">
        <v>65</v>
      </c>
      <c r="D456" s="7" t="str">
        <f>HYPERLINK("https://data.bls.gov/projections/nationalMatrix?queryParams=29-1229&amp;ioType=o", "Projections for 29-1229")</f>
        <v>Projections for 29-1229</v>
      </c>
    </row>
    <row r="457" spans="1:4" x14ac:dyDescent="0.35">
      <c r="A457" s="3" t="s">
        <v>948</v>
      </c>
      <c r="B457" s="3" t="s">
        <v>949</v>
      </c>
      <c r="C457" s="3" t="s">
        <v>60</v>
      </c>
      <c r="D457" s="7" t="str">
        <f>HYPERLINK("https://data.bls.gov/projections/nationalMatrix?queryParams=29-1240&amp;ioType=o", "Projections for 29-1240")</f>
        <v>Projections for 29-1240</v>
      </c>
    </row>
    <row r="458" spans="1:4" x14ac:dyDescent="0.35">
      <c r="A458" s="3" t="s">
        <v>950</v>
      </c>
      <c r="B458" s="3" t="s">
        <v>951</v>
      </c>
      <c r="C458" s="3" t="s">
        <v>65</v>
      </c>
      <c r="D458" s="7" t="str">
        <f>HYPERLINK("https://data.bls.gov/projections/nationalMatrix?queryParams=29-1241&amp;ioType=o", "Projections for 29-1241")</f>
        <v>Projections for 29-1241</v>
      </c>
    </row>
    <row r="459" spans="1:4" x14ac:dyDescent="0.35">
      <c r="A459" s="3" t="s">
        <v>952</v>
      </c>
      <c r="B459" s="3" t="s">
        <v>953</v>
      </c>
      <c r="C459" s="3" t="s">
        <v>65</v>
      </c>
      <c r="D459" s="7" t="str">
        <f>HYPERLINK("https://data.bls.gov/projections/nationalMatrix?queryParams=29-1242&amp;ioType=o", "Projections for 29-1242")</f>
        <v>Projections for 29-1242</v>
      </c>
    </row>
    <row r="460" spans="1:4" x14ac:dyDescent="0.35">
      <c r="A460" s="3" t="s">
        <v>954</v>
      </c>
      <c r="B460" s="3" t="s">
        <v>955</v>
      </c>
      <c r="C460" s="3" t="s">
        <v>65</v>
      </c>
      <c r="D460" s="7" t="str">
        <f>HYPERLINK("https://data.bls.gov/projections/nationalMatrix?queryParams=29-1243&amp;ioType=o", "Projections for 29-1243")</f>
        <v>Projections for 29-1243</v>
      </c>
    </row>
    <row r="461" spans="1:4" x14ac:dyDescent="0.35">
      <c r="A461" s="3" t="s">
        <v>956</v>
      </c>
      <c r="B461" s="3" t="s">
        <v>957</v>
      </c>
      <c r="C461" s="3" t="s">
        <v>65</v>
      </c>
      <c r="D461" s="7" t="str">
        <f>HYPERLINK("https://data.bls.gov/projections/nationalMatrix?queryParams=29-1249&amp;ioType=o", "Projections for 29-1249")</f>
        <v>Projections for 29-1249</v>
      </c>
    </row>
    <row r="462" spans="1:4" x14ac:dyDescent="0.35">
      <c r="A462" s="3" t="s">
        <v>958</v>
      </c>
      <c r="B462" s="3" t="s">
        <v>959</v>
      </c>
      <c r="C462" s="3" t="s">
        <v>60</v>
      </c>
      <c r="D462" s="7" t="str">
        <f>HYPERLINK("https://data.bls.gov/projections/nationalMatrix?queryParams=29-1290&amp;ioType=o", "Projections for 29-1290")</f>
        <v>Projections for 29-1290</v>
      </c>
    </row>
    <row r="463" spans="1:4" x14ac:dyDescent="0.35">
      <c r="A463" s="3" t="s">
        <v>960</v>
      </c>
      <c r="B463" s="3" t="s">
        <v>961</v>
      </c>
      <c r="C463" s="3" t="s">
        <v>65</v>
      </c>
      <c r="D463" s="7" t="str">
        <f>HYPERLINK("https://data.bls.gov/projections/nationalMatrix?queryParams=29-1291&amp;ioType=o", "Projections for 29-1291")</f>
        <v>Projections for 29-1291</v>
      </c>
    </row>
    <row r="464" spans="1:4" x14ac:dyDescent="0.35">
      <c r="A464" s="3" t="s">
        <v>962</v>
      </c>
      <c r="B464" s="3" t="s">
        <v>963</v>
      </c>
      <c r="C464" s="3" t="s">
        <v>65</v>
      </c>
      <c r="D464" s="7" t="str">
        <f>HYPERLINK("https://data.bls.gov/projections/nationalMatrix?queryParams=29-1292&amp;ioType=o", "Projections for 29-1292")</f>
        <v>Projections for 29-1292</v>
      </c>
    </row>
    <row r="465" spans="1:4" x14ac:dyDescent="0.35">
      <c r="A465" s="3" t="s">
        <v>964</v>
      </c>
      <c r="B465" s="3" t="s">
        <v>965</v>
      </c>
      <c r="C465" s="3" t="s">
        <v>65</v>
      </c>
      <c r="D465" s="7" t="str">
        <f>HYPERLINK("https://data.bls.gov/projections/nationalMatrix?queryParams=29-1299&amp;ioType=o", "Projections for 29-1299")</f>
        <v>Projections for 29-1299</v>
      </c>
    </row>
    <row r="466" spans="1:4" x14ac:dyDescent="0.35">
      <c r="A466" s="3" t="s">
        <v>966</v>
      </c>
      <c r="B466" s="3" t="s">
        <v>967</v>
      </c>
      <c r="C466" s="3" t="s">
        <v>60</v>
      </c>
      <c r="D466" s="7" t="str">
        <f>HYPERLINK("https://data.bls.gov/projections/nationalMatrix?queryParams=29-2000&amp;ioType=o", "Projections for 29-2000")</f>
        <v>Projections for 29-2000</v>
      </c>
    </row>
    <row r="467" spans="1:4" x14ac:dyDescent="0.35">
      <c r="A467" s="3" t="s">
        <v>968</v>
      </c>
      <c r="B467" s="3" t="s">
        <v>969</v>
      </c>
      <c r="C467" s="3" t="s">
        <v>65</v>
      </c>
      <c r="D467" s="7" t="str">
        <f>HYPERLINK("https://data.bls.gov/projections/nationalMatrix?queryParams=29-2010&amp;ioType=o", "Projections for 29-2010")</f>
        <v>Projections for 29-2010</v>
      </c>
    </row>
    <row r="468" spans="1:4" x14ac:dyDescent="0.35">
      <c r="A468" s="3" t="s">
        <v>970</v>
      </c>
      <c r="B468" s="3" t="s">
        <v>971</v>
      </c>
      <c r="C468" s="3" t="s">
        <v>60</v>
      </c>
      <c r="D468" s="7" t="str">
        <f>HYPERLINK("https://data.bls.gov/projections/nationalMatrix?queryParams=29-2030&amp;ioType=o", "Projections for 29-2030")</f>
        <v>Projections for 29-2030</v>
      </c>
    </row>
    <row r="469" spans="1:4" x14ac:dyDescent="0.35">
      <c r="A469" s="3" t="s">
        <v>972</v>
      </c>
      <c r="B469" s="3" t="s">
        <v>973</v>
      </c>
      <c r="C469" s="3" t="s">
        <v>65</v>
      </c>
      <c r="D469" s="7" t="str">
        <f>HYPERLINK("https://data.bls.gov/projections/nationalMatrix?queryParams=29-2031&amp;ioType=o", "Projections for 29-2031")</f>
        <v>Projections for 29-2031</v>
      </c>
    </row>
    <row r="470" spans="1:4" x14ac:dyDescent="0.35">
      <c r="A470" s="3" t="s">
        <v>974</v>
      </c>
      <c r="B470" s="3" t="s">
        <v>975</v>
      </c>
      <c r="C470" s="3" t="s">
        <v>65</v>
      </c>
      <c r="D470" s="7" t="str">
        <f>HYPERLINK("https://data.bls.gov/projections/nationalMatrix?queryParams=29-2032&amp;ioType=o", "Projections for 29-2032")</f>
        <v>Projections for 29-2032</v>
      </c>
    </row>
    <row r="471" spans="1:4" x14ac:dyDescent="0.35">
      <c r="A471" s="3" t="s">
        <v>976</v>
      </c>
      <c r="B471" s="3" t="s">
        <v>977</v>
      </c>
      <c r="C471" s="3" t="s">
        <v>65</v>
      </c>
      <c r="D471" s="7" t="str">
        <f>HYPERLINK("https://data.bls.gov/projections/nationalMatrix?queryParams=29-2033&amp;ioType=o", "Projections for 29-2033")</f>
        <v>Projections for 29-2033</v>
      </c>
    </row>
    <row r="472" spans="1:4" x14ac:dyDescent="0.35">
      <c r="A472" s="3" t="s">
        <v>978</v>
      </c>
      <c r="B472" s="3" t="s">
        <v>979</v>
      </c>
      <c r="C472" s="3" t="s">
        <v>65</v>
      </c>
      <c r="D472" s="7" t="str">
        <f>HYPERLINK("https://data.bls.gov/projections/nationalMatrix?queryParams=29-2034&amp;ioType=o", "Projections for 29-2034")</f>
        <v>Projections for 29-2034</v>
      </c>
    </row>
    <row r="473" spans="1:4" x14ac:dyDescent="0.35">
      <c r="A473" s="3" t="s">
        <v>980</v>
      </c>
      <c r="B473" s="3" t="s">
        <v>981</v>
      </c>
      <c r="C473" s="3" t="s">
        <v>65</v>
      </c>
      <c r="D473" s="7" t="str">
        <f>HYPERLINK("https://data.bls.gov/projections/nationalMatrix?queryParams=29-2035&amp;ioType=o", "Projections for 29-2035")</f>
        <v>Projections for 29-2035</v>
      </c>
    </row>
    <row r="474" spans="1:4" x14ac:dyDescent="0.35">
      <c r="A474" s="3" t="s">
        <v>982</v>
      </c>
      <c r="B474" s="3" t="s">
        <v>983</v>
      </c>
      <c r="C474" s="3" t="s">
        <v>65</v>
      </c>
      <c r="D474" s="7" t="str">
        <f>HYPERLINK("https://data.bls.gov/projections/nationalMatrix?queryParams=29-2036&amp;ioType=o", "Projections for 29-2036")</f>
        <v>Projections for 29-2036</v>
      </c>
    </row>
    <row r="475" spans="1:4" x14ac:dyDescent="0.35">
      <c r="A475" s="3" t="s">
        <v>984</v>
      </c>
      <c r="B475" s="3" t="s">
        <v>985</v>
      </c>
      <c r="C475" s="3" t="s">
        <v>60</v>
      </c>
      <c r="D475" s="7" t="str">
        <f>HYPERLINK("https://data.bls.gov/projections/nationalMatrix?queryParams=29-2040&amp;ioType=o", "Projections for 29-2040")</f>
        <v>Projections for 29-2040</v>
      </c>
    </row>
    <row r="476" spans="1:4" x14ac:dyDescent="0.35">
      <c r="A476" s="3" t="s">
        <v>986</v>
      </c>
      <c r="B476" s="3" t="s">
        <v>987</v>
      </c>
      <c r="C476" s="3" t="s">
        <v>65</v>
      </c>
      <c r="D476" s="7" t="str">
        <f>HYPERLINK("https://data.bls.gov/projections/nationalMatrix?queryParams=29-2042&amp;ioType=o", "Projections for 29-2042")</f>
        <v>Projections for 29-2042</v>
      </c>
    </row>
    <row r="477" spans="1:4" x14ac:dyDescent="0.35">
      <c r="A477" s="3" t="s">
        <v>988</v>
      </c>
      <c r="B477" s="3" t="s">
        <v>989</v>
      </c>
      <c r="C477" s="3" t="s">
        <v>65</v>
      </c>
      <c r="D477" s="7" t="str">
        <f>HYPERLINK("https://data.bls.gov/projections/nationalMatrix?queryParams=29-2043&amp;ioType=o", "Projections for 29-2043")</f>
        <v>Projections for 29-2043</v>
      </c>
    </row>
    <row r="478" spans="1:4" x14ac:dyDescent="0.35">
      <c r="A478" s="3" t="s">
        <v>990</v>
      </c>
      <c r="B478" s="3" t="s">
        <v>991</v>
      </c>
      <c r="C478" s="3" t="s">
        <v>60</v>
      </c>
      <c r="D478" s="7" t="str">
        <f>HYPERLINK("https://data.bls.gov/projections/nationalMatrix?queryParams=29-2050&amp;ioType=o", "Projections for 29-2050")</f>
        <v>Projections for 29-2050</v>
      </c>
    </row>
    <row r="479" spans="1:4" x14ac:dyDescent="0.35">
      <c r="A479" s="3" t="s">
        <v>992</v>
      </c>
      <c r="B479" s="3" t="s">
        <v>993</v>
      </c>
      <c r="C479" s="3" t="s">
        <v>65</v>
      </c>
      <c r="D479" s="7" t="str">
        <f>HYPERLINK("https://data.bls.gov/projections/nationalMatrix?queryParams=29-2051&amp;ioType=o", "Projections for 29-2051")</f>
        <v>Projections for 29-2051</v>
      </c>
    </row>
    <row r="480" spans="1:4" x14ac:dyDescent="0.35">
      <c r="A480" s="3" t="s">
        <v>994</v>
      </c>
      <c r="B480" s="3" t="s">
        <v>995</v>
      </c>
      <c r="C480" s="3" t="s">
        <v>65</v>
      </c>
      <c r="D480" s="7" t="str">
        <f>HYPERLINK("https://data.bls.gov/projections/nationalMatrix?queryParams=29-2052&amp;ioType=o", "Projections for 29-2052")</f>
        <v>Projections for 29-2052</v>
      </c>
    </row>
    <row r="481" spans="1:4" x14ac:dyDescent="0.35">
      <c r="A481" s="3" t="s">
        <v>996</v>
      </c>
      <c r="B481" s="3" t="s">
        <v>997</v>
      </c>
      <c r="C481" s="3" t="s">
        <v>65</v>
      </c>
      <c r="D481" s="7" t="str">
        <f>HYPERLINK("https://data.bls.gov/projections/nationalMatrix?queryParams=29-2053&amp;ioType=o", "Projections for 29-2053")</f>
        <v>Projections for 29-2053</v>
      </c>
    </row>
    <row r="482" spans="1:4" x14ac:dyDescent="0.35">
      <c r="A482" s="3" t="s">
        <v>998</v>
      </c>
      <c r="B482" s="3" t="s">
        <v>999</v>
      </c>
      <c r="C482" s="3" t="s">
        <v>65</v>
      </c>
      <c r="D482" s="7" t="str">
        <f>HYPERLINK("https://data.bls.gov/projections/nationalMatrix?queryParams=29-2055&amp;ioType=o", "Projections for 29-2055")</f>
        <v>Projections for 29-2055</v>
      </c>
    </row>
    <row r="483" spans="1:4" x14ac:dyDescent="0.35">
      <c r="A483" s="3" t="s">
        <v>1000</v>
      </c>
      <c r="B483" s="3" t="s">
        <v>1001</v>
      </c>
      <c r="C483" s="3" t="s">
        <v>65</v>
      </c>
      <c r="D483" s="7" t="str">
        <f>HYPERLINK("https://data.bls.gov/projections/nationalMatrix?queryParams=29-2056&amp;ioType=o", "Projections for 29-2056")</f>
        <v>Projections for 29-2056</v>
      </c>
    </row>
    <row r="484" spans="1:4" x14ac:dyDescent="0.35">
      <c r="A484" s="3" t="s">
        <v>1002</v>
      </c>
      <c r="B484" s="3" t="s">
        <v>1003</v>
      </c>
      <c r="C484" s="3" t="s">
        <v>65</v>
      </c>
      <c r="D484" s="7" t="str">
        <f>HYPERLINK("https://data.bls.gov/projections/nationalMatrix?queryParams=29-2057&amp;ioType=o", "Projections for 29-2057")</f>
        <v>Projections for 29-2057</v>
      </c>
    </row>
    <row r="485" spans="1:4" x14ac:dyDescent="0.35">
      <c r="A485" s="3" t="s">
        <v>1004</v>
      </c>
      <c r="B485" s="3" t="s">
        <v>1005</v>
      </c>
      <c r="C485" s="3" t="s">
        <v>65</v>
      </c>
      <c r="D485" s="7" t="str">
        <f>HYPERLINK("https://data.bls.gov/projections/nationalMatrix?queryParams=29-2061&amp;ioType=o", "Projections for 29-2061")</f>
        <v>Projections for 29-2061</v>
      </c>
    </row>
    <row r="486" spans="1:4" x14ac:dyDescent="0.35">
      <c r="A486" s="3" t="s">
        <v>1006</v>
      </c>
      <c r="B486" s="3" t="s">
        <v>1007</v>
      </c>
      <c r="C486" s="3" t="s">
        <v>65</v>
      </c>
      <c r="D486" s="7" t="str">
        <f>HYPERLINK("https://data.bls.gov/projections/nationalMatrix?queryParams=29-2072&amp;ioType=o", "Projections for 29-2072")</f>
        <v>Projections for 29-2072</v>
      </c>
    </row>
    <row r="487" spans="1:4" x14ac:dyDescent="0.35">
      <c r="A487" s="3" t="s">
        <v>1008</v>
      </c>
      <c r="B487" s="3" t="s">
        <v>1009</v>
      </c>
      <c r="C487" s="3" t="s">
        <v>65</v>
      </c>
      <c r="D487" s="7" t="str">
        <f>HYPERLINK("https://data.bls.gov/projections/nationalMatrix?queryParams=29-2081&amp;ioType=o", "Projections for 29-2081")</f>
        <v>Projections for 29-2081</v>
      </c>
    </row>
    <row r="488" spans="1:4" x14ac:dyDescent="0.35">
      <c r="A488" s="3" t="s">
        <v>1010</v>
      </c>
      <c r="B488" s="3" t="s">
        <v>1011</v>
      </c>
      <c r="C488" s="3" t="s">
        <v>60</v>
      </c>
      <c r="D488" s="7" t="str">
        <f>HYPERLINK("https://data.bls.gov/projections/nationalMatrix?queryParams=29-2090&amp;ioType=o", "Projections for 29-2090")</f>
        <v>Projections for 29-2090</v>
      </c>
    </row>
    <row r="489" spans="1:4" x14ac:dyDescent="0.35">
      <c r="A489" s="3" t="s">
        <v>1012</v>
      </c>
      <c r="B489" s="3" t="s">
        <v>1013</v>
      </c>
      <c r="C489" s="3" t="s">
        <v>65</v>
      </c>
      <c r="D489" s="7" t="str">
        <f>HYPERLINK("https://data.bls.gov/projections/nationalMatrix?queryParams=29-2091&amp;ioType=o", "Projections for 29-2091")</f>
        <v>Projections for 29-2091</v>
      </c>
    </row>
    <row r="490" spans="1:4" x14ac:dyDescent="0.35">
      <c r="A490" s="3" t="s">
        <v>1014</v>
      </c>
      <c r="B490" s="3" t="s">
        <v>1015</v>
      </c>
      <c r="C490" s="3" t="s">
        <v>65</v>
      </c>
      <c r="D490" s="7" t="str">
        <f>HYPERLINK("https://data.bls.gov/projections/nationalMatrix?queryParams=29-2092&amp;ioType=o", "Projections for 29-2092")</f>
        <v>Projections for 29-2092</v>
      </c>
    </row>
    <row r="491" spans="1:4" x14ac:dyDescent="0.35">
      <c r="A491" s="3" t="s">
        <v>1016</v>
      </c>
      <c r="B491" s="3" t="s">
        <v>1017</v>
      </c>
      <c r="C491" s="3" t="s">
        <v>65</v>
      </c>
      <c r="D491" s="7" t="str">
        <f>HYPERLINK("https://data.bls.gov/projections/nationalMatrix?queryParams=29-2099&amp;ioType=o", "Projections for 29-2099")</f>
        <v>Projections for 29-2099</v>
      </c>
    </row>
    <row r="492" spans="1:4" x14ac:dyDescent="0.35">
      <c r="A492" s="3" t="s">
        <v>1018</v>
      </c>
      <c r="B492" s="3" t="s">
        <v>1019</v>
      </c>
      <c r="C492" s="3" t="s">
        <v>60</v>
      </c>
      <c r="D492" s="7" t="str">
        <f>HYPERLINK("https://data.bls.gov/projections/nationalMatrix?queryParams=29-9000&amp;ioType=o", "Projections for 29-9000")</f>
        <v>Projections for 29-9000</v>
      </c>
    </row>
    <row r="493" spans="1:4" x14ac:dyDescent="0.35">
      <c r="A493" s="3" t="s">
        <v>1020</v>
      </c>
      <c r="B493" s="3" t="s">
        <v>1021</v>
      </c>
      <c r="C493" s="3" t="s">
        <v>65</v>
      </c>
      <c r="D493" s="7" t="str">
        <f>HYPERLINK("https://data.bls.gov/projections/nationalMatrix?queryParams=29-9021&amp;ioType=o", "Projections for 29-9021")</f>
        <v>Projections for 29-9021</v>
      </c>
    </row>
    <row r="494" spans="1:4" x14ac:dyDescent="0.35">
      <c r="A494" s="3" t="s">
        <v>1022</v>
      </c>
      <c r="B494" s="3" t="s">
        <v>1023</v>
      </c>
      <c r="C494" s="3" t="s">
        <v>60</v>
      </c>
      <c r="D494" s="7" t="str">
        <f>HYPERLINK("https://data.bls.gov/projections/nationalMatrix?queryParams=29-9090&amp;ioType=o", "Projections for 29-9090")</f>
        <v>Projections for 29-9090</v>
      </c>
    </row>
    <row r="495" spans="1:4" x14ac:dyDescent="0.35">
      <c r="A495" s="3" t="s">
        <v>1024</v>
      </c>
      <c r="B495" s="3" t="s">
        <v>1025</v>
      </c>
      <c r="C495" s="3" t="s">
        <v>65</v>
      </c>
      <c r="D495" s="7" t="str">
        <f>HYPERLINK("https://data.bls.gov/projections/nationalMatrix?queryParams=29-9091&amp;ioType=o", "Projections for 29-9091")</f>
        <v>Projections for 29-9091</v>
      </c>
    </row>
    <row r="496" spans="1:4" x14ac:dyDescent="0.35">
      <c r="A496" s="3" t="s">
        <v>1026</v>
      </c>
      <c r="B496" s="3" t="s">
        <v>1027</v>
      </c>
      <c r="C496" s="3" t="s">
        <v>65</v>
      </c>
      <c r="D496" s="7" t="str">
        <f>HYPERLINK("https://data.bls.gov/projections/nationalMatrix?queryParams=29-9092&amp;ioType=o", "Projections for 29-9092")</f>
        <v>Projections for 29-9092</v>
      </c>
    </row>
    <row r="497" spans="1:4" x14ac:dyDescent="0.35">
      <c r="A497" s="3" t="s">
        <v>1028</v>
      </c>
      <c r="B497" s="3" t="s">
        <v>1029</v>
      </c>
      <c r="C497" s="3" t="s">
        <v>65</v>
      </c>
      <c r="D497" s="7" t="str">
        <f>HYPERLINK("https://data.bls.gov/projections/nationalMatrix?queryParams=29-9093&amp;ioType=o", "Projections for 29-9093")</f>
        <v>Projections for 29-9093</v>
      </c>
    </row>
    <row r="498" spans="1:4" x14ac:dyDescent="0.35">
      <c r="A498" s="3" t="s">
        <v>1030</v>
      </c>
      <c r="B498" s="3" t="s">
        <v>1031</v>
      </c>
      <c r="C498" s="3" t="s">
        <v>65</v>
      </c>
      <c r="D498" s="7" t="str">
        <f>HYPERLINK("https://data.bls.gov/projections/nationalMatrix?queryParams=29-9099&amp;ioType=o", "Projections for 29-9099")</f>
        <v>Projections for 29-9099</v>
      </c>
    </row>
    <row r="499" spans="1:4" x14ac:dyDescent="0.35">
      <c r="A499" s="3" t="s">
        <v>28</v>
      </c>
      <c r="B499" s="3" t="s">
        <v>29</v>
      </c>
      <c r="C499" s="3" t="s">
        <v>60</v>
      </c>
      <c r="D499" s="7" t="str">
        <f>HYPERLINK("https://data.bls.gov/projections/nationalMatrix?queryParams=31-0000&amp;ioType=o", "Projections for 31-0000")</f>
        <v>Projections for 31-0000</v>
      </c>
    </row>
    <row r="500" spans="1:4" x14ac:dyDescent="0.35">
      <c r="A500" s="3" t="s">
        <v>1032</v>
      </c>
      <c r="B500" s="3" t="s">
        <v>1033</v>
      </c>
      <c r="C500" s="3" t="s">
        <v>60</v>
      </c>
      <c r="D500" s="7" t="str">
        <f>HYPERLINK("https://data.bls.gov/projections/nationalMatrix?queryParams=31-1100&amp;ioType=o", "Projections for 31-1100")</f>
        <v>Projections for 31-1100</v>
      </c>
    </row>
    <row r="501" spans="1:4" x14ac:dyDescent="0.35">
      <c r="A501" s="3" t="s">
        <v>1034</v>
      </c>
      <c r="B501" s="3" t="s">
        <v>1035</v>
      </c>
      <c r="C501" s="3" t="s">
        <v>65</v>
      </c>
      <c r="D501" s="7" t="str">
        <f>HYPERLINK("https://data.bls.gov/projections/nationalMatrix?queryParams=31-1120&amp;ioType=o", "Projections for 31-1120")</f>
        <v>Projections for 31-1120</v>
      </c>
    </row>
    <row r="502" spans="1:4" x14ac:dyDescent="0.35">
      <c r="A502" s="3" t="s">
        <v>1036</v>
      </c>
      <c r="B502" s="3" t="s">
        <v>1037</v>
      </c>
      <c r="C502" s="3" t="s">
        <v>60</v>
      </c>
      <c r="D502" s="7" t="str">
        <f>HYPERLINK("https://data.bls.gov/projections/nationalMatrix?queryParams=31-1130&amp;ioType=o", "Projections for 31-1130")</f>
        <v>Projections for 31-1130</v>
      </c>
    </row>
    <row r="503" spans="1:4" x14ac:dyDescent="0.35">
      <c r="A503" s="3" t="s">
        <v>1038</v>
      </c>
      <c r="B503" s="3" t="s">
        <v>1039</v>
      </c>
      <c r="C503" s="3" t="s">
        <v>65</v>
      </c>
      <c r="D503" s="7" t="str">
        <f>HYPERLINK("https://data.bls.gov/projections/nationalMatrix?queryParams=31-1131&amp;ioType=o", "Projections for 31-1131")</f>
        <v>Projections for 31-1131</v>
      </c>
    </row>
    <row r="504" spans="1:4" x14ac:dyDescent="0.35">
      <c r="A504" s="3" t="s">
        <v>1040</v>
      </c>
      <c r="B504" s="3" t="s">
        <v>1041</v>
      </c>
      <c r="C504" s="3" t="s">
        <v>65</v>
      </c>
      <c r="D504" s="7" t="str">
        <f>HYPERLINK("https://data.bls.gov/projections/nationalMatrix?queryParams=31-1132&amp;ioType=o", "Projections for 31-1132")</f>
        <v>Projections for 31-1132</v>
      </c>
    </row>
    <row r="505" spans="1:4" x14ac:dyDescent="0.35">
      <c r="A505" s="3" t="s">
        <v>1042</v>
      </c>
      <c r="B505" s="3" t="s">
        <v>1043</v>
      </c>
      <c r="C505" s="3" t="s">
        <v>65</v>
      </c>
      <c r="D505" s="7" t="str">
        <f>HYPERLINK("https://data.bls.gov/projections/nationalMatrix?queryParams=31-1133&amp;ioType=o", "Projections for 31-1133")</f>
        <v>Projections for 31-1133</v>
      </c>
    </row>
    <row r="506" spans="1:4" x14ac:dyDescent="0.35">
      <c r="A506" s="3" t="s">
        <v>1044</v>
      </c>
      <c r="B506" s="3" t="s">
        <v>1045</v>
      </c>
      <c r="C506" s="3" t="s">
        <v>60</v>
      </c>
      <c r="D506" s="7" t="str">
        <f>HYPERLINK("https://data.bls.gov/projections/nationalMatrix?queryParams=31-2000&amp;ioType=o", "Projections for 31-2000")</f>
        <v>Projections for 31-2000</v>
      </c>
    </row>
    <row r="507" spans="1:4" x14ac:dyDescent="0.35">
      <c r="A507" s="3" t="s">
        <v>1046</v>
      </c>
      <c r="B507" s="3" t="s">
        <v>1047</v>
      </c>
      <c r="C507" s="3" t="s">
        <v>60</v>
      </c>
      <c r="D507" s="7" t="str">
        <f>HYPERLINK("https://data.bls.gov/projections/nationalMatrix?queryParams=31-2010&amp;ioType=o", "Projections for 31-2010")</f>
        <v>Projections for 31-2010</v>
      </c>
    </row>
    <row r="508" spans="1:4" x14ac:dyDescent="0.35">
      <c r="A508" s="3" t="s">
        <v>1048</v>
      </c>
      <c r="B508" s="3" t="s">
        <v>1049</v>
      </c>
      <c r="C508" s="3" t="s">
        <v>65</v>
      </c>
      <c r="D508" s="7" t="str">
        <f>HYPERLINK("https://data.bls.gov/projections/nationalMatrix?queryParams=31-2011&amp;ioType=o", "Projections for 31-2011")</f>
        <v>Projections for 31-2011</v>
      </c>
    </row>
    <row r="509" spans="1:4" x14ac:dyDescent="0.35">
      <c r="A509" s="3" t="s">
        <v>1050</v>
      </c>
      <c r="B509" s="3" t="s">
        <v>1051</v>
      </c>
      <c r="C509" s="3" t="s">
        <v>65</v>
      </c>
      <c r="D509" s="7" t="str">
        <f>HYPERLINK("https://data.bls.gov/projections/nationalMatrix?queryParams=31-2012&amp;ioType=o", "Projections for 31-2012")</f>
        <v>Projections for 31-2012</v>
      </c>
    </row>
    <row r="510" spans="1:4" x14ac:dyDescent="0.35">
      <c r="A510" s="3" t="s">
        <v>1052</v>
      </c>
      <c r="B510" s="3" t="s">
        <v>1053</v>
      </c>
      <c r="C510" s="3" t="s">
        <v>60</v>
      </c>
      <c r="D510" s="7" t="str">
        <f>HYPERLINK("https://data.bls.gov/projections/nationalMatrix?queryParams=31-2020&amp;ioType=o", "Projections for 31-2020")</f>
        <v>Projections for 31-2020</v>
      </c>
    </row>
    <row r="511" spans="1:4" x14ac:dyDescent="0.35">
      <c r="A511" s="3" t="s">
        <v>1054</v>
      </c>
      <c r="B511" s="3" t="s">
        <v>1055</v>
      </c>
      <c r="C511" s="3" t="s">
        <v>65</v>
      </c>
      <c r="D511" s="7" t="str">
        <f>HYPERLINK("https://data.bls.gov/projections/nationalMatrix?queryParams=31-2021&amp;ioType=o", "Projections for 31-2021")</f>
        <v>Projections for 31-2021</v>
      </c>
    </row>
    <row r="512" spans="1:4" x14ac:dyDescent="0.35">
      <c r="A512" s="3" t="s">
        <v>1056</v>
      </c>
      <c r="B512" s="3" t="s">
        <v>1057</v>
      </c>
      <c r="C512" s="3" t="s">
        <v>65</v>
      </c>
      <c r="D512" s="7" t="str">
        <f>HYPERLINK("https://data.bls.gov/projections/nationalMatrix?queryParams=31-2022&amp;ioType=o", "Projections for 31-2022")</f>
        <v>Projections for 31-2022</v>
      </c>
    </row>
    <row r="513" spans="1:4" x14ac:dyDescent="0.35">
      <c r="A513" s="3" t="s">
        <v>1058</v>
      </c>
      <c r="B513" s="3" t="s">
        <v>1059</v>
      </c>
      <c r="C513" s="3" t="s">
        <v>60</v>
      </c>
      <c r="D513" s="7" t="str">
        <f>HYPERLINK("https://data.bls.gov/projections/nationalMatrix?queryParams=31-9000&amp;ioType=o", "Projections for 31-9000")</f>
        <v>Projections for 31-9000</v>
      </c>
    </row>
    <row r="514" spans="1:4" x14ac:dyDescent="0.35">
      <c r="A514" s="3" t="s">
        <v>1060</v>
      </c>
      <c r="B514" s="3" t="s">
        <v>1061</v>
      </c>
      <c r="C514" s="3" t="s">
        <v>65</v>
      </c>
      <c r="D514" s="7" t="str">
        <f>HYPERLINK("https://data.bls.gov/projections/nationalMatrix?queryParams=31-9011&amp;ioType=o", "Projections for 31-9011")</f>
        <v>Projections for 31-9011</v>
      </c>
    </row>
    <row r="515" spans="1:4" x14ac:dyDescent="0.35">
      <c r="A515" s="3" t="s">
        <v>1062</v>
      </c>
      <c r="B515" s="3" t="s">
        <v>1063</v>
      </c>
      <c r="C515" s="3" t="s">
        <v>60</v>
      </c>
      <c r="D515" s="7" t="str">
        <f>HYPERLINK("https://data.bls.gov/projections/nationalMatrix?queryParams=31-9090&amp;ioType=o", "Projections for 31-9090")</f>
        <v>Projections for 31-9090</v>
      </c>
    </row>
    <row r="516" spans="1:4" x14ac:dyDescent="0.35">
      <c r="A516" s="3" t="s">
        <v>1064</v>
      </c>
      <c r="B516" s="3" t="s">
        <v>1065</v>
      </c>
      <c r="C516" s="3" t="s">
        <v>65</v>
      </c>
      <c r="D516" s="7" t="str">
        <f>HYPERLINK("https://data.bls.gov/projections/nationalMatrix?queryParams=31-9091&amp;ioType=o", "Projections for 31-9091")</f>
        <v>Projections for 31-9091</v>
      </c>
    </row>
    <row r="517" spans="1:4" x14ac:dyDescent="0.35">
      <c r="A517" s="3" t="s">
        <v>1066</v>
      </c>
      <c r="B517" s="3" t="s">
        <v>1067</v>
      </c>
      <c r="C517" s="3" t="s">
        <v>65</v>
      </c>
      <c r="D517" s="7" t="str">
        <f>HYPERLINK("https://data.bls.gov/projections/nationalMatrix?queryParams=31-9092&amp;ioType=o", "Projections for 31-9092")</f>
        <v>Projections for 31-9092</v>
      </c>
    </row>
    <row r="518" spans="1:4" x14ac:dyDescent="0.35">
      <c r="A518" s="3" t="s">
        <v>1068</v>
      </c>
      <c r="B518" s="3" t="s">
        <v>1069</v>
      </c>
      <c r="C518" s="3" t="s">
        <v>65</v>
      </c>
      <c r="D518" s="7" t="str">
        <f>HYPERLINK("https://data.bls.gov/projections/nationalMatrix?queryParams=31-9093&amp;ioType=o", "Projections for 31-9093")</f>
        <v>Projections for 31-9093</v>
      </c>
    </row>
    <row r="519" spans="1:4" x14ac:dyDescent="0.35">
      <c r="A519" s="3" t="s">
        <v>1070</v>
      </c>
      <c r="B519" s="3" t="s">
        <v>1071</v>
      </c>
      <c r="C519" s="3" t="s">
        <v>65</v>
      </c>
      <c r="D519" s="7" t="str">
        <f>HYPERLINK("https://data.bls.gov/projections/nationalMatrix?queryParams=31-9094&amp;ioType=o", "Projections for 31-9094")</f>
        <v>Projections for 31-9094</v>
      </c>
    </row>
    <row r="520" spans="1:4" x14ac:dyDescent="0.35">
      <c r="A520" s="3" t="s">
        <v>1072</v>
      </c>
      <c r="B520" s="3" t="s">
        <v>1073</v>
      </c>
      <c r="C520" s="3" t="s">
        <v>65</v>
      </c>
      <c r="D520" s="7" t="str">
        <f>HYPERLINK("https://data.bls.gov/projections/nationalMatrix?queryParams=31-9095&amp;ioType=o", "Projections for 31-9095")</f>
        <v>Projections for 31-9095</v>
      </c>
    </row>
    <row r="521" spans="1:4" x14ac:dyDescent="0.35">
      <c r="A521" s="3" t="s">
        <v>1074</v>
      </c>
      <c r="B521" s="3" t="s">
        <v>1075</v>
      </c>
      <c r="C521" s="3" t="s">
        <v>65</v>
      </c>
      <c r="D521" s="7" t="str">
        <f>HYPERLINK("https://data.bls.gov/projections/nationalMatrix?queryParams=31-9096&amp;ioType=o", "Projections for 31-9096")</f>
        <v>Projections for 31-9096</v>
      </c>
    </row>
    <row r="522" spans="1:4" x14ac:dyDescent="0.35">
      <c r="A522" s="3" t="s">
        <v>1076</v>
      </c>
      <c r="B522" s="3" t="s">
        <v>1077</v>
      </c>
      <c r="C522" s="3" t="s">
        <v>65</v>
      </c>
      <c r="D522" s="7" t="str">
        <f>HYPERLINK("https://data.bls.gov/projections/nationalMatrix?queryParams=31-9097&amp;ioType=o", "Projections for 31-9097")</f>
        <v>Projections for 31-9097</v>
      </c>
    </row>
    <row r="523" spans="1:4" x14ac:dyDescent="0.35">
      <c r="A523" s="3" t="s">
        <v>1078</v>
      </c>
      <c r="B523" s="3" t="s">
        <v>1079</v>
      </c>
      <c r="C523" s="3" t="s">
        <v>65</v>
      </c>
      <c r="D523" s="7" t="str">
        <f>HYPERLINK("https://data.bls.gov/projections/nationalMatrix?queryParams=31-9099&amp;ioType=o", "Projections for 31-9099")</f>
        <v>Projections for 31-9099</v>
      </c>
    </row>
    <row r="524" spans="1:4" x14ac:dyDescent="0.35">
      <c r="A524" s="3" t="s">
        <v>30</v>
      </c>
      <c r="B524" s="3" t="s">
        <v>31</v>
      </c>
      <c r="C524" s="3" t="s">
        <v>60</v>
      </c>
      <c r="D524" s="7" t="str">
        <f>HYPERLINK("https://data.bls.gov/projections/nationalMatrix?queryParams=33-0000&amp;ioType=o", "Projections for 33-0000")</f>
        <v>Projections for 33-0000</v>
      </c>
    </row>
    <row r="525" spans="1:4" x14ac:dyDescent="0.35">
      <c r="A525" s="3" t="s">
        <v>1080</v>
      </c>
      <c r="B525" s="3" t="s">
        <v>1081</v>
      </c>
      <c r="C525" s="3" t="s">
        <v>60</v>
      </c>
      <c r="D525" s="7" t="str">
        <f>HYPERLINK("https://data.bls.gov/projections/nationalMatrix?queryParams=33-1000&amp;ioType=o", "Projections for 33-1000")</f>
        <v>Projections for 33-1000</v>
      </c>
    </row>
    <row r="526" spans="1:4" x14ac:dyDescent="0.35">
      <c r="A526" s="3" t="s">
        <v>1082</v>
      </c>
      <c r="B526" s="3" t="s">
        <v>1083</v>
      </c>
      <c r="C526" s="3" t="s">
        <v>60</v>
      </c>
      <c r="D526" s="7" t="str">
        <f>HYPERLINK("https://data.bls.gov/projections/nationalMatrix?queryParams=33-1010&amp;ioType=o", "Projections for 33-1010")</f>
        <v>Projections for 33-1010</v>
      </c>
    </row>
    <row r="527" spans="1:4" x14ac:dyDescent="0.35">
      <c r="A527" s="3" t="s">
        <v>1084</v>
      </c>
      <c r="B527" s="3" t="s">
        <v>1085</v>
      </c>
      <c r="C527" s="3" t="s">
        <v>65</v>
      </c>
      <c r="D527" s="7" t="str">
        <f>HYPERLINK("https://data.bls.gov/projections/nationalMatrix?queryParams=33-1011&amp;ioType=o", "Projections for 33-1011")</f>
        <v>Projections for 33-1011</v>
      </c>
    </row>
    <row r="528" spans="1:4" x14ac:dyDescent="0.35">
      <c r="A528" s="3" t="s">
        <v>1086</v>
      </c>
      <c r="B528" s="3" t="s">
        <v>1087</v>
      </c>
      <c r="C528" s="3" t="s">
        <v>65</v>
      </c>
      <c r="D528" s="7" t="str">
        <f>HYPERLINK("https://data.bls.gov/projections/nationalMatrix?queryParams=33-1012&amp;ioType=o", "Projections for 33-1012")</f>
        <v>Projections for 33-1012</v>
      </c>
    </row>
    <row r="529" spans="1:4" x14ac:dyDescent="0.35">
      <c r="A529" s="3" t="s">
        <v>1088</v>
      </c>
      <c r="B529" s="3" t="s">
        <v>1089</v>
      </c>
      <c r="C529" s="3" t="s">
        <v>65</v>
      </c>
      <c r="D529" s="7" t="str">
        <f>HYPERLINK("https://data.bls.gov/projections/nationalMatrix?queryParams=33-1021&amp;ioType=o", "Projections for 33-1021")</f>
        <v>Projections for 33-1021</v>
      </c>
    </row>
    <row r="530" spans="1:4" x14ac:dyDescent="0.35">
      <c r="A530" s="3" t="s">
        <v>1090</v>
      </c>
      <c r="B530" s="3" t="s">
        <v>1091</v>
      </c>
      <c r="C530" s="3" t="s">
        <v>60</v>
      </c>
      <c r="D530" s="7" t="str">
        <f>HYPERLINK("https://data.bls.gov/projections/nationalMatrix?queryParams=33-1090&amp;ioType=o", "Projections for 33-1090")</f>
        <v>Projections for 33-1090</v>
      </c>
    </row>
    <row r="531" spans="1:4" x14ac:dyDescent="0.35">
      <c r="A531" s="3" t="s">
        <v>1092</v>
      </c>
      <c r="B531" s="3" t="s">
        <v>1093</v>
      </c>
      <c r="C531" s="3" t="s">
        <v>65</v>
      </c>
      <c r="D531" s="7" t="str">
        <f>HYPERLINK("https://data.bls.gov/projections/nationalMatrix?queryParams=33-1091&amp;ioType=o", "Projections for 33-1091")</f>
        <v>Projections for 33-1091</v>
      </c>
    </row>
    <row r="532" spans="1:4" x14ac:dyDescent="0.35">
      <c r="A532" s="3" t="s">
        <v>1094</v>
      </c>
      <c r="B532" s="3" t="s">
        <v>1095</v>
      </c>
      <c r="C532" s="3" t="s">
        <v>65</v>
      </c>
      <c r="D532" s="7" t="str">
        <f>HYPERLINK("https://data.bls.gov/projections/nationalMatrix?queryParams=33-1099&amp;ioType=o", "Projections for 33-1099")</f>
        <v>Projections for 33-1099</v>
      </c>
    </row>
    <row r="533" spans="1:4" x14ac:dyDescent="0.35">
      <c r="A533" s="3" t="s">
        <v>1096</v>
      </c>
      <c r="B533" s="3" t="s">
        <v>1097</v>
      </c>
      <c r="C533" s="3" t="s">
        <v>60</v>
      </c>
      <c r="D533" s="7" t="str">
        <f>HYPERLINK("https://data.bls.gov/projections/nationalMatrix?queryParams=33-2000&amp;ioType=o", "Projections for 33-2000")</f>
        <v>Projections for 33-2000</v>
      </c>
    </row>
    <row r="534" spans="1:4" x14ac:dyDescent="0.35">
      <c r="A534" s="3" t="s">
        <v>1098</v>
      </c>
      <c r="B534" s="3" t="s">
        <v>1099</v>
      </c>
      <c r="C534" s="3" t="s">
        <v>65</v>
      </c>
      <c r="D534" s="7" t="str">
        <f>HYPERLINK("https://data.bls.gov/projections/nationalMatrix?queryParams=33-2011&amp;ioType=o", "Projections for 33-2011")</f>
        <v>Projections for 33-2011</v>
      </c>
    </row>
    <row r="535" spans="1:4" x14ac:dyDescent="0.35">
      <c r="A535" s="3" t="s">
        <v>1100</v>
      </c>
      <c r="B535" s="3" t="s">
        <v>1101</v>
      </c>
      <c r="C535" s="3" t="s">
        <v>60</v>
      </c>
      <c r="D535" s="7" t="str">
        <f>HYPERLINK("https://data.bls.gov/projections/nationalMatrix?queryParams=33-2020&amp;ioType=o", "Projections for 33-2020")</f>
        <v>Projections for 33-2020</v>
      </c>
    </row>
    <row r="536" spans="1:4" x14ac:dyDescent="0.35">
      <c r="A536" s="3" t="s">
        <v>1102</v>
      </c>
      <c r="B536" s="3" t="s">
        <v>1103</v>
      </c>
      <c r="C536" s="3" t="s">
        <v>65</v>
      </c>
      <c r="D536" s="7" t="str">
        <f>HYPERLINK("https://data.bls.gov/projections/nationalMatrix?queryParams=33-2021&amp;ioType=o", "Projections for 33-2021")</f>
        <v>Projections for 33-2021</v>
      </c>
    </row>
    <row r="537" spans="1:4" x14ac:dyDescent="0.35">
      <c r="A537" s="3" t="s">
        <v>1104</v>
      </c>
      <c r="B537" s="3" t="s">
        <v>1105</v>
      </c>
      <c r="C537" s="3" t="s">
        <v>65</v>
      </c>
      <c r="D537" s="7" t="str">
        <f>HYPERLINK("https://data.bls.gov/projections/nationalMatrix?queryParams=33-2022&amp;ioType=o", "Projections for 33-2022")</f>
        <v>Projections for 33-2022</v>
      </c>
    </row>
    <row r="538" spans="1:4" x14ac:dyDescent="0.35">
      <c r="A538" s="3" t="s">
        <v>1106</v>
      </c>
      <c r="B538" s="3" t="s">
        <v>1107</v>
      </c>
      <c r="C538" s="3" t="s">
        <v>60</v>
      </c>
      <c r="D538" s="7" t="str">
        <f>HYPERLINK("https://data.bls.gov/projections/nationalMatrix?queryParams=33-3000&amp;ioType=o", "Projections for 33-3000")</f>
        <v>Projections for 33-3000</v>
      </c>
    </row>
    <row r="539" spans="1:4" x14ac:dyDescent="0.35">
      <c r="A539" s="3" t="s">
        <v>1108</v>
      </c>
      <c r="B539" s="3" t="s">
        <v>1109</v>
      </c>
      <c r="C539" s="3" t="s">
        <v>60</v>
      </c>
      <c r="D539" s="7" t="str">
        <f>HYPERLINK("https://data.bls.gov/projections/nationalMatrix?queryParams=33-3010&amp;ioType=o", "Projections for 33-3010")</f>
        <v>Projections for 33-3010</v>
      </c>
    </row>
    <row r="540" spans="1:4" x14ac:dyDescent="0.35">
      <c r="A540" s="3" t="s">
        <v>1110</v>
      </c>
      <c r="B540" s="3" t="s">
        <v>1111</v>
      </c>
      <c r="C540" s="3" t="s">
        <v>65</v>
      </c>
      <c r="D540" s="7" t="str">
        <f>HYPERLINK("https://data.bls.gov/projections/nationalMatrix?queryParams=33-3011&amp;ioType=o", "Projections for 33-3011")</f>
        <v>Projections for 33-3011</v>
      </c>
    </row>
    <row r="541" spans="1:4" x14ac:dyDescent="0.35">
      <c r="A541" s="3" t="s">
        <v>1112</v>
      </c>
      <c r="B541" s="3" t="s">
        <v>1113</v>
      </c>
      <c r="C541" s="3" t="s">
        <v>65</v>
      </c>
      <c r="D541" s="7" t="str">
        <f>HYPERLINK("https://data.bls.gov/projections/nationalMatrix?queryParams=33-3012&amp;ioType=o", "Projections for 33-3012")</f>
        <v>Projections for 33-3012</v>
      </c>
    </row>
    <row r="542" spans="1:4" x14ac:dyDescent="0.35">
      <c r="A542" s="3" t="s">
        <v>1114</v>
      </c>
      <c r="B542" s="3" t="s">
        <v>1115</v>
      </c>
      <c r="C542" s="3" t="s">
        <v>65</v>
      </c>
      <c r="D542" s="7" t="str">
        <f>HYPERLINK("https://data.bls.gov/projections/nationalMatrix?queryParams=33-3021&amp;ioType=o", "Projections for 33-3021")</f>
        <v>Projections for 33-3021</v>
      </c>
    </row>
    <row r="543" spans="1:4" x14ac:dyDescent="0.35">
      <c r="A543" s="3" t="s">
        <v>1116</v>
      </c>
      <c r="B543" s="3" t="s">
        <v>1117</v>
      </c>
      <c r="C543" s="3" t="s">
        <v>65</v>
      </c>
      <c r="D543" s="7" t="str">
        <f>HYPERLINK("https://data.bls.gov/projections/nationalMatrix?queryParams=33-3031&amp;ioType=o", "Projections for 33-3031")</f>
        <v>Projections for 33-3031</v>
      </c>
    </row>
    <row r="544" spans="1:4" x14ac:dyDescent="0.35">
      <c r="A544" s="3" t="s">
        <v>1118</v>
      </c>
      <c r="B544" s="3" t="s">
        <v>1119</v>
      </c>
      <c r="C544" s="3" t="s">
        <v>65</v>
      </c>
      <c r="D544" s="7" t="str">
        <f>HYPERLINK("https://data.bls.gov/projections/nationalMatrix?queryParams=33-3041&amp;ioType=o", "Projections for 33-3041")</f>
        <v>Projections for 33-3041</v>
      </c>
    </row>
    <row r="545" spans="1:4" x14ac:dyDescent="0.35">
      <c r="A545" s="3" t="s">
        <v>1120</v>
      </c>
      <c r="B545" s="3" t="s">
        <v>1121</v>
      </c>
      <c r="C545" s="3" t="s">
        <v>60</v>
      </c>
      <c r="D545" s="7" t="str">
        <f>HYPERLINK("https://data.bls.gov/projections/nationalMatrix?queryParams=33-3050&amp;ioType=o", "Projections for 33-3050")</f>
        <v>Projections for 33-3050</v>
      </c>
    </row>
    <row r="546" spans="1:4" x14ac:dyDescent="0.35">
      <c r="A546" s="3" t="s">
        <v>1122</v>
      </c>
      <c r="B546" s="3" t="s">
        <v>1123</v>
      </c>
      <c r="C546" s="3" t="s">
        <v>65</v>
      </c>
      <c r="D546" s="7" t="str">
        <f>HYPERLINK("https://data.bls.gov/projections/nationalMatrix?queryParams=33-3051&amp;ioType=o", "Projections for 33-3051")</f>
        <v>Projections for 33-3051</v>
      </c>
    </row>
    <row r="547" spans="1:4" x14ac:dyDescent="0.35">
      <c r="A547" s="3" t="s">
        <v>1124</v>
      </c>
      <c r="B547" s="3" t="s">
        <v>1125</v>
      </c>
      <c r="C547" s="3" t="s">
        <v>65</v>
      </c>
      <c r="D547" s="7" t="str">
        <f>HYPERLINK("https://data.bls.gov/projections/nationalMatrix?queryParams=33-3052&amp;ioType=o", "Projections for 33-3052")</f>
        <v>Projections for 33-3052</v>
      </c>
    </row>
    <row r="548" spans="1:4" x14ac:dyDescent="0.35">
      <c r="A548" s="3" t="s">
        <v>1126</v>
      </c>
      <c r="B548" s="3" t="s">
        <v>1127</v>
      </c>
      <c r="C548" s="3" t="s">
        <v>60</v>
      </c>
      <c r="D548" s="7" t="str">
        <f>HYPERLINK("https://data.bls.gov/projections/nationalMatrix?queryParams=33-9000&amp;ioType=o", "Projections for 33-9000")</f>
        <v>Projections for 33-9000</v>
      </c>
    </row>
    <row r="549" spans="1:4" x14ac:dyDescent="0.35">
      <c r="A549" s="3" t="s">
        <v>1128</v>
      </c>
      <c r="B549" s="3" t="s">
        <v>1129</v>
      </c>
      <c r="C549" s="3" t="s">
        <v>65</v>
      </c>
      <c r="D549" s="7" t="str">
        <f>HYPERLINK("https://data.bls.gov/projections/nationalMatrix?queryParams=33-9011&amp;ioType=o", "Projections for 33-9011")</f>
        <v>Projections for 33-9011</v>
      </c>
    </row>
    <row r="550" spans="1:4" x14ac:dyDescent="0.35">
      <c r="A550" s="3" t="s">
        <v>1130</v>
      </c>
      <c r="B550" s="3" t="s">
        <v>1131</v>
      </c>
      <c r="C550" s="3" t="s">
        <v>65</v>
      </c>
      <c r="D550" s="7" t="str">
        <f>HYPERLINK("https://data.bls.gov/projections/nationalMatrix?queryParams=33-9021&amp;ioType=o", "Projections for 33-9021")</f>
        <v>Projections for 33-9021</v>
      </c>
    </row>
    <row r="551" spans="1:4" x14ac:dyDescent="0.35">
      <c r="A551" s="3" t="s">
        <v>1132</v>
      </c>
      <c r="B551" s="3" t="s">
        <v>1133</v>
      </c>
      <c r="C551" s="3" t="s">
        <v>60</v>
      </c>
      <c r="D551" s="7" t="str">
        <f>HYPERLINK("https://data.bls.gov/projections/nationalMatrix?queryParams=33-9030&amp;ioType=o", "Projections for 33-9030")</f>
        <v>Projections for 33-9030</v>
      </c>
    </row>
    <row r="552" spans="1:4" x14ac:dyDescent="0.35">
      <c r="A552" s="3" t="s">
        <v>1134</v>
      </c>
      <c r="B552" s="3" t="s">
        <v>1135</v>
      </c>
      <c r="C552" s="3" t="s">
        <v>65</v>
      </c>
      <c r="D552" s="7" t="str">
        <f>HYPERLINK("https://data.bls.gov/projections/nationalMatrix?queryParams=33-9031&amp;ioType=o", "Projections for 33-9031")</f>
        <v>Projections for 33-9031</v>
      </c>
    </row>
    <row r="553" spans="1:4" x14ac:dyDescent="0.35">
      <c r="A553" s="3" t="s">
        <v>1136</v>
      </c>
      <c r="B553" s="3" t="s">
        <v>1137</v>
      </c>
      <c r="C553" s="3" t="s">
        <v>65</v>
      </c>
      <c r="D553" s="7" t="str">
        <f>HYPERLINK("https://data.bls.gov/projections/nationalMatrix?queryParams=33-9032&amp;ioType=o", "Projections for 33-9032")</f>
        <v>Projections for 33-9032</v>
      </c>
    </row>
    <row r="554" spans="1:4" x14ac:dyDescent="0.35">
      <c r="A554" s="3" t="s">
        <v>1138</v>
      </c>
      <c r="B554" s="3" t="s">
        <v>1139</v>
      </c>
      <c r="C554" s="3" t="s">
        <v>60</v>
      </c>
      <c r="D554" s="7" t="str">
        <f>HYPERLINK("https://data.bls.gov/projections/nationalMatrix?queryParams=33-9090&amp;ioType=o", "Projections for 33-9090")</f>
        <v>Projections for 33-9090</v>
      </c>
    </row>
    <row r="555" spans="1:4" x14ac:dyDescent="0.35">
      <c r="A555" s="3" t="s">
        <v>1140</v>
      </c>
      <c r="B555" s="3" t="s">
        <v>1141</v>
      </c>
      <c r="C555" s="3" t="s">
        <v>65</v>
      </c>
      <c r="D555" s="7" t="str">
        <f>HYPERLINK("https://data.bls.gov/projections/nationalMatrix?queryParams=33-9091&amp;ioType=o", "Projections for 33-9091")</f>
        <v>Projections for 33-9091</v>
      </c>
    </row>
    <row r="556" spans="1:4" x14ac:dyDescent="0.35">
      <c r="A556" s="3" t="s">
        <v>1142</v>
      </c>
      <c r="B556" s="3" t="s">
        <v>1143</v>
      </c>
      <c r="C556" s="3" t="s">
        <v>65</v>
      </c>
      <c r="D556" s="7" t="str">
        <f>HYPERLINK("https://data.bls.gov/projections/nationalMatrix?queryParams=33-9092&amp;ioType=o", "Projections for 33-9092")</f>
        <v>Projections for 33-9092</v>
      </c>
    </row>
    <row r="557" spans="1:4" x14ac:dyDescent="0.35">
      <c r="A557" s="3" t="s">
        <v>1144</v>
      </c>
      <c r="B557" s="3" t="s">
        <v>1145</v>
      </c>
      <c r="C557" s="3" t="s">
        <v>65</v>
      </c>
      <c r="D557" s="7" t="str">
        <f>HYPERLINK("https://data.bls.gov/projections/nationalMatrix?queryParams=33-9093&amp;ioType=o", "Projections for 33-9093")</f>
        <v>Projections for 33-9093</v>
      </c>
    </row>
    <row r="558" spans="1:4" x14ac:dyDescent="0.35">
      <c r="A558" s="3" t="s">
        <v>1146</v>
      </c>
      <c r="B558" s="3" t="s">
        <v>1147</v>
      </c>
      <c r="C558" s="3" t="s">
        <v>65</v>
      </c>
      <c r="D558" s="7" t="str">
        <f>HYPERLINK("https://data.bls.gov/projections/nationalMatrix?queryParams=33-9094&amp;ioType=o", "Projections for 33-9094")</f>
        <v>Projections for 33-9094</v>
      </c>
    </row>
    <row r="559" spans="1:4" x14ac:dyDescent="0.35">
      <c r="A559" s="3" t="s">
        <v>1148</v>
      </c>
      <c r="B559" s="3" t="s">
        <v>1149</v>
      </c>
      <c r="C559" s="3" t="s">
        <v>65</v>
      </c>
      <c r="D559" s="7" t="str">
        <f>HYPERLINK("https://data.bls.gov/projections/nationalMatrix?queryParams=33-9099&amp;ioType=o", "Projections for 33-9099")</f>
        <v>Projections for 33-9099</v>
      </c>
    </row>
    <row r="560" spans="1:4" x14ac:dyDescent="0.35">
      <c r="A560" s="3" t="s">
        <v>32</v>
      </c>
      <c r="B560" s="3" t="s">
        <v>33</v>
      </c>
      <c r="C560" s="3" t="s">
        <v>60</v>
      </c>
      <c r="D560" s="7" t="str">
        <f>HYPERLINK("https://data.bls.gov/projections/nationalMatrix?queryParams=35-0000&amp;ioType=o", "Projections for 35-0000")</f>
        <v>Projections for 35-0000</v>
      </c>
    </row>
    <row r="561" spans="1:4" x14ac:dyDescent="0.35">
      <c r="A561" s="3" t="s">
        <v>1150</v>
      </c>
      <c r="B561" s="3" t="s">
        <v>1151</v>
      </c>
      <c r="C561" s="3" t="s">
        <v>60</v>
      </c>
      <c r="D561" s="7" t="str">
        <f>HYPERLINK("https://data.bls.gov/projections/nationalMatrix?queryParams=35-1000&amp;ioType=o", "Projections for 35-1000")</f>
        <v>Projections for 35-1000</v>
      </c>
    </row>
    <row r="562" spans="1:4" x14ac:dyDescent="0.35">
      <c r="A562" s="3" t="s">
        <v>1152</v>
      </c>
      <c r="B562" s="3" t="s">
        <v>1153</v>
      </c>
      <c r="C562" s="3" t="s">
        <v>65</v>
      </c>
      <c r="D562" s="7" t="str">
        <f>HYPERLINK("https://data.bls.gov/projections/nationalMatrix?queryParams=35-1011&amp;ioType=o", "Projections for 35-1011")</f>
        <v>Projections for 35-1011</v>
      </c>
    </row>
    <row r="563" spans="1:4" x14ac:dyDescent="0.35">
      <c r="A563" s="3" t="s">
        <v>1154</v>
      </c>
      <c r="B563" s="3" t="s">
        <v>1155</v>
      </c>
      <c r="C563" s="3" t="s">
        <v>65</v>
      </c>
      <c r="D563" s="7" t="str">
        <f>HYPERLINK("https://data.bls.gov/projections/nationalMatrix?queryParams=35-1012&amp;ioType=o", "Projections for 35-1012")</f>
        <v>Projections for 35-1012</v>
      </c>
    </row>
    <row r="564" spans="1:4" x14ac:dyDescent="0.35">
      <c r="A564" s="3" t="s">
        <v>1156</v>
      </c>
      <c r="B564" s="3" t="s">
        <v>1157</v>
      </c>
      <c r="C564" s="3" t="s">
        <v>60</v>
      </c>
      <c r="D564" s="7" t="str">
        <f>HYPERLINK("https://data.bls.gov/projections/nationalMatrix?queryParams=35-2000&amp;ioType=o", "Projections for 35-2000")</f>
        <v>Projections for 35-2000</v>
      </c>
    </row>
    <row r="565" spans="1:4" x14ac:dyDescent="0.35">
      <c r="A565" s="3" t="s">
        <v>1158</v>
      </c>
      <c r="B565" s="3" t="s">
        <v>1159</v>
      </c>
      <c r="C565" s="3" t="s">
        <v>60</v>
      </c>
      <c r="D565" s="7" t="str">
        <f>HYPERLINK("https://data.bls.gov/projections/nationalMatrix?queryParams=35-2010&amp;ioType=o", "Projections for 35-2010")</f>
        <v>Projections for 35-2010</v>
      </c>
    </row>
    <row r="566" spans="1:4" x14ac:dyDescent="0.35">
      <c r="A566" s="3" t="s">
        <v>1160</v>
      </c>
      <c r="B566" s="3" t="s">
        <v>1161</v>
      </c>
      <c r="C566" s="3" t="s">
        <v>65</v>
      </c>
      <c r="D566" s="7" t="str">
        <f>HYPERLINK("https://data.bls.gov/projections/nationalMatrix?queryParams=35-2011&amp;ioType=o", "Projections for 35-2011")</f>
        <v>Projections for 35-2011</v>
      </c>
    </row>
    <row r="567" spans="1:4" x14ac:dyDescent="0.35">
      <c r="A567" s="3" t="s">
        <v>1162</v>
      </c>
      <c r="B567" s="3" t="s">
        <v>1163</v>
      </c>
      <c r="C567" s="3" t="s">
        <v>65</v>
      </c>
      <c r="D567" s="7" t="str">
        <f>HYPERLINK("https://data.bls.gov/projections/nationalMatrix?queryParams=35-2012&amp;ioType=o", "Projections for 35-2012")</f>
        <v>Projections for 35-2012</v>
      </c>
    </row>
    <row r="568" spans="1:4" x14ac:dyDescent="0.35">
      <c r="A568" s="3" t="s">
        <v>1164</v>
      </c>
      <c r="B568" s="3" t="s">
        <v>1165</v>
      </c>
      <c r="C568" s="3" t="s">
        <v>65</v>
      </c>
      <c r="D568" s="7" t="str">
        <f>HYPERLINK("https://data.bls.gov/projections/nationalMatrix?queryParams=35-2013&amp;ioType=o", "Projections for 35-2013")</f>
        <v>Projections for 35-2013</v>
      </c>
    </row>
    <row r="569" spans="1:4" x14ac:dyDescent="0.35">
      <c r="A569" s="3" t="s">
        <v>1166</v>
      </c>
      <c r="B569" s="3" t="s">
        <v>1167</v>
      </c>
      <c r="C569" s="3" t="s">
        <v>65</v>
      </c>
      <c r="D569" s="7" t="str">
        <f>HYPERLINK("https://data.bls.gov/projections/nationalMatrix?queryParams=35-2014&amp;ioType=o", "Projections for 35-2014")</f>
        <v>Projections for 35-2014</v>
      </c>
    </row>
    <row r="570" spans="1:4" x14ac:dyDescent="0.35">
      <c r="A570" s="3" t="s">
        <v>1168</v>
      </c>
      <c r="B570" s="3" t="s">
        <v>1169</v>
      </c>
      <c r="C570" s="3" t="s">
        <v>65</v>
      </c>
      <c r="D570" s="7" t="str">
        <f>HYPERLINK("https://data.bls.gov/projections/nationalMatrix?queryParams=35-2015&amp;ioType=o", "Projections for 35-2015")</f>
        <v>Projections for 35-2015</v>
      </c>
    </row>
    <row r="571" spans="1:4" x14ac:dyDescent="0.35">
      <c r="A571" s="3" t="s">
        <v>1170</v>
      </c>
      <c r="B571" s="3" t="s">
        <v>1171</v>
      </c>
      <c r="C571" s="3" t="s">
        <v>65</v>
      </c>
      <c r="D571" s="7" t="str">
        <f>HYPERLINK("https://data.bls.gov/projections/nationalMatrix?queryParams=35-2019&amp;ioType=o", "Projections for 35-2019")</f>
        <v>Projections for 35-2019</v>
      </c>
    </row>
    <row r="572" spans="1:4" x14ac:dyDescent="0.35">
      <c r="A572" s="3" t="s">
        <v>1172</v>
      </c>
      <c r="B572" s="3" t="s">
        <v>1173</v>
      </c>
      <c r="C572" s="3" t="s">
        <v>65</v>
      </c>
      <c r="D572" s="7" t="str">
        <f>HYPERLINK("https://data.bls.gov/projections/nationalMatrix?queryParams=35-2021&amp;ioType=o", "Projections for 35-2021")</f>
        <v>Projections for 35-2021</v>
      </c>
    </row>
    <row r="573" spans="1:4" x14ac:dyDescent="0.35">
      <c r="A573" s="3" t="s">
        <v>1174</v>
      </c>
      <c r="B573" s="3" t="s">
        <v>1175</v>
      </c>
      <c r="C573" s="3" t="s">
        <v>60</v>
      </c>
      <c r="D573" s="7" t="str">
        <f>HYPERLINK("https://data.bls.gov/projections/nationalMatrix?queryParams=35-3000&amp;ioType=o", "Projections for 35-3000")</f>
        <v>Projections for 35-3000</v>
      </c>
    </row>
    <row r="574" spans="1:4" x14ac:dyDescent="0.35">
      <c r="A574" s="3" t="s">
        <v>1176</v>
      </c>
      <c r="B574" s="3" t="s">
        <v>1177</v>
      </c>
      <c r="C574" s="3" t="s">
        <v>65</v>
      </c>
      <c r="D574" s="7" t="str">
        <f>HYPERLINK("https://data.bls.gov/projections/nationalMatrix?queryParams=35-3011&amp;ioType=o", "Projections for 35-3011")</f>
        <v>Projections for 35-3011</v>
      </c>
    </row>
    <row r="575" spans="1:4" x14ac:dyDescent="0.35">
      <c r="A575" s="3" t="s">
        <v>1178</v>
      </c>
      <c r="B575" s="3" t="s">
        <v>1179</v>
      </c>
      <c r="C575" s="3" t="s">
        <v>65</v>
      </c>
      <c r="D575" s="7" t="str">
        <f>HYPERLINK("https://data.bls.gov/projections/nationalMatrix?queryParams=35-3023&amp;ioType=o", "Projections for 35-3023")</f>
        <v>Projections for 35-3023</v>
      </c>
    </row>
    <row r="576" spans="1:4" x14ac:dyDescent="0.35">
      <c r="A576" s="3" t="s">
        <v>1180</v>
      </c>
      <c r="B576" s="3" t="s">
        <v>1181</v>
      </c>
      <c r="C576" s="3" t="s">
        <v>65</v>
      </c>
      <c r="D576" s="7" t="str">
        <f>HYPERLINK("https://data.bls.gov/projections/nationalMatrix?queryParams=35-3031&amp;ioType=o", "Projections for 35-3031")</f>
        <v>Projections for 35-3031</v>
      </c>
    </row>
    <row r="577" spans="1:4" x14ac:dyDescent="0.35">
      <c r="A577" s="3" t="s">
        <v>1182</v>
      </c>
      <c r="B577" s="3" t="s">
        <v>1183</v>
      </c>
      <c r="C577" s="3" t="s">
        <v>65</v>
      </c>
      <c r="D577" s="7" t="str">
        <f>HYPERLINK("https://data.bls.gov/projections/nationalMatrix?queryParams=35-3041&amp;ioType=o", "Projections for 35-3041")</f>
        <v>Projections for 35-3041</v>
      </c>
    </row>
    <row r="578" spans="1:4" x14ac:dyDescent="0.35">
      <c r="A578" s="3" t="s">
        <v>1184</v>
      </c>
      <c r="B578" s="3" t="s">
        <v>1185</v>
      </c>
      <c r="C578" s="3" t="s">
        <v>60</v>
      </c>
      <c r="D578" s="7" t="str">
        <f>HYPERLINK("https://data.bls.gov/projections/nationalMatrix?queryParams=35-9000&amp;ioType=o", "Projections for 35-9000")</f>
        <v>Projections for 35-9000</v>
      </c>
    </row>
    <row r="579" spans="1:4" x14ac:dyDescent="0.35">
      <c r="A579" s="3" t="s">
        <v>1186</v>
      </c>
      <c r="B579" s="3" t="s">
        <v>1187</v>
      </c>
      <c r="C579" s="3" t="s">
        <v>65</v>
      </c>
      <c r="D579" s="7" t="str">
        <f>HYPERLINK("https://data.bls.gov/projections/nationalMatrix?queryParams=35-9011&amp;ioType=o", "Projections for 35-9011")</f>
        <v>Projections for 35-9011</v>
      </c>
    </row>
    <row r="580" spans="1:4" x14ac:dyDescent="0.35">
      <c r="A580" s="3" t="s">
        <v>1188</v>
      </c>
      <c r="B580" s="3" t="s">
        <v>1189</v>
      </c>
      <c r="C580" s="3" t="s">
        <v>65</v>
      </c>
      <c r="D580" s="7" t="str">
        <f>HYPERLINK("https://data.bls.gov/projections/nationalMatrix?queryParams=35-9021&amp;ioType=o", "Projections for 35-9021")</f>
        <v>Projections for 35-9021</v>
      </c>
    </row>
    <row r="581" spans="1:4" x14ac:dyDescent="0.35">
      <c r="A581" s="3" t="s">
        <v>1190</v>
      </c>
      <c r="B581" s="3" t="s">
        <v>1191</v>
      </c>
      <c r="C581" s="3" t="s">
        <v>65</v>
      </c>
      <c r="D581" s="7" t="str">
        <f>HYPERLINK("https://data.bls.gov/projections/nationalMatrix?queryParams=35-9031&amp;ioType=o", "Projections for 35-9031")</f>
        <v>Projections for 35-9031</v>
      </c>
    </row>
    <row r="582" spans="1:4" x14ac:dyDescent="0.35">
      <c r="A582" s="3" t="s">
        <v>1192</v>
      </c>
      <c r="B582" s="3" t="s">
        <v>1193</v>
      </c>
      <c r="C582" s="3" t="s">
        <v>65</v>
      </c>
      <c r="D582" s="7" t="str">
        <f>HYPERLINK("https://data.bls.gov/projections/nationalMatrix?queryParams=35-9099&amp;ioType=o", "Projections for 35-9099")</f>
        <v>Projections for 35-9099</v>
      </c>
    </row>
    <row r="583" spans="1:4" x14ac:dyDescent="0.35">
      <c r="A583" s="3" t="s">
        <v>34</v>
      </c>
      <c r="B583" s="3" t="s">
        <v>35</v>
      </c>
      <c r="C583" s="3" t="s">
        <v>60</v>
      </c>
      <c r="D583" s="7" t="str">
        <f>HYPERLINK("https://data.bls.gov/projections/nationalMatrix?queryParams=37-0000&amp;ioType=o", "Projections for 37-0000")</f>
        <v>Projections for 37-0000</v>
      </c>
    </row>
    <row r="584" spans="1:4" x14ac:dyDescent="0.35">
      <c r="A584" s="3" t="s">
        <v>1194</v>
      </c>
      <c r="B584" s="3" t="s">
        <v>1195</v>
      </c>
      <c r="C584" s="3" t="s">
        <v>60</v>
      </c>
      <c r="D584" s="7" t="str">
        <f>HYPERLINK("https://data.bls.gov/projections/nationalMatrix?queryParams=37-1000&amp;ioType=o", "Projections for 37-1000")</f>
        <v>Projections for 37-1000</v>
      </c>
    </row>
    <row r="585" spans="1:4" x14ac:dyDescent="0.35">
      <c r="A585" s="3" t="s">
        <v>1196</v>
      </c>
      <c r="B585" s="3" t="s">
        <v>1197</v>
      </c>
      <c r="C585" s="3" t="s">
        <v>65</v>
      </c>
      <c r="D585" s="7" t="str">
        <f>HYPERLINK("https://data.bls.gov/projections/nationalMatrix?queryParams=37-1011&amp;ioType=o", "Projections for 37-1011")</f>
        <v>Projections for 37-1011</v>
      </c>
    </row>
    <row r="586" spans="1:4" x14ac:dyDescent="0.35">
      <c r="A586" s="3" t="s">
        <v>1198</v>
      </c>
      <c r="B586" s="3" t="s">
        <v>1199</v>
      </c>
      <c r="C586" s="3" t="s">
        <v>65</v>
      </c>
      <c r="D586" s="7" t="str">
        <f>HYPERLINK("https://data.bls.gov/projections/nationalMatrix?queryParams=37-1012&amp;ioType=o", "Projections for 37-1012")</f>
        <v>Projections for 37-1012</v>
      </c>
    </row>
    <row r="587" spans="1:4" x14ac:dyDescent="0.35">
      <c r="A587" s="3" t="s">
        <v>1200</v>
      </c>
      <c r="B587" s="3" t="s">
        <v>1201</v>
      </c>
      <c r="C587" s="3" t="s">
        <v>60</v>
      </c>
      <c r="D587" s="7" t="str">
        <f>HYPERLINK("https://data.bls.gov/projections/nationalMatrix?queryParams=37-2000&amp;ioType=o", "Projections for 37-2000")</f>
        <v>Projections for 37-2000</v>
      </c>
    </row>
    <row r="588" spans="1:4" x14ac:dyDescent="0.35">
      <c r="A588" s="3" t="s">
        <v>1202</v>
      </c>
      <c r="B588" s="3" t="s">
        <v>1203</v>
      </c>
      <c r="C588" s="3" t="s">
        <v>60</v>
      </c>
      <c r="D588" s="7" t="str">
        <f>HYPERLINK("https://data.bls.gov/projections/nationalMatrix?queryParams=37-2010&amp;ioType=o", "Projections for 37-2010")</f>
        <v>Projections for 37-2010</v>
      </c>
    </row>
    <row r="589" spans="1:4" x14ac:dyDescent="0.35">
      <c r="A589" s="3" t="s">
        <v>1204</v>
      </c>
      <c r="B589" s="3" t="s">
        <v>1205</v>
      </c>
      <c r="C589" s="3" t="s">
        <v>65</v>
      </c>
      <c r="D589" s="7" t="str">
        <f>HYPERLINK("https://data.bls.gov/projections/nationalMatrix?queryParams=37-2011&amp;ioType=o", "Projections for 37-2011")</f>
        <v>Projections for 37-2011</v>
      </c>
    </row>
    <row r="590" spans="1:4" x14ac:dyDescent="0.35">
      <c r="A590" s="3" t="s">
        <v>1206</v>
      </c>
      <c r="B590" s="3" t="s">
        <v>1207</v>
      </c>
      <c r="C590" s="3" t="s">
        <v>65</v>
      </c>
      <c r="D590" s="7" t="str">
        <f>HYPERLINK("https://data.bls.gov/projections/nationalMatrix?queryParams=37-2012&amp;ioType=o", "Projections for 37-2012")</f>
        <v>Projections for 37-2012</v>
      </c>
    </row>
    <row r="591" spans="1:4" x14ac:dyDescent="0.35">
      <c r="A591" s="3" t="s">
        <v>1208</v>
      </c>
      <c r="B591" s="3" t="s">
        <v>1209</v>
      </c>
      <c r="C591" s="3" t="s">
        <v>65</v>
      </c>
      <c r="D591" s="7" t="str">
        <f>HYPERLINK("https://data.bls.gov/projections/nationalMatrix?queryParams=37-2019&amp;ioType=o", "Projections for 37-2019")</f>
        <v>Projections for 37-2019</v>
      </c>
    </row>
    <row r="592" spans="1:4" x14ac:dyDescent="0.35">
      <c r="A592" s="3" t="s">
        <v>1210</v>
      </c>
      <c r="B592" s="3" t="s">
        <v>1211</v>
      </c>
      <c r="C592" s="3" t="s">
        <v>65</v>
      </c>
      <c r="D592" s="7" t="str">
        <f>HYPERLINK("https://data.bls.gov/projections/nationalMatrix?queryParams=37-2021&amp;ioType=o", "Projections for 37-2021")</f>
        <v>Projections for 37-2021</v>
      </c>
    </row>
    <row r="593" spans="1:4" x14ac:dyDescent="0.35">
      <c r="A593" s="3" t="s">
        <v>1212</v>
      </c>
      <c r="B593" s="3" t="s">
        <v>1213</v>
      </c>
      <c r="C593" s="3" t="s">
        <v>60</v>
      </c>
      <c r="D593" s="7" t="str">
        <f>HYPERLINK("https://data.bls.gov/projections/nationalMatrix?queryParams=37-3000&amp;ioType=o", "Projections for 37-3000")</f>
        <v>Projections for 37-3000</v>
      </c>
    </row>
    <row r="594" spans="1:4" x14ac:dyDescent="0.35">
      <c r="A594" s="3" t="s">
        <v>1214</v>
      </c>
      <c r="B594" s="3" t="s">
        <v>1215</v>
      </c>
      <c r="C594" s="3" t="s">
        <v>65</v>
      </c>
      <c r="D594" s="7" t="str">
        <f>HYPERLINK("https://data.bls.gov/projections/nationalMatrix?queryParams=37-3011&amp;ioType=o", "Projections for 37-3011")</f>
        <v>Projections for 37-3011</v>
      </c>
    </row>
    <row r="595" spans="1:4" x14ac:dyDescent="0.35">
      <c r="A595" s="3" t="s">
        <v>1216</v>
      </c>
      <c r="B595" s="3" t="s">
        <v>1217</v>
      </c>
      <c r="C595" s="3" t="s">
        <v>65</v>
      </c>
      <c r="D595" s="7" t="str">
        <f>HYPERLINK("https://data.bls.gov/projections/nationalMatrix?queryParams=37-3012&amp;ioType=o", "Projections for 37-3012")</f>
        <v>Projections for 37-3012</v>
      </c>
    </row>
    <row r="596" spans="1:4" x14ac:dyDescent="0.35">
      <c r="A596" s="3" t="s">
        <v>1218</v>
      </c>
      <c r="B596" s="3" t="s">
        <v>1219</v>
      </c>
      <c r="C596" s="3" t="s">
        <v>65</v>
      </c>
      <c r="D596" s="7" t="str">
        <f>HYPERLINK("https://data.bls.gov/projections/nationalMatrix?queryParams=37-3013&amp;ioType=o", "Projections for 37-3013")</f>
        <v>Projections for 37-3013</v>
      </c>
    </row>
    <row r="597" spans="1:4" x14ac:dyDescent="0.35">
      <c r="A597" s="3" t="s">
        <v>1220</v>
      </c>
      <c r="B597" s="3" t="s">
        <v>1221</v>
      </c>
      <c r="C597" s="3" t="s">
        <v>65</v>
      </c>
      <c r="D597" s="7" t="str">
        <f>HYPERLINK("https://data.bls.gov/projections/nationalMatrix?queryParams=37-3019&amp;ioType=o", "Projections for 37-3019")</f>
        <v>Projections for 37-3019</v>
      </c>
    </row>
    <row r="598" spans="1:4" x14ac:dyDescent="0.35">
      <c r="A598" s="3" t="s">
        <v>36</v>
      </c>
      <c r="B598" s="3" t="s">
        <v>37</v>
      </c>
      <c r="C598" s="3" t="s">
        <v>60</v>
      </c>
      <c r="D598" s="7" t="str">
        <f>HYPERLINK("https://data.bls.gov/projections/nationalMatrix?queryParams=39-0000&amp;ioType=o", "Projections for 39-0000")</f>
        <v>Projections for 39-0000</v>
      </c>
    </row>
    <row r="599" spans="1:4" x14ac:dyDescent="0.35">
      <c r="A599" s="3" t="s">
        <v>1222</v>
      </c>
      <c r="B599" s="3" t="s">
        <v>1223</v>
      </c>
      <c r="C599" s="3" t="s">
        <v>60</v>
      </c>
      <c r="D599" s="7" t="str">
        <f>HYPERLINK("https://data.bls.gov/projections/nationalMatrix?queryParams=39-1000&amp;ioType=o", "Projections for 39-1000")</f>
        <v>Projections for 39-1000</v>
      </c>
    </row>
    <row r="600" spans="1:4" x14ac:dyDescent="0.35">
      <c r="A600" s="3" t="s">
        <v>1224</v>
      </c>
      <c r="B600" s="3" t="s">
        <v>1225</v>
      </c>
      <c r="C600" s="3" t="s">
        <v>60</v>
      </c>
      <c r="D600" s="7" t="str">
        <f>HYPERLINK("https://data.bls.gov/projections/nationalMatrix?queryParams=39-1010&amp;ioType=o", "Projections for 39-1010")</f>
        <v>Projections for 39-1010</v>
      </c>
    </row>
    <row r="601" spans="1:4" x14ac:dyDescent="0.35">
      <c r="A601" s="3" t="s">
        <v>1226</v>
      </c>
      <c r="B601" s="3" t="s">
        <v>1227</v>
      </c>
      <c r="C601" s="3" t="s">
        <v>65</v>
      </c>
      <c r="D601" s="7" t="str">
        <f>HYPERLINK("https://data.bls.gov/projections/nationalMatrix?queryParams=39-1013&amp;ioType=o", "Projections for 39-1013")</f>
        <v>Projections for 39-1013</v>
      </c>
    </row>
    <row r="602" spans="1:4" x14ac:dyDescent="0.35">
      <c r="A602" s="3" t="s">
        <v>1228</v>
      </c>
      <c r="B602" s="3" t="s">
        <v>1229</v>
      </c>
      <c r="C602" s="3" t="s">
        <v>65</v>
      </c>
      <c r="D602" s="7" t="str">
        <f>HYPERLINK("https://data.bls.gov/projections/nationalMatrix?queryParams=39-1014&amp;ioType=o", "Projections for 39-1014")</f>
        <v>Projections for 39-1014</v>
      </c>
    </row>
    <row r="603" spans="1:4" x14ac:dyDescent="0.35">
      <c r="A603" s="3" t="s">
        <v>1230</v>
      </c>
      <c r="B603" s="3" t="s">
        <v>1231</v>
      </c>
      <c r="C603" s="3" t="s">
        <v>65</v>
      </c>
      <c r="D603" s="7" t="str">
        <f>HYPERLINK("https://data.bls.gov/projections/nationalMatrix?queryParams=39-1022&amp;ioType=o", "Projections for 39-1022")</f>
        <v>Projections for 39-1022</v>
      </c>
    </row>
    <row r="604" spans="1:4" x14ac:dyDescent="0.35">
      <c r="A604" s="3" t="s">
        <v>1232</v>
      </c>
      <c r="B604" s="3" t="s">
        <v>1233</v>
      </c>
      <c r="C604" s="3" t="s">
        <v>60</v>
      </c>
      <c r="D604" s="7" t="str">
        <f>HYPERLINK("https://data.bls.gov/projections/nationalMatrix?queryParams=39-2000&amp;ioType=o", "Projections for 39-2000")</f>
        <v>Projections for 39-2000</v>
      </c>
    </row>
    <row r="605" spans="1:4" x14ac:dyDescent="0.35">
      <c r="A605" s="3" t="s">
        <v>1234</v>
      </c>
      <c r="B605" s="3" t="s">
        <v>1235</v>
      </c>
      <c r="C605" s="3" t="s">
        <v>65</v>
      </c>
      <c r="D605" s="7" t="str">
        <f>HYPERLINK("https://data.bls.gov/projections/nationalMatrix?queryParams=39-2011&amp;ioType=o", "Projections for 39-2011")</f>
        <v>Projections for 39-2011</v>
      </c>
    </row>
    <row r="606" spans="1:4" x14ac:dyDescent="0.35">
      <c r="A606" s="3" t="s">
        <v>1236</v>
      </c>
      <c r="B606" s="3" t="s">
        <v>1237</v>
      </c>
      <c r="C606" s="3" t="s">
        <v>65</v>
      </c>
      <c r="D606" s="7" t="str">
        <f>HYPERLINK("https://data.bls.gov/projections/nationalMatrix?queryParams=39-2021&amp;ioType=o", "Projections for 39-2021")</f>
        <v>Projections for 39-2021</v>
      </c>
    </row>
    <row r="607" spans="1:4" x14ac:dyDescent="0.35">
      <c r="A607" s="3" t="s">
        <v>1238</v>
      </c>
      <c r="B607" s="3" t="s">
        <v>1239</v>
      </c>
      <c r="C607" s="3" t="s">
        <v>60</v>
      </c>
      <c r="D607" s="7" t="str">
        <f>HYPERLINK("https://data.bls.gov/projections/nationalMatrix?queryParams=39-3000&amp;ioType=o", "Projections for 39-3000")</f>
        <v>Projections for 39-3000</v>
      </c>
    </row>
    <row r="608" spans="1:4" x14ac:dyDescent="0.35">
      <c r="A608" s="3" t="s">
        <v>1240</v>
      </c>
      <c r="B608" s="3" t="s">
        <v>1241</v>
      </c>
      <c r="C608" s="3" t="s">
        <v>60</v>
      </c>
      <c r="D608" s="7" t="str">
        <f>HYPERLINK("https://data.bls.gov/projections/nationalMatrix?queryParams=39-3010&amp;ioType=o", "Projections for 39-3010")</f>
        <v>Projections for 39-3010</v>
      </c>
    </row>
    <row r="609" spans="1:4" x14ac:dyDescent="0.35">
      <c r="A609" s="3" t="s">
        <v>1242</v>
      </c>
      <c r="B609" s="3" t="s">
        <v>1243</v>
      </c>
      <c r="C609" s="3" t="s">
        <v>65</v>
      </c>
      <c r="D609" s="7" t="str">
        <f>HYPERLINK("https://data.bls.gov/projections/nationalMatrix?queryParams=39-3011&amp;ioType=o", "Projections for 39-3011")</f>
        <v>Projections for 39-3011</v>
      </c>
    </row>
    <row r="610" spans="1:4" x14ac:dyDescent="0.35">
      <c r="A610" s="3" t="s">
        <v>1244</v>
      </c>
      <c r="B610" s="3" t="s">
        <v>1245</v>
      </c>
      <c r="C610" s="3" t="s">
        <v>65</v>
      </c>
      <c r="D610" s="7" t="str">
        <f>HYPERLINK("https://data.bls.gov/projections/nationalMatrix?queryParams=39-3012&amp;ioType=o", "Projections for 39-3012")</f>
        <v>Projections for 39-3012</v>
      </c>
    </row>
    <row r="611" spans="1:4" x14ac:dyDescent="0.35">
      <c r="A611" s="3" t="s">
        <v>1246</v>
      </c>
      <c r="B611" s="3" t="s">
        <v>1247</v>
      </c>
      <c r="C611" s="3" t="s">
        <v>65</v>
      </c>
      <c r="D611" s="7" t="str">
        <f>HYPERLINK("https://data.bls.gov/projections/nationalMatrix?queryParams=39-3019&amp;ioType=o", "Projections for 39-3019")</f>
        <v>Projections for 39-3019</v>
      </c>
    </row>
    <row r="612" spans="1:4" x14ac:dyDescent="0.35">
      <c r="A612" s="3" t="s">
        <v>1248</v>
      </c>
      <c r="B612" s="3" t="s">
        <v>1249</v>
      </c>
      <c r="C612" s="3" t="s">
        <v>65</v>
      </c>
      <c r="D612" s="7" t="str">
        <f>HYPERLINK("https://data.bls.gov/projections/nationalMatrix?queryParams=39-3021&amp;ioType=o", "Projections for 39-3021")</f>
        <v>Projections for 39-3021</v>
      </c>
    </row>
    <row r="613" spans="1:4" x14ac:dyDescent="0.35">
      <c r="A613" s="3" t="s">
        <v>1250</v>
      </c>
      <c r="B613" s="3" t="s">
        <v>1251</v>
      </c>
      <c r="C613" s="3" t="s">
        <v>65</v>
      </c>
      <c r="D613" s="7" t="str">
        <f>HYPERLINK("https://data.bls.gov/projections/nationalMatrix?queryParams=39-3031&amp;ioType=o", "Projections for 39-3031")</f>
        <v>Projections for 39-3031</v>
      </c>
    </row>
    <row r="614" spans="1:4" x14ac:dyDescent="0.35">
      <c r="A614" s="3" t="s">
        <v>1252</v>
      </c>
      <c r="B614" s="3" t="s">
        <v>1253</v>
      </c>
      <c r="C614" s="3" t="s">
        <v>60</v>
      </c>
      <c r="D614" s="7" t="str">
        <f>HYPERLINK("https://data.bls.gov/projections/nationalMatrix?queryParams=39-3090&amp;ioType=o", "Projections for 39-3090")</f>
        <v>Projections for 39-3090</v>
      </c>
    </row>
    <row r="615" spans="1:4" x14ac:dyDescent="0.35">
      <c r="A615" s="3" t="s">
        <v>1254</v>
      </c>
      <c r="B615" s="3" t="s">
        <v>1255</v>
      </c>
      <c r="C615" s="3" t="s">
        <v>65</v>
      </c>
      <c r="D615" s="7" t="str">
        <f>HYPERLINK("https://data.bls.gov/projections/nationalMatrix?queryParams=39-3091&amp;ioType=o", "Projections for 39-3091")</f>
        <v>Projections for 39-3091</v>
      </c>
    </row>
    <row r="616" spans="1:4" x14ac:dyDescent="0.35">
      <c r="A616" s="3" t="s">
        <v>1256</v>
      </c>
      <c r="B616" s="3" t="s">
        <v>1257</v>
      </c>
      <c r="C616" s="3" t="s">
        <v>65</v>
      </c>
      <c r="D616" s="7" t="str">
        <f>HYPERLINK("https://data.bls.gov/projections/nationalMatrix?queryParams=39-3092&amp;ioType=o", "Projections for 39-3092")</f>
        <v>Projections for 39-3092</v>
      </c>
    </row>
    <row r="617" spans="1:4" x14ac:dyDescent="0.35">
      <c r="A617" s="3" t="s">
        <v>1258</v>
      </c>
      <c r="B617" s="3" t="s">
        <v>1259</v>
      </c>
      <c r="C617" s="3" t="s">
        <v>65</v>
      </c>
      <c r="D617" s="7" t="str">
        <f>HYPERLINK("https://data.bls.gov/projections/nationalMatrix?queryParams=39-3093&amp;ioType=o", "Projections for 39-3093")</f>
        <v>Projections for 39-3093</v>
      </c>
    </row>
    <row r="618" spans="1:4" x14ac:dyDescent="0.35">
      <c r="A618" s="3" t="s">
        <v>1260</v>
      </c>
      <c r="B618" s="3" t="s">
        <v>1261</v>
      </c>
      <c r="C618" s="3" t="s">
        <v>65</v>
      </c>
      <c r="D618" s="7" t="str">
        <f>HYPERLINK("https://data.bls.gov/projections/nationalMatrix?queryParams=39-3099&amp;ioType=o", "Projections for 39-3099")</f>
        <v>Projections for 39-3099</v>
      </c>
    </row>
    <row r="619" spans="1:4" x14ac:dyDescent="0.35">
      <c r="A619" s="3" t="s">
        <v>1262</v>
      </c>
      <c r="B619" s="3" t="s">
        <v>1263</v>
      </c>
      <c r="C619" s="3" t="s">
        <v>60</v>
      </c>
      <c r="D619" s="7" t="str">
        <f>HYPERLINK("https://data.bls.gov/projections/nationalMatrix?queryParams=39-4000&amp;ioType=o", "Projections for 39-4000")</f>
        <v>Projections for 39-4000</v>
      </c>
    </row>
    <row r="620" spans="1:4" x14ac:dyDescent="0.35">
      <c r="A620" s="3" t="s">
        <v>1264</v>
      </c>
      <c r="B620" s="3" t="s">
        <v>1265</v>
      </c>
      <c r="C620" s="3" t="s">
        <v>60</v>
      </c>
      <c r="D620" s="7" t="str">
        <f>HYPERLINK("https://data.bls.gov/projections/nationalMatrix?queryParams=39-4010&amp;ioType=o", "Projections for 39-4010")</f>
        <v>Projections for 39-4010</v>
      </c>
    </row>
    <row r="621" spans="1:4" x14ac:dyDescent="0.35">
      <c r="A621" s="3" t="s">
        <v>1266</v>
      </c>
      <c r="B621" s="3" t="s">
        <v>1267</v>
      </c>
      <c r="C621" s="3" t="s">
        <v>65</v>
      </c>
      <c r="D621" s="7" t="str">
        <f>HYPERLINK("https://data.bls.gov/projections/nationalMatrix?queryParams=39-4011&amp;ioType=o", "Projections for 39-4011")</f>
        <v>Projections for 39-4011</v>
      </c>
    </row>
    <row r="622" spans="1:4" x14ac:dyDescent="0.35">
      <c r="A622" s="3" t="s">
        <v>1268</v>
      </c>
      <c r="B622" s="3" t="s">
        <v>1269</v>
      </c>
      <c r="C622" s="3" t="s">
        <v>65</v>
      </c>
      <c r="D622" s="7" t="str">
        <f>HYPERLINK("https://data.bls.gov/projections/nationalMatrix?queryParams=39-4012&amp;ioType=o", "Projections for 39-4012")</f>
        <v>Projections for 39-4012</v>
      </c>
    </row>
    <row r="623" spans="1:4" x14ac:dyDescent="0.35">
      <c r="A623" s="3" t="s">
        <v>1270</v>
      </c>
      <c r="B623" s="3" t="s">
        <v>1271</v>
      </c>
      <c r="C623" s="3" t="s">
        <v>65</v>
      </c>
      <c r="D623" s="7" t="str">
        <f>HYPERLINK("https://data.bls.gov/projections/nationalMatrix?queryParams=39-4021&amp;ioType=o", "Projections for 39-4021")</f>
        <v>Projections for 39-4021</v>
      </c>
    </row>
    <row r="624" spans="1:4" x14ac:dyDescent="0.35">
      <c r="A624" s="3" t="s">
        <v>1272</v>
      </c>
      <c r="B624" s="3" t="s">
        <v>1273</v>
      </c>
      <c r="C624" s="3" t="s">
        <v>65</v>
      </c>
      <c r="D624" s="7" t="str">
        <f>HYPERLINK("https://data.bls.gov/projections/nationalMatrix?queryParams=39-4031&amp;ioType=o", "Projections for 39-4031")</f>
        <v>Projections for 39-4031</v>
      </c>
    </row>
    <row r="625" spans="1:4" x14ac:dyDescent="0.35">
      <c r="A625" s="3" t="s">
        <v>1274</v>
      </c>
      <c r="B625" s="3" t="s">
        <v>1275</v>
      </c>
      <c r="C625" s="3" t="s">
        <v>60</v>
      </c>
      <c r="D625" s="7" t="str">
        <f>HYPERLINK("https://data.bls.gov/projections/nationalMatrix?queryParams=39-5000&amp;ioType=o", "Projections for 39-5000")</f>
        <v>Projections for 39-5000</v>
      </c>
    </row>
    <row r="626" spans="1:4" x14ac:dyDescent="0.35">
      <c r="A626" s="3" t="s">
        <v>1276</v>
      </c>
      <c r="B626" s="3" t="s">
        <v>1277</v>
      </c>
      <c r="C626" s="3" t="s">
        <v>60</v>
      </c>
      <c r="D626" s="7" t="str">
        <f>HYPERLINK("https://data.bls.gov/projections/nationalMatrix?queryParams=39-5010&amp;ioType=o", "Projections for 39-5010")</f>
        <v>Projections for 39-5010</v>
      </c>
    </row>
    <row r="627" spans="1:4" x14ac:dyDescent="0.35">
      <c r="A627" s="3" t="s">
        <v>1278</v>
      </c>
      <c r="B627" s="3" t="s">
        <v>1279</v>
      </c>
      <c r="C627" s="3" t="s">
        <v>65</v>
      </c>
      <c r="D627" s="7" t="str">
        <f>HYPERLINK("https://data.bls.gov/projections/nationalMatrix?queryParams=39-5011&amp;ioType=o", "Projections for 39-5011")</f>
        <v>Projections for 39-5011</v>
      </c>
    </row>
    <row r="628" spans="1:4" x14ac:dyDescent="0.35">
      <c r="A628" s="3" t="s">
        <v>1280</v>
      </c>
      <c r="B628" s="3" t="s">
        <v>1281</v>
      </c>
      <c r="C628" s="3" t="s">
        <v>65</v>
      </c>
      <c r="D628" s="7" t="str">
        <f>HYPERLINK("https://data.bls.gov/projections/nationalMatrix?queryParams=39-5012&amp;ioType=o", "Projections for 39-5012")</f>
        <v>Projections for 39-5012</v>
      </c>
    </row>
    <row r="629" spans="1:4" x14ac:dyDescent="0.35">
      <c r="A629" s="3" t="s">
        <v>1282</v>
      </c>
      <c r="B629" s="3" t="s">
        <v>1283</v>
      </c>
      <c r="C629" s="3" t="s">
        <v>60</v>
      </c>
      <c r="D629" s="7" t="str">
        <f>HYPERLINK("https://data.bls.gov/projections/nationalMatrix?queryParams=39-5090&amp;ioType=o", "Projections for 39-5090")</f>
        <v>Projections for 39-5090</v>
      </c>
    </row>
    <row r="630" spans="1:4" x14ac:dyDescent="0.35">
      <c r="A630" s="3" t="s">
        <v>1284</v>
      </c>
      <c r="B630" s="3" t="s">
        <v>1285</v>
      </c>
      <c r="C630" s="3" t="s">
        <v>65</v>
      </c>
      <c r="D630" s="7" t="str">
        <f>HYPERLINK("https://data.bls.gov/projections/nationalMatrix?queryParams=39-5091&amp;ioType=o", "Projections for 39-5091")</f>
        <v>Projections for 39-5091</v>
      </c>
    </row>
    <row r="631" spans="1:4" x14ac:dyDescent="0.35">
      <c r="A631" s="3" t="s">
        <v>1286</v>
      </c>
      <c r="B631" s="3" t="s">
        <v>1287</v>
      </c>
      <c r="C631" s="3" t="s">
        <v>65</v>
      </c>
      <c r="D631" s="7" t="str">
        <f>HYPERLINK("https://data.bls.gov/projections/nationalMatrix?queryParams=39-5092&amp;ioType=o", "Projections for 39-5092")</f>
        <v>Projections for 39-5092</v>
      </c>
    </row>
    <row r="632" spans="1:4" x14ac:dyDescent="0.35">
      <c r="A632" s="3" t="s">
        <v>1288</v>
      </c>
      <c r="B632" s="3" t="s">
        <v>1289</v>
      </c>
      <c r="C632" s="3" t="s">
        <v>65</v>
      </c>
      <c r="D632" s="7" t="str">
        <f>HYPERLINK("https://data.bls.gov/projections/nationalMatrix?queryParams=39-5093&amp;ioType=o", "Projections for 39-5093")</f>
        <v>Projections for 39-5093</v>
      </c>
    </row>
    <row r="633" spans="1:4" x14ac:dyDescent="0.35">
      <c r="A633" s="3" t="s">
        <v>1290</v>
      </c>
      <c r="B633" s="3" t="s">
        <v>1291</v>
      </c>
      <c r="C633" s="3" t="s">
        <v>65</v>
      </c>
      <c r="D633" s="7" t="str">
        <f>HYPERLINK("https://data.bls.gov/projections/nationalMatrix?queryParams=39-5094&amp;ioType=o", "Projections for 39-5094")</f>
        <v>Projections for 39-5094</v>
      </c>
    </row>
    <row r="634" spans="1:4" x14ac:dyDescent="0.35">
      <c r="A634" s="3" t="s">
        <v>1292</v>
      </c>
      <c r="B634" s="3" t="s">
        <v>1293</v>
      </c>
      <c r="C634" s="3" t="s">
        <v>60</v>
      </c>
      <c r="D634" s="7" t="str">
        <f>HYPERLINK("https://data.bls.gov/projections/nationalMatrix?queryParams=39-6000&amp;ioType=o", "Projections for 39-6000")</f>
        <v>Projections for 39-6000</v>
      </c>
    </row>
    <row r="635" spans="1:4" x14ac:dyDescent="0.35">
      <c r="A635" s="3" t="s">
        <v>1294</v>
      </c>
      <c r="B635" s="3" t="s">
        <v>1295</v>
      </c>
      <c r="C635" s="3" t="s">
        <v>65</v>
      </c>
      <c r="D635" s="7" t="str">
        <f>HYPERLINK("https://data.bls.gov/projections/nationalMatrix?queryParams=39-6011&amp;ioType=o", "Projections for 39-6011")</f>
        <v>Projections for 39-6011</v>
      </c>
    </row>
    <row r="636" spans="1:4" x14ac:dyDescent="0.35">
      <c r="A636" s="3" t="s">
        <v>1296</v>
      </c>
      <c r="B636" s="3" t="s">
        <v>1297</v>
      </c>
      <c r="C636" s="3" t="s">
        <v>65</v>
      </c>
      <c r="D636" s="7" t="str">
        <f>HYPERLINK("https://data.bls.gov/projections/nationalMatrix?queryParams=39-6012&amp;ioType=o", "Projections for 39-6012")</f>
        <v>Projections for 39-6012</v>
      </c>
    </row>
    <row r="637" spans="1:4" x14ac:dyDescent="0.35">
      <c r="A637" s="3" t="s">
        <v>1298</v>
      </c>
      <c r="B637" s="3" t="s">
        <v>1299</v>
      </c>
      <c r="C637" s="3" t="s">
        <v>60</v>
      </c>
      <c r="D637" s="7" t="str">
        <f>HYPERLINK("https://data.bls.gov/projections/nationalMatrix?queryParams=39-7000&amp;ioType=o", "Projections for 39-7000")</f>
        <v>Projections for 39-7000</v>
      </c>
    </row>
    <row r="638" spans="1:4" x14ac:dyDescent="0.35">
      <c r="A638" s="3" t="s">
        <v>1300</v>
      </c>
      <c r="B638" s="3" t="s">
        <v>1301</v>
      </c>
      <c r="C638" s="3" t="s">
        <v>65</v>
      </c>
      <c r="D638" s="7" t="str">
        <f>HYPERLINK("https://data.bls.gov/projections/nationalMatrix?queryParams=39-7010&amp;ioType=o", "Projections for 39-7010")</f>
        <v>Projections for 39-7010</v>
      </c>
    </row>
    <row r="639" spans="1:4" x14ac:dyDescent="0.35">
      <c r="A639" s="3" t="s">
        <v>1302</v>
      </c>
      <c r="B639" s="3" t="s">
        <v>1303</v>
      </c>
      <c r="C639" s="3" t="s">
        <v>60</v>
      </c>
      <c r="D639" s="7" t="str">
        <f>HYPERLINK("https://data.bls.gov/projections/nationalMatrix?queryParams=39-9000&amp;ioType=o", "Projections for 39-9000")</f>
        <v>Projections for 39-9000</v>
      </c>
    </row>
    <row r="640" spans="1:4" x14ac:dyDescent="0.35">
      <c r="A640" s="3" t="s">
        <v>1304</v>
      </c>
      <c r="B640" s="3" t="s">
        <v>1305</v>
      </c>
      <c r="C640" s="3" t="s">
        <v>65</v>
      </c>
      <c r="D640" s="7" t="str">
        <f>HYPERLINK("https://data.bls.gov/projections/nationalMatrix?queryParams=39-9011&amp;ioType=o", "Projections for 39-9011")</f>
        <v>Projections for 39-9011</v>
      </c>
    </row>
    <row r="641" spans="1:4" x14ac:dyDescent="0.35">
      <c r="A641" s="3" t="s">
        <v>1306</v>
      </c>
      <c r="B641" s="3" t="s">
        <v>1307</v>
      </c>
      <c r="C641" s="3" t="s">
        <v>60</v>
      </c>
      <c r="D641" s="7" t="str">
        <f>HYPERLINK("https://data.bls.gov/projections/nationalMatrix?queryParams=39-9030&amp;ioType=o", "Projections for 39-9030")</f>
        <v>Projections for 39-9030</v>
      </c>
    </row>
    <row r="642" spans="1:4" x14ac:dyDescent="0.35">
      <c r="A642" s="3" t="s">
        <v>1308</v>
      </c>
      <c r="B642" s="3" t="s">
        <v>1309</v>
      </c>
      <c r="C642" s="3" t="s">
        <v>65</v>
      </c>
      <c r="D642" s="7" t="str">
        <f>HYPERLINK("https://data.bls.gov/projections/nationalMatrix?queryParams=39-9031&amp;ioType=o", "Projections for 39-9031")</f>
        <v>Projections for 39-9031</v>
      </c>
    </row>
    <row r="643" spans="1:4" x14ac:dyDescent="0.35">
      <c r="A643" s="3" t="s">
        <v>1310</v>
      </c>
      <c r="B643" s="3" t="s">
        <v>1311</v>
      </c>
      <c r="C643" s="3" t="s">
        <v>65</v>
      </c>
      <c r="D643" s="7" t="str">
        <f>HYPERLINK("https://data.bls.gov/projections/nationalMatrix?queryParams=39-9032&amp;ioType=o", "Projections for 39-9032")</f>
        <v>Projections for 39-9032</v>
      </c>
    </row>
    <row r="644" spans="1:4" x14ac:dyDescent="0.35">
      <c r="A644" s="3" t="s">
        <v>1312</v>
      </c>
      <c r="B644" s="3" t="s">
        <v>1313</v>
      </c>
      <c r="C644" s="3" t="s">
        <v>65</v>
      </c>
      <c r="D644" s="7" t="str">
        <f>HYPERLINK("https://data.bls.gov/projections/nationalMatrix?queryParams=39-9041&amp;ioType=o", "Projections for 39-9041")</f>
        <v>Projections for 39-9041</v>
      </c>
    </row>
    <row r="645" spans="1:4" x14ac:dyDescent="0.35">
      <c r="A645" s="3" t="s">
        <v>1314</v>
      </c>
      <c r="B645" s="3" t="s">
        <v>1315</v>
      </c>
      <c r="C645" s="3" t="s">
        <v>65</v>
      </c>
      <c r="D645" s="7" t="str">
        <f>HYPERLINK("https://data.bls.gov/projections/nationalMatrix?queryParams=39-9099&amp;ioType=o", "Projections for 39-9099")</f>
        <v>Projections for 39-9099</v>
      </c>
    </row>
    <row r="646" spans="1:4" x14ac:dyDescent="0.35">
      <c r="A646" s="3" t="s">
        <v>38</v>
      </c>
      <c r="B646" s="3" t="s">
        <v>39</v>
      </c>
      <c r="C646" s="3" t="s">
        <v>60</v>
      </c>
      <c r="D646" s="7" t="str">
        <f>HYPERLINK("https://data.bls.gov/projections/nationalMatrix?queryParams=41-0000&amp;ioType=o", "Projections for 41-0000")</f>
        <v>Projections for 41-0000</v>
      </c>
    </row>
    <row r="647" spans="1:4" x14ac:dyDescent="0.35">
      <c r="A647" s="3" t="s">
        <v>1316</v>
      </c>
      <c r="B647" s="3" t="s">
        <v>1317</v>
      </c>
      <c r="C647" s="3" t="s">
        <v>60</v>
      </c>
      <c r="D647" s="7" t="str">
        <f>HYPERLINK("https://data.bls.gov/projections/nationalMatrix?queryParams=41-1000&amp;ioType=o", "Projections for 41-1000")</f>
        <v>Projections for 41-1000</v>
      </c>
    </row>
    <row r="648" spans="1:4" x14ac:dyDescent="0.35">
      <c r="A648" s="3" t="s">
        <v>1318</v>
      </c>
      <c r="B648" s="3" t="s">
        <v>1319</v>
      </c>
      <c r="C648" s="3" t="s">
        <v>65</v>
      </c>
      <c r="D648" s="7" t="str">
        <f>HYPERLINK("https://data.bls.gov/projections/nationalMatrix?queryParams=41-1011&amp;ioType=o", "Projections for 41-1011")</f>
        <v>Projections for 41-1011</v>
      </c>
    </row>
    <row r="649" spans="1:4" x14ac:dyDescent="0.35">
      <c r="A649" s="3" t="s">
        <v>1320</v>
      </c>
      <c r="B649" s="3" t="s">
        <v>1321</v>
      </c>
      <c r="C649" s="3" t="s">
        <v>65</v>
      </c>
      <c r="D649" s="7" t="str">
        <f>HYPERLINK("https://data.bls.gov/projections/nationalMatrix?queryParams=41-1012&amp;ioType=o", "Projections for 41-1012")</f>
        <v>Projections for 41-1012</v>
      </c>
    </row>
    <row r="650" spans="1:4" x14ac:dyDescent="0.35">
      <c r="A650" s="3" t="s">
        <v>1322</v>
      </c>
      <c r="B650" s="3" t="s">
        <v>1323</v>
      </c>
      <c r="C650" s="3" t="s">
        <v>60</v>
      </c>
      <c r="D650" s="7" t="str">
        <f>HYPERLINK("https://data.bls.gov/projections/nationalMatrix?queryParams=41-2000&amp;ioType=o", "Projections for 41-2000")</f>
        <v>Projections for 41-2000</v>
      </c>
    </row>
    <row r="651" spans="1:4" x14ac:dyDescent="0.35">
      <c r="A651" s="3" t="s">
        <v>1324</v>
      </c>
      <c r="B651" s="3" t="s">
        <v>1325</v>
      </c>
      <c r="C651" s="3" t="s">
        <v>60</v>
      </c>
      <c r="D651" s="7" t="str">
        <f>HYPERLINK("https://data.bls.gov/projections/nationalMatrix?queryParams=41-2010&amp;ioType=o", "Projections for 41-2010")</f>
        <v>Projections for 41-2010</v>
      </c>
    </row>
    <row r="652" spans="1:4" x14ac:dyDescent="0.35">
      <c r="A652" s="3" t="s">
        <v>1326</v>
      </c>
      <c r="B652" s="3" t="s">
        <v>1327</v>
      </c>
      <c r="C652" s="3" t="s">
        <v>65</v>
      </c>
      <c r="D652" s="7" t="str">
        <f>HYPERLINK("https://data.bls.gov/projections/nationalMatrix?queryParams=41-2011&amp;ioType=o", "Projections for 41-2011")</f>
        <v>Projections for 41-2011</v>
      </c>
    </row>
    <row r="653" spans="1:4" x14ac:dyDescent="0.35">
      <c r="A653" s="3" t="s">
        <v>1328</v>
      </c>
      <c r="B653" s="3" t="s">
        <v>1329</v>
      </c>
      <c r="C653" s="3" t="s">
        <v>65</v>
      </c>
      <c r="D653" s="7" t="str">
        <f>HYPERLINK("https://data.bls.gov/projections/nationalMatrix?queryParams=41-2012&amp;ioType=o", "Projections for 41-2012")</f>
        <v>Projections for 41-2012</v>
      </c>
    </row>
    <row r="654" spans="1:4" x14ac:dyDescent="0.35">
      <c r="A654" s="3" t="s">
        <v>1330</v>
      </c>
      <c r="B654" s="3" t="s">
        <v>1331</v>
      </c>
      <c r="C654" s="3" t="s">
        <v>60</v>
      </c>
      <c r="D654" s="7" t="str">
        <f>HYPERLINK("https://data.bls.gov/projections/nationalMatrix?queryParams=41-2020&amp;ioType=o", "Projections for 41-2020")</f>
        <v>Projections for 41-2020</v>
      </c>
    </row>
    <row r="655" spans="1:4" x14ac:dyDescent="0.35">
      <c r="A655" s="3" t="s">
        <v>1332</v>
      </c>
      <c r="B655" s="3" t="s">
        <v>1333</v>
      </c>
      <c r="C655" s="3" t="s">
        <v>65</v>
      </c>
      <c r="D655" s="7" t="str">
        <f>HYPERLINK("https://data.bls.gov/projections/nationalMatrix?queryParams=41-2021&amp;ioType=o", "Projections for 41-2021")</f>
        <v>Projections for 41-2021</v>
      </c>
    </row>
    <row r="656" spans="1:4" x14ac:dyDescent="0.35">
      <c r="A656" s="3" t="s">
        <v>1334</v>
      </c>
      <c r="B656" s="3" t="s">
        <v>1335</v>
      </c>
      <c r="C656" s="3" t="s">
        <v>65</v>
      </c>
      <c r="D656" s="7" t="str">
        <f>HYPERLINK("https://data.bls.gov/projections/nationalMatrix?queryParams=41-2022&amp;ioType=o", "Projections for 41-2022")</f>
        <v>Projections for 41-2022</v>
      </c>
    </row>
    <row r="657" spans="1:4" x14ac:dyDescent="0.35">
      <c r="A657" s="3" t="s">
        <v>1336</v>
      </c>
      <c r="B657" s="3" t="s">
        <v>1337</v>
      </c>
      <c r="C657" s="3" t="s">
        <v>65</v>
      </c>
      <c r="D657" s="7" t="str">
        <f>HYPERLINK("https://data.bls.gov/projections/nationalMatrix?queryParams=41-2031&amp;ioType=o", "Projections for 41-2031")</f>
        <v>Projections for 41-2031</v>
      </c>
    </row>
    <row r="658" spans="1:4" x14ac:dyDescent="0.35">
      <c r="A658" s="3" t="s">
        <v>1338</v>
      </c>
      <c r="B658" s="3" t="s">
        <v>1339</v>
      </c>
      <c r="C658" s="3" t="s">
        <v>60</v>
      </c>
      <c r="D658" s="7" t="str">
        <f>HYPERLINK("https://data.bls.gov/projections/nationalMatrix?queryParams=41-3000&amp;ioType=o", "Projections for 41-3000")</f>
        <v>Projections for 41-3000</v>
      </c>
    </row>
    <row r="659" spans="1:4" x14ac:dyDescent="0.35">
      <c r="A659" s="3" t="s">
        <v>1340</v>
      </c>
      <c r="B659" s="3" t="s">
        <v>1341</v>
      </c>
      <c r="C659" s="3" t="s">
        <v>65</v>
      </c>
      <c r="D659" s="7" t="str">
        <f>HYPERLINK("https://data.bls.gov/projections/nationalMatrix?queryParams=41-3011&amp;ioType=o", "Projections for 41-3011")</f>
        <v>Projections for 41-3011</v>
      </c>
    </row>
    <row r="660" spans="1:4" x14ac:dyDescent="0.35">
      <c r="A660" s="3" t="s">
        <v>1342</v>
      </c>
      <c r="B660" s="3" t="s">
        <v>1343</v>
      </c>
      <c r="C660" s="3" t="s">
        <v>65</v>
      </c>
      <c r="D660" s="7" t="str">
        <f>HYPERLINK("https://data.bls.gov/projections/nationalMatrix?queryParams=41-3021&amp;ioType=o", "Projections for 41-3021")</f>
        <v>Projections for 41-3021</v>
      </c>
    </row>
    <row r="661" spans="1:4" x14ac:dyDescent="0.35">
      <c r="A661" s="3" t="s">
        <v>1344</v>
      </c>
      <c r="B661" s="3" t="s">
        <v>1345</v>
      </c>
      <c r="C661" s="3" t="s">
        <v>65</v>
      </c>
      <c r="D661" s="7" t="str">
        <f>HYPERLINK("https://data.bls.gov/projections/nationalMatrix?queryParams=41-3031&amp;ioType=o", "Projections for 41-3031")</f>
        <v>Projections for 41-3031</v>
      </c>
    </row>
    <row r="662" spans="1:4" x14ac:dyDescent="0.35">
      <c r="A662" s="3" t="s">
        <v>1346</v>
      </c>
      <c r="B662" s="3" t="s">
        <v>1347</v>
      </c>
      <c r="C662" s="3" t="s">
        <v>65</v>
      </c>
      <c r="D662" s="7" t="str">
        <f>HYPERLINK("https://data.bls.gov/projections/nationalMatrix?queryParams=41-3041&amp;ioType=o", "Projections for 41-3041")</f>
        <v>Projections for 41-3041</v>
      </c>
    </row>
    <row r="663" spans="1:4" x14ac:dyDescent="0.35">
      <c r="A663" s="3" t="s">
        <v>1348</v>
      </c>
      <c r="B663" s="3" t="s">
        <v>1349</v>
      </c>
      <c r="C663" s="3" t="s">
        <v>65</v>
      </c>
      <c r="D663" s="7" t="str">
        <f>HYPERLINK("https://data.bls.gov/projections/nationalMatrix?queryParams=41-3091&amp;ioType=o", "Projections for 41-3091")</f>
        <v>Projections for 41-3091</v>
      </c>
    </row>
    <row r="664" spans="1:4" x14ac:dyDescent="0.35">
      <c r="A664" s="3" t="s">
        <v>1350</v>
      </c>
      <c r="B664" s="3" t="s">
        <v>1351</v>
      </c>
      <c r="C664" s="3" t="s">
        <v>60</v>
      </c>
      <c r="D664" s="7" t="str">
        <f>HYPERLINK("https://data.bls.gov/projections/nationalMatrix?queryParams=41-4000&amp;ioType=o", "Projections for 41-4000")</f>
        <v>Projections for 41-4000</v>
      </c>
    </row>
    <row r="665" spans="1:4" x14ac:dyDescent="0.35">
      <c r="A665" s="3" t="s">
        <v>1352</v>
      </c>
      <c r="B665" s="3" t="s">
        <v>1353</v>
      </c>
      <c r="C665" s="3" t="s">
        <v>65</v>
      </c>
      <c r="D665" s="7" t="str">
        <f>HYPERLINK("https://data.bls.gov/projections/nationalMatrix?queryParams=41-4011&amp;ioType=o", "Projections for 41-4011")</f>
        <v>Projections for 41-4011</v>
      </c>
    </row>
    <row r="666" spans="1:4" x14ac:dyDescent="0.35">
      <c r="A666" s="3" t="s">
        <v>1354</v>
      </c>
      <c r="B666" s="3" t="s">
        <v>1355</v>
      </c>
      <c r="C666" s="3" t="s">
        <v>65</v>
      </c>
      <c r="D666" s="7" t="str">
        <f>HYPERLINK("https://data.bls.gov/projections/nationalMatrix?queryParams=41-4012&amp;ioType=o", "Projections for 41-4012")</f>
        <v>Projections for 41-4012</v>
      </c>
    </row>
    <row r="667" spans="1:4" x14ac:dyDescent="0.35">
      <c r="A667" s="3" t="s">
        <v>1356</v>
      </c>
      <c r="B667" s="3" t="s">
        <v>1357</v>
      </c>
      <c r="C667" s="3" t="s">
        <v>60</v>
      </c>
      <c r="D667" s="7" t="str">
        <f>HYPERLINK("https://data.bls.gov/projections/nationalMatrix?queryParams=41-9000&amp;ioType=o", "Projections for 41-9000")</f>
        <v>Projections for 41-9000</v>
      </c>
    </row>
    <row r="668" spans="1:4" x14ac:dyDescent="0.35">
      <c r="A668" s="3" t="s">
        <v>1358</v>
      </c>
      <c r="B668" s="3" t="s">
        <v>1359</v>
      </c>
      <c r="C668" s="3" t="s">
        <v>60</v>
      </c>
      <c r="D668" s="7" t="str">
        <f>HYPERLINK("https://data.bls.gov/projections/nationalMatrix?queryParams=41-9010&amp;ioType=o", "Projections for 41-9010")</f>
        <v>Projections for 41-9010</v>
      </c>
    </row>
    <row r="669" spans="1:4" x14ac:dyDescent="0.35">
      <c r="A669" s="3" t="s">
        <v>1360</v>
      </c>
      <c r="B669" s="3" t="s">
        <v>1361</v>
      </c>
      <c r="C669" s="3" t="s">
        <v>65</v>
      </c>
      <c r="D669" s="7" t="str">
        <f>HYPERLINK("https://data.bls.gov/projections/nationalMatrix?queryParams=41-9011&amp;ioType=o", "Projections for 41-9011")</f>
        <v>Projections for 41-9011</v>
      </c>
    </row>
    <row r="670" spans="1:4" x14ac:dyDescent="0.35">
      <c r="A670" s="3" t="s">
        <v>1362</v>
      </c>
      <c r="B670" s="3" t="s">
        <v>1363</v>
      </c>
      <c r="C670" s="3" t="s">
        <v>65</v>
      </c>
      <c r="D670" s="7" t="str">
        <f>HYPERLINK("https://data.bls.gov/projections/nationalMatrix?queryParams=41-9012&amp;ioType=o", "Projections for 41-9012")</f>
        <v>Projections for 41-9012</v>
      </c>
    </row>
    <row r="671" spans="1:4" x14ac:dyDescent="0.35">
      <c r="A671" s="3" t="s">
        <v>1364</v>
      </c>
      <c r="B671" s="3" t="s">
        <v>1365</v>
      </c>
      <c r="C671" s="3" t="s">
        <v>60</v>
      </c>
      <c r="D671" s="7" t="str">
        <f>HYPERLINK("https://data.bls.gov/projections/nationalMatrix?queryParams=41-9020&amp;ioType=o", "Projections for 41-9020")</f>
        <v>Projections for 41-9020</v>
      </c>
    </row>
    <row r="672" spans="1:4" x14ac:dyDescent="0.35">
      <c r="A672" s="3" t="s">
        <v>1366</v>
      </c>
      <c r="B672" s="3" t="s">
        <v>1367</v>
      </c>
      <c r="C672" s="3" t="s">
        <v>65</v>
      </c>
      <c r="D672" s="7" t="str">
        <f>HYPERLINK("https://data.bls.gov/projections/nationalMatrix?queryParams=41-9021&amp;ioType=o", "Projections for 41-9021")</f>
        <v>Projections for 41-9021</v>
      </c>
    </row>
    <row r="673" spans="1:4" x14ac:dyDescent="0.35">
      <c r="A673" s="3" t="s">
        <v>1368</v>
      </c>
      <c r="B673" s="3" t="s">
        <v>1369</v>
      </c>
      <c r="C673" s="3" t="s">
        <v>65</v>
      </c>
      <c r="D673" s="7" t="str">
        <f>HYPERLINK("https://data.bls.gov/projections/nationalMatrix?queryParams=41-9022&amp;ioType=o", "Projections for 41-9022")</f>
        <v>Projections for 41-9022</v>
      </c>
    </row>
    <row r="674" spans="1:4" x14ac:dyDescent="0.35">
      <c r="A674" s="3" t="s">
        <v>1370</v>
      </c>
      <c r="B674" s="3" t="s">
        <v>1371</v>
      </c>
      <c r="C674" s="3" t="s">
        <v>65</v>
      </c>
      <c r="D674" s="7" t="str">
        <f>HYPERLINK("https://data.bls.gov/projections/nationalMatrix?queryParams=41-9031&amp;ioType=o", "Projections for 41-9031")</f>
        <v>Projections for 41-9031</v>
      </c>
    </row>
    <row r="675" spans="1:4" x14ac:dyDescent="0.35">
      <c r="A675" s="3" t="s">
        <v>1372</v>
      </c>
      <c r="B675" s="3" t="s">
        <v>1373</v>
      </c>
      <c r="C675" s="3" t="s">
        <v>65</v>
      </c>
      <c r="D675" s="7" t="str">
        <f>HYPERLINK("https://data.bls.gov/projections/nationalMatrix?queryParams=41-9041&amp;ioType=o", "Projections for 41-9041")</f>
        <v>Projections for 41-9041</v>
      </c>
    </row>
    <row r="676" spans="1:4" x14ac:dyDescent="0.35">
      <c r="A676" s="3" t="s">
        <v>1374</v>
      </c>
      <c r="B676" s="3" t="s">
        <v>1375</v>
      </c>
      <c r="C676" s="3" t="s">
        <v>60</v>
      </c>
      <c r="D676" s="7" t="str">
        <f>HYPERLINK("https://data.bls.gov/projections/nationalMatrix?queryParams=41-9090&amp;ioType=o", "Projections for 41-9090")</f>
        <v>Projections for 41-9090</v>
      </c>
    </row>
    <row r="677" spans="1:4" x14ac:dyDescent="0.35">
      <c r="A677" s="3" t="s">
        <v>1376</v>
      </c>
      <c r="B677" s="3" t="s">
        <v>1377</v>
      </c>
      <c r="C677" s="3" t="s">
        <v>65</v>
      </c>
      <c r="D677" s="7" t="str">
        <f>HYPERLINK("https://data.bls.gov/projections/nationalMatrix?queryParams=41-9091&amp;ioType=o", "Projections for 41-9091")</f>
        <v>Projections for 41-9091</v>
      </c>
    </row>
    <row r="678" spans="1:4" x14ac:dyDescent="0.35">
      <c r="A678" s="3" t="s">
        <v>1378</v>
      </c>
      <c r="B678" s="3" t="s">
        <v>1379</v>
      </c>
      <c r="C678" s="3" t="s">
        <v>65</v>
      </c>
      <c r="D678" s="7" t="str">
        <f>HYPERLINK("https://data.bls.gov/projections/nationalMatrix?queryParams=41-9099&amp;ioType=o", "Projections for 41-9099")</f>
        <v>Projections for 41-9099</v>
      </c>
    </row>
    <row r="679" spans="1:4" x14ac:dyDescent="0.35">
      <c r="A679" s="3" t="s">
        <v>40</v>
      </c>
      <c r="B679" s="3" t="s">
        <v>41</v>
      </c>
      <c r="C679" s="3" t="s">
        <v>60</v>
      </c>
      <c r="D679" s="7" t="str">
        <f>HYPERLINK("https://data.bls.gov/projections/nationalMatrix?queryParams=43-0000&amp;ioType=o", "Projections for 43-0000")</f>
        <v>Projections for 43-0000</v>
      </c>
    </row>
    <row r="680" spans="1:4" x14ac:dyDescent="0.35">
      <c r="A680" s="3" t="s">
        <v>1380</v>
      </c>
      <c r="B680" s="3" t="s">
        <v>1381</v>
      </c>
      <c r="C680" s="3" t="s">
        <v>60</v>
      </c>
      <c r="D680" s="7" t="str">
        <f>HYPERLINK("https://data.bls.gov/projections/nationalMatrix?queryParams=43-1000&amp;ioType=o", "Projections for 43-1000")</f>
        <v>Projections for 43-1000</v>
      </c>
    </row>
    <row r="681" spans="1:4" x14ac:dyDescent="0.35">
      <c r="A681" s="3" t="s">
        <v>1382</v>
      </c>
      <c r="B681" s="3" t="s">
        <v>1383</v>
      </c>
      <c r="C681" s="3" t="s">
        <v>65</v>
      </c>
      <c r="D681" s="7" t="str">
        <f>HYPERLINK("https://data.bls.gov/projections/nationalMatrix?queryParams=43-1011&amp;ioType=o", "Projections for 43-1011")</f>
        <v>Projections for 43-1011</v>
      </c>
    </row>
    <row r="682" spans="1:4" x14ac:dyDescent="0.35">
      <c r="A682" s="3" t="s">
        <v>1384</v>
      </c>
      <c r="B682" s="3" t="s">
        <v>1385</v>
      </c>
      <c r="C682" s="3" t="s">
        <v>60</v>
      </c>
      <c r="D682" s="7" t="str">
        <f>HYPERLINK("https://data.bls.gov/projections/nationalMatrix?queryParams=43-2000&amp;ioType=o", "Projections for 43-2000")</f>
        <v>Projections for 43-2000</v>
      </c>
    </row>
    <row r="683" spans="1:4" x14ac:dyDescent="0.35">
      <c r="A683" s="3" t="s">
        <v>1386</v>
      </c>
      <c r="B683" s="3" t="s">
        <v>1387</v>
      </c>
      <c r="C683" s="3" t="s">
        <v>65</v>
      </c>
      <c r="D683" s="7" t="str">
        <f>HYPERLINK("https://data.bls.gov/projections/nationalMatrix?queryParams=43-2011&amp;ioType=o", "Projections for 43-2011")</f>
        <v>Projections for 43-2011</v>
      </c>
    </row>
    <row r="684" spans="1:4" x14ac:dyDescent="0.35">
      <c r="A684" s="3" t="s">
        <v>1388</v>
      </c>
      <c r="B684" s="3" t="s">
        <v>1389</v>
      </c>
      <c r="C684" s="3" t="s">
        <v>65</v>
      </c>
      <c r="D684" s="7" t="str">
        <f>HYPERLINK("https://data.bls.gov/projections/nationalMatrix?queryParams=43-2021&amp;ioType=o", "Projections for 43-2021")</f>
        <v>Projections for 43-2021</v>
      </c>
    </row>
    <row r="685" spans="1:4" x14ac:dyDescent="0.35">
      <c r="A685" s="3" t="s">
        <v>1390</v>
      </c>
      <c r="B685" s="3" t="s">
        <v>1391</v>
      </c>
      <c r="C685" s="3" t="s">
        <v>65</v>
      </c>
      <c r="D685" s="7" t="str">
        <f>HYPERLINK("https://data.bls.gov/projections/nationalMatrix?queryParams=43-2099&amp;ioType=o", "Projections for 43-2099")</f>
        <v>Projections for 43-2099</v>
      </c>
    </row>
    <row r="686" spans="1:4" x14ac:dyDescent="0.35">
      <c r="A686" s="3" t="s">
        <v>1392</v>
      </c>
      <c r="B686" s="3" t="s">
        <v>1393</v>
      </c>
      <c r="C686" s="3" t="s">
        <v>60</v>
      </c>
      <c r="D686" s="7" t="str">
        <f>HYPERLINK("https://data.bls.gov/projections/nationalMatrix?queryParams=43-3000&amp;ioType=o", "Projections for 43-3000")</f>
        <v>Projections for 43-3000</v>
      </c>
    </row>
    <row r="687" spans="1:4" x14ac:dyDescent="0.35">
      <c r="A687" s="3" t="s">
        <v>1394</v>
      </c>
      <c r="B687" s="3" t="s">
        <v>1395</v>
      </c>
      <c r="C687" s="3" t="s">
        <v>65</v>
      </c>
      <c r="D687" s="7" t="str">
        <f>HYPERLINK("https://data.bls.gov/projections/nationalMatrix?queryParams=43-3011&amp;ioType=o", "Projections for 43-3011")</f>
        <v>Projections for 43-3011</v>
      </c>
    </row>
    <row r="688" spans="1:4" x14ac:dyDescent="0.35">
      <c r="A688" s="3" t="s">
        <v>1396</v>
      </c>
      <c r="B688" s="3" t="s">
        <v>1397</v>
      </c>
      <c r="C688" s="3" t="s">
        <v>65</v>
      </c>
      <c r="D688" s="7" t="str">
        <f>HYPERLINK("https://data.bls.gov/projections/nationalMatrix?queryParams=43-3021&amp;ioType=o", "Projections for 43-3021")</f>
        <v>Projections for 43-3021</v>
      </c>
    </row>
    <row r="689" spans="1:4" x14ac:dyDescent="0.35">
      <c r="A689" s="3" t="s">
        <v>1398</v>
      </c>
      <c r="B689" s="3" t="s">
        <v>1399</v>
      </c>
      <c r="C689" s="3" t="s">
        <v>65</v>
      </c>
      <c r="D689" s="7" t="str">
        <f>HYPERLINK("https://data.bls.gov/projections/nationalMatrix?queryParams=43-3031&amp;ioType=o", "Projections for 43-3031")</f>
        <v>Projections for 43-3031</v>
      </c>
    </row>
    <row r="690" spans="1:4" x14ac:dyDescent="0.35">
      <c r="A690" s="3" t="s">
        <v>1400</v>
      </c>
      <c r="B690" s="3" t="s">
        <v>1401</v>
      </c>
      <c r="C690" s="3" t="s">
        <v>65</v>
      </c>
      <c r="D690" s="7" t="str">
        <f>HYPERLINK("https://data.bls.gov/projections/nationalMatrix?queryParams=43-3041&amp;ioType=o", "Projections for 43-3041")</f>
        <v>Projections for 43-3041</v>
      </c>
    </row>
    <row r="691" spans="1:4" x14ac:dyDescent="0.35">
      <c r="A691" s="3" t="s">
        <v>1402</v>
      </c>
      <c r="B691" s="3" t="s">
        <v>1403</v>
      </c>
      <c r="C691" s="3" t="s">
        <v>65</v>
      </c>
      <c r="D691" s="7" t="str">
        <f>HYPERLINK("https://data.bls.gov/projections/nationalMatrix?queryParams=43-3051&amp;ioType=o", "Projections for 43-3051")</f>
        <v>Projections for 43-3051</v>
      </c>
    </row>
    <row r="692" spans="1:4" x14ac:dyDescent="0.35">
      <c r="A692" s="3" t="s">
        <v>1404</v>
      </c>
      <c r="B692" s="3" t="s">
        <v>1405</v>
      </c>
      <c r="C692" s="3" t="s">
        <v>65</v>
      </c>
      <c r="D692" s="7" t="str">
        <f>HYPERLINK("https://data.bls.gov/projections/nationalMatrix?queryParams=43-3061&amp;ioType=o", "Projections for 43-3061")</f>
        <v>Projections for 43-3061</v>
      </c>
    </row>
    <row r="693" spans="1:4" x14ac:dyDescent="0.35">
      <c r="A693" s="3" t="s">
        <v>1406</v>
      </c>
      <c r="B693" s="3" t="s">
        <v>1407</v>
      </c>
      <c r="C693" s="3" t="s">
        <v>65</v>
      </c>
      <c r="D693" s="7" t="str">
        <f>HYPERLINK("https://data.bls.gov/projections/nationalMatrix?queryParams=43-3071&amp;ioType=o", "Projections for 43-3071")</f>
        <v>Projections for 43-3071</v>
      </c>
    </row>
    <row r="694" spans="1:4" x14ac:dyDescent="0.35">
      <c r="A694" s="3" t="s">
        <v>1408</v>
      </c>
      <c r="B694" s="3" t="s">
        <v>1409</v>
      </c>
      <c r="C694" s="3" t="s">
        <v>65</v>
      </c>
      <c r="D694" s="7" t="str">
        <f>HYPERLINK("https://data.bls.gov/projections/nationalMatrix?queryParams=43-3099&amp;ioType=o", "Projections for 43-3099")</f>
        <v>Projections for 43-3099</v>
      </c>
    </row>
    <row r="695" spans="1:4" x14ac:dyDescent="0.35">
      <c r="A695" s="3" t="s">
        <v>1410</v>
      </c>
      <c r="B695" s="3" t="s">
        <v>1411</v>
      </c>
      <c r="C695" s="3" t="s">
        <v>60</v>
      </c>
      <c r="D695" s="7" t="str">
        <f>HYPERLINK("https://data.bls.gov/projections/nationalMatrix?queryParams=43-4000&amp;ioType=o", "Projections for 43-4000")</f>
        <v>Projections for 43-4000</v>
      </c>
    </row>
    <row r="696" spans="1:4" x14ac:dyDescent="0.35">
      <c r="A696" s="3" t="s">
        <v>1412</v>
      </c>
      <c r="B696" s="3" t="s">
        <v>1413</v>
      </c>
      <c r="C696" s="3" t="s">
        <v>65</v>
      </c>
      <c r="D696" s="7" t="str">
        <f>HYPERLINK("https://data.bls.gov/projections/nationalMatrix?queryParams=43-4011&amp;ioType=o", "Projections for 43-4011")</f>
        <v>Projections for 43-4011</v>
      </c>
    </row>
    <row r="697" spans="1:4" x14ac:dyDescent="0.35">
      <c r="A697" s="3" t="s">
        <v>1414</v>
      </c>
      <c r="B697" s="3" t="s">
        <v>1415</v>
      </c>
      <c r="C697" s="3" t="s">
        <v>65</v>
      </c>
      <c r="D697" s="7" t="str">
        <f>HYPERLINK("https://data.bls.gov/projections/nationalMatrix?queryParams=43-4021&amp;ioType=o", "Projections for 43-4021")</f>
        <v>Projections for 43-4021</v>
      </c>
    </row>
    <row r="698" spans="1:4" x14ac:dyDescent="0.35">
      <c r="A698" s="3" t="s">
        <v>1416</v>
      </c>
      <c r="B698" s="3" t="s">
        <v>1417</v>
      </c>
      <c r="C698" s="3" t="s">
        <v>65</v>
      </c>
      <c r="D698" s="7" t="str">
        <f>HYPERLINK("https://data.bls.gov/projections/nationalMatrix?queryParams=43-4031&amp;ioType=o", "Projections for 43-4031")</f>
        <v>Projections for 43-4031</v>
      </c>
    </row>
    <row r="699" spans="1:4" x14ac:dyDescent="0.35">
      <c r="A699" s="3" t="s">
        <v>1418</v>
      </c>
      <c r="B699" s="3" t="s">
        <v>1419</v>
      </c>
      <c r="C699" s="3" t="s">
        <v>65</v>
      </c>
      <c r="D699" s="7" t="str">
        <f>HYPERLINK("https://data.bls.gov/projections/nationalMatrix?queryParams=43-4041&amp;ioType=o", "Projections for 43-4041")</f>
        <v>Projections for 43-4041</v>
      </c>
    </row>
    <row r="700" spans="1:4" x14ac:dyDescent="0.35">
      <c r="A700" s="3" t="s">
        <v>1420</v>
      </c>
      <c r="B700" s="3" t="s">
        <v>1421</v>
      </c>
      <c r="C700" s="3" t="s">
        <v>65</v>
      </c>
      <c r="D700" s="7" t="str">
        <f>HYPERLINK("https://data.bls.gov/projections/nationalMatrix?queryParams=43-4051&amp;ioType=o", "Projections for 43-4051")</f>
        <v>Projections for 43-4051</v>
      </c>
    </row>
    <row r="701" spans="1:4" x14ac:dyDescent="0.35">
      <c r="A701" s="3" t="s">
        <v>1422</v>
      </c>
      <c r="B701" s="3" t="s">
        <v>1423</v>
      </c>
      <c r="C701" s="3" t="s">
        <v>65</v>
      </c>
      <c r="D701" s="7" t="str">
        <f>HYPERLINK("https://data.bls.gov/projections/nationalMatrix?queryParams=43-4061&amp;ioType=o", "Projections for 43-4061")</f>
        <v>Projections for 43-4061</v>
      </c>
    </row>
    <row r="702" spans="1:4" x14ac:dyDescent="0.35">
      <c r="A702" s="3" t="s">
        <v>1424</v>
      </c>
      <c r="B702" s="3" t="s">
        <v>1425</v>
      </c>
      <c r="C702" s="3" t="s">
        <v>65</v>
      </c>
      <c r="D702" s="7" t="str">
        <f>HYPERLINK("https://data.bls.gov/projections/nationalMatrix?queryParams=43-4071&amp;ioType=o", "Projections for 43-4071")</f>
        <v>Projections for 43-4071</v>
      </c>
    </row>
    <row r="703" spans="1:4" x14ac:dyDescent="0.35">
      <c r="A703" s="3" t="s">
        <v>1426</v>
      </c>
      <c r="B703" s="3" t="s">
        <v>1427</v>
      </c>
      <c r="C703" s="3" t="s">
        <v>65</v>
      </c>
      <c r="D703" s="7" t="str">
        <f>HYPERLINK("https://data.bls.gov/projections/nationalMatrix?queryParams=43-4081&amp;ioType=o", "Projections for 43-4081")</f>
        <v>Projections for 43-4081</v>
      </c>
    </row>
    <row r="704" spans="1:4" x14ac:dyDescent="0.35">
      <c r="A704" s="3" t="s">
        <v>1428</v>
      </c>
      <c r="B704" s="3" t="s">
        <v>1429</v>
      </c>
      <c r="C704" s="3" t="s">
        <v>65</v>
      </c>
      <c r="D704" s="7" t="str">
        <f>HYPERLINK("https://data.bls.gov/projections/nationalMatrix?queryParams=43-4111&amp;ioType=o", "Projections for 43-4111")</f>
        <v>Projections for 43-4111</v>
      </c>
    </row>
    <row r="705" spans="1:4" x14ac:dyDescent="0.35">
      <c r="A705" s="3" t="s">
        <v>1430</v>
      </c>
      <c r="B705" s="3" t="s">
        <v>1431</v>
      </c>
      <c r="C705" s="3" t="s">
        <v>65</v>
      </c>
      <c r="D705" s="7" t="str">
        <f>HYPERLINK("https://data.bls.gov/projections/nationalMatrix?queryParams=43-4121&amp;ioType=o", "Projections for 43-4121")</f>
        <v>Projections for 43-4121</v>
      </c>
    </row>
    <row r="706" spans="1:4" x14ac:dyDescent="0.35">
      <c r="A706" s="3" t="s">
        <v>1432</v>
      </c>
      <c r="B706" s="3" t="s">
        <v>1433</v>
      </c>
      <c r="C706" s="3" t="s">
        <v>65</v>
      </c>
      <c r="D706" s="7" t="str">
        <f>HYPERLINK("https://data.bls.gov/projections/nationalMatrix?queryParams=43-4131&amp;ioType=o", "Projections for 43-4131")</f>
        <v>Projections for 43-4131</v>
      </c>
    </row>
    <row r="707" spans="1:4" x14ac:dyDescent="0.35">
      <c r="A707" s="3" t="s">
        <v>1434</v>
      </c>
      <c r="B707" s="3" t="s">
        <v>1435</v>
      </c>
      <c r="C707" s="3" t="s">
        <v>65</v>
      </c>
      <c r="D707" s="7" t="str">
        <f>HYPERLINK("https://data.bls.gov/projections/nationalMatrix?queryParams=43-4141&amp;ioType=o", "Projections for 43-4141")</f>
        <v>Projections for 43-4141</v>
      </c>
    </row>
    <row r="708" spans="1:4" x14ac:dyDescent="0.35">
      <c r="A708" s="3" t="s">
        <v>1436</v>
      </c>
      <c r="B708" s="3" t="s">
        <v>1437</v>
      </c>
      <c r="C708" s="3" t="s">
        <v>65</v>
      </c>
      <c r="D708" s="7" t="str">
        <f>HYPERLINK("https://data.bls.gov/projections/nationalMatrix?queryParams=43-4151&amp;ioType=o", "Projections for 43-4151")</f>
        <v>Projections for 43-4151</v>
      </c>
    </row>
    <row r="709" spans="1:4" x14ac:dyDescent="0.35">
      <c r="A709" s="3" t="s">
        <v>1438</v>
      </c>
      <c r="B709" s="3" t="s">
        <v>1439</v>
      </c>
      <c r="C709" s="3" t="s">
        <v>65</v>
      </c>
      <c r="D709" s="7" t="str">
        <f>HYPERLINK("https://data.bls.gov/projections/nationalMatrix?queryParams=43-4161&amp;ioType=o", "Projections for 43-4161")</f>
        <v>Projections for 43-4161</v>
      </c>
    </row>
    <row r="710" spans="1:4" x14ac:dyDescent="0.35">
      <c r="A710" s="3" t="s">
        <v>1440</v>
      </c>
      <c r="B710" s="3" t="s">
        <v>1441</v>
      </c>
      <c r="C710" s="3" t="s">
        <v>65</v>
      </c>
      <c r="D710" s="7" t="str">
        <f>HYPERLINK("https://data.bls.gov/projections/nationalMatrix?queryParams=43-4171&amp;ioType=o", "Projections for 43-4171")</f>
        <v>Projections for 43-4171</v>
      </c>
    </row>
    <row r="711" spans="1:4" x14ac:dyDescent="0.35">
      <c r="A711" s="3" t="s">
        <v>1442</v>
      </c>
      <c r="B711" s="3" t="s">
        <v>1443</v>
      </c>
      <c r="C711" s="3" t="s">
        <v>65</v>
      </c>
      <c r="D711" s="7" t="str">
        <f>HYPERLINK("https://data.bls.gov/projections/nationalMatrix?queryParams=43-4181&amp;ioType=o", "Projections for 43-4181")</f>
        <v>Projections for 43-4181</v>
      </c>
    </row>
    <row r="712" spans="1:4" x14ac:dyDescent="0.35">
      <c r="A712" s="3" t="s">
        <v>1444</v>
      </c>
      <c r="B712" s="3" t="s">
        <v>1445</v>
      </c>
      <c r="C712" s="3" t="s">
        <v>65</v>
      </c>
      <c r="D712" s="7" t="str">
        <f>HYPERLINK("https://data.bls.gov/projections/nationalMatrix?queryParams=43-4199&amp;ioType=o", "Projections for 43-4199")</f>
        <v>Projections for 43-4199</v>
      </c>
    </row>
    <row r="713" spans="1:4" x14ac:dyDescent="0.35">
      <c r="A713" s="3" t="s">
        <v>1446</v>
      </c>
      <c r="B713" s="3" t="s">
        <v>1447</v>
      </c>
      <c r="C713" s="3" t="s">
        <v>60</v>
      </c>
      <c r="D713" s="7" t="str">
        <f>HYPERLINK("https://data.bls.gov/projections/nationalMatrix?queryParams=43-5000&amp;ioType=o", "Projections for 43-5000")</f>
        <v>Projections for 43-5000</v>
      </c>
    </row>
    <row r="714" spans="1:4" x14ac:dyDescent="0.35">
      <c r="A714" s="3" t="s">
        <v>1448</v>
      </c>
      <c r="B714" s="3" t="s">
        <v>1449</v>
      </c>
      <c r="C714" s="3" t="s">
        <v>65</v>
      </c>
      <c r="D714" s="7" t="str">
        <f>HYPERLINK("https://data.bls.gov/projections/nationalMatrix?queryParams=43-5011&amp;ioType=o", "Projections for 43-5011")</f>
        <v>Projections for 43-5011</v>
      </c>
    </row>
    <row r="715" spans="1:4" x14ac:dyDescent="0.35">
      <c r="A715" s="3" t="s">
        <v>1450</v>
      </c>
      <c r="B715" s="3" t="s">
        <v>1451</v>
      </c>
      <c r="C715" s="3" t="s">
        <v>65</v>
      </c>
      <c r="D715" s="7" t="str">
        <f>HYPERLINK("https://data.bls.gov/projections/nationalMatrix?queryParams=43-5021&amp;ioType=o", "Projections for 43-5021")</f>
        <v>Projections for 43-5021</v>
      </c>
    </row>
    <row r="716" spans="1:4" x14ac:dyDescent="0.35">
      <c r="A716" s="3" t="s">
        <v>1452</v>
      </c>
      <c r="B716" s="3" t="s">
        <v>1453</v>
      </c>
      <c r="C716" s="3" t="s">
        <v>60</v>
      </c>
      <c r="D716" s="7" t="str">
        <f>HYPERLINK("https://data.bls.gov/projections/nationalMatrix?queryParams=43-5030&amp;ioType=o", "Projections for 43-5030")</f>
        <v>Projections for 43-5030</v>
      </c>
    </row>
    <row r="717" spans="1:4" x14ac:dyDescent="0.35">
      <c r="A717" s="3" t="s">
        <v>1454</v>
      </c>
      <c r="B717" s="3" t="s">
        <v>1455</v>
      </c>
      <c r="C717" s="3" t="s">
        <v>65</v>
      </c>
      <c r="D717" s="7" t="str">
        <f>HYPERLINK("https://data.bls.gov/projections/nationalMatrix?queryParams=43-5031&amp;ioType=o", "Projections for 43-5031")</f>
        <v>Projections for 43-5031</v>
      </c>
    </row>
    <row r="718" spans="1:4" x14ac:dyDescent="0.35">
      <c r="A718" s="3" t="s">
        <v>1456</v>
      </c>
      <c r="B718" s="3" t="s">
        <v>1457</v>
      </c>
      <c r="C718" s="3" t="s">
        <v>65</v>
      </c>
      <c r="D718" s="7" t="str">
        <f>HYPERLINK("https://data.bls.gov/projections/nationalMatrix?queryParams=43-5032&amp;ioType=o", "Projections for 43-5032")</f>
        <v>Projections for 43-5032</v>
      </c>
    </row>
    <row r="719" spans="1:4" x14ac:dyDescent="0.35">
      <c r="A719" s="3" t="s">
        <v>1458</v>
      </c>
      <c r="B719" s="3" t="s">
        <v>1459</v>
      </c>
      <c r="C719" s="3" t="s">
        <v>65</v>
      </c>
      <c r="D719" s="7" t="str">
        <f>HYPERLINK("https://data.bls.gov/projections/nationalMatrix?queryParams=43-5041&amp;ioType=o", "Projections for 43-5041")</f>
        <v>Projections for 43-5041</v>
      </c>
    </row>
    <row r="720" spans="1:4" x14ac:dyDescent="0.35">
      <c r="A720" s="3" t="s">
        <v>1460</v>
      </c>
      <c r="B720" s="3" t="s">
        <v>1461</v>
      </c>
      <c r="C720" s="3" t="s">
        <v>60</v>
      </c>
      <c r="D720" s="7" t="str">
        <f>HYPERLINK("https://data.bls.gov/projections/nationalMatrix?queryParams=43-5050&amp;ioType=o", "Projections for 43-5050")</f>
        <v>Projections for 43-5050</v>
      </c>
    </row>
    <row r="721" spans="1:4" x14ac:dyDescent="0.35">
      <c r="A721" s="3" t="s">
        <v>1462</v>
      </c>
      <c r="B721" s="3" t="s">
        <v>1463</v>
      </c>
      <c r="C721" s="3" t="s">
        <v>65</v>
      </c>
      <c r="D721" s="7" t="str">
        <f>HYPERLINK("https://data.bls.gov/projections/nationalMatrix?queryParams=43-5051&amp;ioType=o", "Projections for 43-5051")</f>
        <v>Projections for 43-5051</v>
      </c>
    </row>
    <row r="722" spans="1:4" x14ac:dyDescent="0.35">
      <c r="A722" s="3" t="s">
        <v>1464</v>
      </c>
      <c r="B722" s="3" t="s">
        <v>1465</v>
      </c>
      <c r="C722" s="3" t="s">
        <v>65</v>
      </c>
      <c r="D722" s="7" t="str">
        <f>HYPERLINK("https://data.bls.gov/projections/nationalMatrix?queryParams=43-5052&amp;ioType=o", "Projections for 43-5052")</f>
        <v>Projections for 43-5052</v>
      </c>
    </row>
    <row r="723" spans="1:4" x14ac:dyDescent="0.35">
      <c r="A723" s="3" t="s">
        <v>1466</v>
      </c>
      <c r="B723" s="3" t="s">
        <v>1467</v>
      </c>
      <c r="C723" s="3" t="s">
        <v>65</v>
      </c>
      <c r="D723" s="7" t="str">
        <f>HYPERLINK("https://data.bls.gov/projections/nationalMatrix?queryParams=43-5053&amp;ioType=o", "Projections for 43-5053")</f>
        <v>Projections for 43-5053</v>
      </c>
    </row>
    <row r="724" spans="1:4" x14ac:dyDescent="0.35">
      <c r="A724" s="3" t="s">
        <v>1468</v>
      </c>
      <c r="B724" s="3" t="s">
        <v>1469</v>
      </c>
      <c r="C724" s="3" t="s">
        <v>65</v>
      </c>
      <c r="D724" s="7" t="str">
        <f>HYPERLINK("https://data.bls.gov/projections/nationalMatrix?queryParams=43-5061&amp;ioType=o", "Projections for 43-5061")</f>
        <v>Projections for 43-5061</v>
      </c>
    </row>
    <row r="725" spans="1:4" x14ac:dyDescent="0.35">
      <c r="A725" s="3" t="s">
        <v>1470</v>
      </c>
      <c r="B725" s="3" t="s">
        <v>1471</v>
      </c>
      <c r="C725" s="3" t="s">
        <v>65</v>
      </c>
      <c r="D725" s="7" t="str">
        <f>HYPERLINK("https://data.bls.gov/projections/nationalMatrix?queryParams=43-5071&amp;ioType=o", "Projections for 43-5071")</f>
        <v>Projections for 43-5071</v>
      </c>
    </row>
    <row r="726" spans="1:4" x14ac:dyDescent="0.35">
      <c r="A726" s="3" t="s">
        <v>1472</v>
      </c>
      <c r="B726" s="3" t="s">
        <v>1473</v>
      </c>
      <c r="C726" s="3" t="s">
        <v>65</v>
      </c>
      <c r="D726" s="7" t="str">
        <f>HYPERLINK("https://data.bls.gov/projections/nationalMatrix?queryParams=43-5111&amp;ioType=o", "Projections for 43-5111")</f>
        <v>Projections for 43-5111</v>
      </c>
    </row>
    <row r="727" spans="1:4" x14ac:dyDescent="0.35">
      <c r="A727" s="3" t="s">
        <v>1474</v>
      </c>
      <c r="B727" s="3" t="s">
        <v>1475</v>
      </c>
      <c r="C727" s="3" t="s">
        <v>60</v>
      </c>
      <c r="D727" s="7" t="str">
        <f>HYPERLINK("https://data.bls.gov/projections/nationalMatrix?queryParams=43-6000&amp;ioType=o", "Projections for 43-6000")</f>
        <v>Projections for 43-6000</v>
      </c>
    </row>
    <row r="728" spans="1:4" x14ac:dyDescent="0.35">
      <c r="A728" s="3" t="s">
        <v>1476</v>
      </c>
      <c r="B728" s="3" t="s">
        <v>1477</v>
      </c>
      <c r="C728" s="3" t="s">
        <v>65</v>
      </c>
      <c r="D728" s="7" t="str">
        <f>HYPERLINK("https://data.bls.gov/projections/nationalMatrix?queryParams=43-6011&amp;ioType=o", "Projections for 43-6011")</f>
        <v>Projections for 43-6011</v>
      </c>
    </row>
    <row r="729" spans="1:4" x14ac:dyDescent="0.35">
      <c r="A729" s="3" t="s">
        <v>1478</v>
      </c>
      <c r="B729" s="3" t="s">
        <v>1479</v>
      </c>
      <c r="C729" s="3" t="s">
        <v>65</v>
      </c>
      <c r="D729" s="7" t="str">
        <f>HYPERLINK("https://data.bls.gov/projections/nationalMatrix?queryParams=43-6012&amp;ioType=o", "Projections for 43-6012")</f>
        <v>Projections for 43-6012</v>
      </c>
    </row>
    <row r="730" spans="1:4" x14ac:dyDescent="0.35">
      <c r="A730" s="3" t="s">
        <v>1480</v>
      </c>
      <c r="B730" s="3" t="s">
        <v>1481</v>
      </c>
      <c r="C730" s="3" t="s">
        <v>65</v>
      </c>
      <c r="D730" s="7" t="str">
        <f>HYPERLINK("https://data.bls.gov/projections/nationalMatrix?queryParams=43-6013&amp;ioType=o", "Projections for 43-6013")</f>
        <v>Projections for 43-6013</v>
      </c>
    </row>
    <row r="731" spans="1:4" x14ac:dyDescent="0.35">
      <c r="A731" s="3" t="s">
        <v>1482</v>
      </c>
      <c r="B731" s="3" t="s">
        <v>1483</v>
      </c>
      <c r="C731" s="3" t="s">
        <v>65</v>
      </c>
      <c r="D731" s="7" t="str">
        <f>HYPERLINK("https://data.bls.gov/projections/nationalMatrix?queryParams=43-6014&amp;ioType=o", "Projections for 43-6014")</f>
        <v>Projections for 43-6014</v>
      </c>
    </row>
    <row r="732" spans="1:4" x14ac:dyDescent="0.35">
      <c r="A732" s="3" t="s">
        <v>1484</v>
      </c>
      <c r="B732" s="3" t="s">
        <v>1485</v>
      </c>
      <c r="C732" s="3" t="s">
        <v>60</v>
      </c>
      <c r="D732" s="7" t="str">
        <f>HYPERLINK("https://data.bls.gov/projections/nationalMatrix?queryParams=43-9000&amp;ioType=o", "Projections for 43-9000")</f>
        <v>Projections for 43-9000</v>
      </c>
    </row>
    <row r="733" spans="1:4" x14ac:dyDescent="0.35">
      <c r="A733" s="3" t="s">
        <v>1486</v>
      </c>
      <c r="B733" s="3" t="s">
        <v>1487</v>
      </c>
      <c r="C733" s="3" t="s">
        <v>60</v>
      </c>
      <c r="D733" s="7" t="str">
        <f>HYPERLINK("https://data.bls.gov/projections/nationalMatrix?queryParams=43-9020&amp;ioType=o", "Projections for 43-9020")</f>
        <v>Projections for 43-9020</v>
      </c>
    </row>
    <row r="734" spans="1:4" x14ac:dyDescent="0.35">
      <c r="A734" s="3" t="s">
        <v>1488</v>
      </c>
      <c r="B734" s="3" t="s">
        <v>1489</v>
      </c>
      <c r="C734" s="3" t="s">
        <v>65</v>
      </c>
      <c r="D734" s="7" t="str">
        <f>HYPERLINK("https://data.bls.gov/projections/nationalMatrix?queryParams=43-9021&amp;ioType=o", "Projections for 43-9021")</f>
        <v>Projections for 43-9021</v>
      </c>
    </row>
    <row r="735" spans="1:4" x14ac:dyDescent="0.35">
      <c r="A735" s="3" t="s">
        <v>1490</v>
      </c>
      <c r="B735" s="3" t="s">
        <v>1491</v>
      </c>
      <c r="C735" s="3" t="s">
        <v>65</v>
      </c>
      <c r="D735" s="7" t="str">
        <f>HYPERLINK("https://data.bls.gov/projections/nationalMatrix?queryParams=43-9022&amp;ioType=o", "Projections for 43-9022")</f>
        <v>Projections for 43-9022</v>
      </c>
    </row>
    <row r="736" spans="1:4" x14ac:dyDescent="0.35">
      <c r="A736" s="3" t="s">
        <v>1492</v>
      </c>
      <c r="B736" s="3" t="s">
        <v>1493</v>
      </c>
      <c r="C736" s="3" t="s">
        <v>65</v>
      </c>
      <c r="D736" s="7" t="str">
        <f>HYPERLINK("https://data.bls.gov/projections/nationalMatrix?queryParams=43-9031&amp;ioType=o", "Projections for 43-9031")</f>
        <v>Projections for 43-9031</v>
      </c>
    </row>
    <row r="737" spans="1:4" x14ac:dyDescent="0.35">
      <c r="A737" s="3" t="s">
        <v>1494</v>
      </c>
      <c r="B737" s="3" t="s">
        <v>1495</v>
      </c>
      <c r="C737" s="3" t="s">
        <v>65</v>
      </c>
      <c r="D737" s="7" t="str">
        <f>HYPERLINK("https://data.bls.gov/projections/nationalMatrix?queryParams=43-9041&amp;ioType=o", "Projections for 43-9041")</f>
        <v>Projections for 43-9041</v>
      </c>
    </row>
    <row r="738" spans="1:4" x14ac:dyDescent="0.35">
      <c r="A738" s="3" t="s">
        <v>1496</v>
      </c>
      <c r="B738" s="3" t="s">
        <v>1497</v>
      </c>
      <c r="C738" s="3" t="s">
        <v>65</v>
      </c>
      <c r="D738" s="7" t="str">
        <f>HYPERLINK("https://data.bls.gov/projections/nationalMatrix?queryParams=43-9051&amp;ioType=o", "Projections for 43-9051")</f>
        <v>Projections for 43-9051</v>
      </c>
    </row>
    <row r="739" spans="1:4" x14ac:dyDescent="0.35">
      <c r="A739" s="3" t="s">
        <v>1498</v>
      </c>
      <c r="B739" s="3" t="s">
        <v>1499</v>
      </c>
      <c r="C739" s="3" t="s">
        <v>65</v>
      </c>
      <c r="D739" s="7" t="str">
        <f>HYPERLINK("https://data.bls.gov/projections/nationalMatrix?queryParams=43-9061&amp;ioType=o", "Projections for 43-9061")</f>
        <v>Projections for 43-9061</v>
      </c>
    </row>
    <row r="740" spans="1:4" x14ac:dyDescent="0.35">
      <c r="A740" s="3" t="s">
        <v>1500</v>
      </c>
      <c r="B740" s="3" t="s">
        <v>1501</v>
      </c>
      <c r="C740" s="3" t="s">
        <v>65</v>
      </c>
      <c r="D740" s="7" t="str">
        <f>HYPERLINK("https://data.bls.gov/projections/nationalMatrix?queryParams=43-9071&amp;ioType=o", "Projections for 43-9071")</f>
        <v>Projections for 43-9071</v>
      </c>
    </row>
    <row r="741" spans="1:4" x14ac:dyDescent="0.35">
      <c r="A741" s="3" t="s">
        <v>1502</v>
      </c>
      <c r="B741" s="3" t="s">
        <v>1503</v>
      </c>
      <c r="C741" s="3" t="s">
        <v>65</v>
      </c>
      <c r="D741" s="7" t="str">
        <f>HYPERLINK("https://data.bls.gov/projections/nationalMatrix?queryParams=43-9081&amp;ioType=o", "Projections for 43-9081")</f>
        <v>Projections for 43-9081</v>
      </c>
    </row>
    <row r="742" spans="1:4" x14ac:dyDescent="0.35">
      <c r="A742" s="3" t="s">
        <v>1504</v>
      </c>
      <c r="B742" s="3" t="s">
        <v>1505</v>
      </c>
      <c r="C742" s="3" t="s">
        <v>65</v>
      </c>
      <c r="D742" s="7" t="str">
        <f>HYPERLINK("https://data.bls.gov/projections/nationalMatrix?queryParams=43-9111&amp;ioType=o", "Projections for 43-9111")</f>
        <v>Projections for 43-9111</v>
      </c>
    </row>
    <row r="743" spans="1:4" x14ac:dyDescent="0.35">
      <c r="A743" s="3" t="s">
        <v>1506</v>
      </c>
      <c r="B743" s="3" t="s">
        <v>1507</v>
      </c>
      <c r="C743" s="3" t="s">
        <v>65</v>
      </c>
      <c r="D743" s="7" t="str">
        <f>HYPERLINK("https://data.bls.gov/projections/nationalMatrix?queryParams=43-9199&amp;ioType=o", "Projections for 43-9199")</f>
        <v>Projections for 43-9199</v>
      </c>
    </row>
    <row r="744" spans="1:4" x14ac:dyDescent="0.35">
      <c r="A744" s="3" t="s">
        <v>42</v>
      </c>
      <c r="B744" s="3" t="s">
        <v>43</v>
      </c>
      <c r="C744" s="3" t="s">
        <v>60</v>
      </c>
      <c r="D744" s="7" t="str">
        <f>HYPERLINK("https://data.bls.gov/projections/nationalMatrix?queryParams=45-0000&amp;ioType=o", "Projections for 45-0000")</f>
        <v>Projections for 45-0000</v>
      </c>
    </row>
    <row r="745" spans="1:4" x14ac:dyDescent="0.35">
      <c r="A745" s="3" t="s">
        <v>1508</v>
      </c>
      <c r="B745" s="3" t="s">
        <v>1509</v>
      </c>
      <c r="C745" s="3" t="s">
        <v>60</v>
      </c>
      <c r="D745" s="7" t="str">
        <f>HYPERLINK("https://data.bls.gov/projections/nationalMatrix?queryParams=45-1000&amp;ioType=o", "Projections for 45-1000")</f>
        <v>Projections for 45-1000</v>
      </c>
    </row>
    <row r="746" spans="1:4" x14ac:dyDescent="0.35">
      <c r="A746" s="3" t="s">
        <v>1510</v>
      </c>
      <c r="B746" s="3" t="s">
        <v>1511</v>
      </c>
      <c r="C746" s="3" t="s">
        <v>65</v>
      </c>
      <c r="D746" s="7" t="str">
        <f>HYPERLINK("https://data.bls.gov/projections/nationalMatrix?queryParams=45-1011&amp;ioType=o", "Projections for 45-1011")</f>
        <v>Projections for 45-1011</v>
      </c>
    </row>
    <row r="747" spans="1:4" x14ac:dyDescent="0.35">
      <c r="A747" s="3" t="s">
        <v>1512</v>
      </c>
      <c r="B747" s="3" t="s">
        <v>1513</v>
      </c>
      <c r="C747" s="3" t="s">
        <v>60</v>
      </c>
      <c r="D747" s="7" t="str">
        <f>HYPERLINK("https://data.bls.gov/projections/nationalMatrix?queryParams=45-2000&amp;ioType=o", "Projections for 45-2000")</f>
        <v>Projections for 45-2000</v>
      </c>
    </row>
    <row r="748" spans="1:4" x14ac:dyDescent="0.35">
      <c r="A748" s="3" t="s">
        <v>1514</v>
      </c>
      <c r="B748" s="3" t="s">
        <v>1515</v>
      </c>
      <c r="C748" s="3" t="s">
        <v>65</v>
      </c>
      <c r="D748" s="7" t="str">
        <f>HYPERLINK("https://data.bls.gov/projections/nationalMatrix?queryParams=45-2011&amp;ioType=o", "Projections for 45-2011")</f>
        <v>Projections for 45-2011</v>
      </c>
    </row>
    <row r="749" spans="1:4" x14ac:dyDescent="0.35">
      <c r="A749" s="3" t="s">
        <v>1516</v>
      </c>
      <c r="B749" s="3" t="s">
        <v>1517</v>
      </c>
      <c r="C749" s="3" t="s">
        <v>65</v>
      </c>
      <c r="D749" s="7" t="str">
        <f>HYPERLINK("https://data.bls.gov/projections/nationalMatrix?queryParams=45-2021&amp;ioType=o", "Projections for 45-2021")</f>
        <v>Projections for 45-2021</v>
      </c>
    </row>
    <row r="750" spans="1:4" x14ac:dyDescent="0.35">
      <c r="A750" s="3" t="s">
        <v>1518</v>
      </c>
      <c r="B750" s="3" t="s">
        <v>1519</v>
      </c>
      <c r="C750" s="3" t="s">
        <v>65</v>
      </c>
      <c r="D750" s="7" t="str">
        <f>HYPERLINK("https://data.bls.gov/projections/nationalMatrix?queryParams=45-2041&amp;ioType=o", "Projections for 45-2041")</f>
        <v>Projections for 45-2041</v>
      </c>
    </row>
    <row r="751" spans="1:4" x14ac:dyDescent="0.35">
      <c r="A751" s="3" t="s">
        <v>1520</v>
      </c>
      <c r="B751" s="3" t="s">
        <v>1521</v>
      </c>
      <c r="C751" s="3" t="s">
        <v>60</v>
      </c>
      <c r="D751" s="7" t="str">
        <f>HYPERLINK("https://data.bls.gov/projections/nationalMatrix?queryParams=45-2090&amp;ioType=o", "Projections for 45-2090")</f>
        <v>Projections for 45-2090</v>
      </c>
    </row>
    <row r="752" spans="1:4" x14ac:dyDescent="0.35">
      <c r="A752" s="3" t="s">
        <v>1522</v>
      </c>
      <c r="B752" s="3" t="s">
        <v>1523</v>
      </c>
      <c r="C752" s="3" t="s">
        <v>65</v>
      </c>
      <c r="D752" s="7" t="str">
        <f>HYPERLINK("https://data.bls.gov/projections/nationalMatrix?queryParams=45-2091&amp;ioType=o", "Projections for 45-2091")</f>
        <v>Projections for 45-2091</v>
      </c>
    </row>
    <row r="753" spans="1:4" x14ac:dyDescent="0.35">
      <c r="A753" s="3" t="s">
        <v>1524</v>
      </c>
      <c r="B753" s="3" t="s">
        <v>1525</v>
      </c>
      <c r="C753" s="3" t="s">
        <v>65</v>
      </c>
      <c r="D753" s="7" t="str">
        <f>HYPERLINK("https://data.bls.gov/projections/nationalMatrix?queryParams=45-2092&amp;ioType=o", "Projections for 45-2092")</f>
        <v>Projections for 45-2092</v>
      </c>
    </row>
    <row r="754" spans="1:4" x14ac:dyDescent="0.35">
      <c r="A754" s="3" t="s">
        <v>1526</v>
      </c>
      <c r="B754" s="3" t="s">
        <v>1527</v>
      </c>
      <c r="C754" s="3" t="s">
        <v>65</v>
      </c>
      <c r="D754" s="7" t="str">
        <f>HYPERLINK("https://data.bls.gov/projections/nationalMatrix?queryParams=45-2093&amp;ioType=o", "Projections for 45-2093")</f>
        <v>Projections for 45-2093</v>
      </c>
    </row>
    <row r="755" spans="1:4" x14ac:dyDescent="0.35">
      <c r="A755" s="3" t="s">
        <v>1528</v>
      </c>
      <c r="B755" s="3" t="s">
        <v>1529</v>
      </c>
      <c r="C755" s="3" t="s">
        <v>65</v>
      </c>
      <c r="D755" s="7" t="str">
        <f>HYPERLINK("https://data.bls.gov/projections/nationalMatrix?queryParams=45-2099&amp;ioType=o", "Projections for 45-2099")</f>
        <v>Projections for 45-2099</v>
      </c>
    </row>
    <row r="756" spans="1:4" x14ac:dyDescent="0.35">
      <c r="A756" s="3" t="s">
        <v>1530</v>
      </c>
      <c r="B756" s="3" t="s">
        <v>1531</v>
      </c>
      <c r="C756" s="3" t="s">
        <v>60</v>
      </c>
      <c r="D756" s="7" t="str">
        <f>HYPERLINK("https://data.bls.gov/projections/nationalMatrix?queryParams=45-3000&amp;ioType=o", "Projections for 45-3000")</f>
        <v>Projections for 45-3000</v>
      </c>
    </row>
    <row r="757" spans="1:4" x14ac:dyDescent="0.35">
      <c r="A757" s="3" t="s">
        <v>1532</v>
      </c>
      <c r="B757" s="3" t="s">
        <v>1533</v>
      </c>
      <c r="C757" s="3" t="s">
        <v>65</v>
      </c>
      <c r="D757" s="7" t="str">
        <f>HYPERLINK("https://data.bls.gov/projections/nationalMatrix?queryParams=45-3031&amp;ioType=o", "Projections for 45-3031")</f>
        <v>Projections for 45-3031</v>
      </c>
    </row>
    <row r="758" spans="1:4" x14ac:dyDescent="0.35">
      <c r="A758" s="3" t="s">
        <v>1534</v>
      </c>
      <c r="B758" s="3" t="s">
        <v>1535</v>
      </c>
      <c r="C758" s="3" t="s">
        <v>60</v>
      </c>
      <c r="D758" s="7" t="str">
        <f>HYPERLINK("https://data.bls.gov/projections/nationalMatrix?queryParams=45-4000&amp;ioType=o", "Projections for 45-4000")</f>
        <v>Projections for 45-4000</v>
      </c>
    </row>
    <row r="759" spans="1:4" x14ac:dyDescent="0.35">
      <c r="A759" s="3" t="s">
        <v>1536</v>
      </c>
      <c r="B759" s="3" t="s">
        <v>1537</v>
      </c>
      <c r="C759" s="3" t="s">
        <v>65</v>
      </c>
      <c r="D759" s="7" t="str">
        <f>HYPERLINK("https://data.bls.gov/projections/nationalMatrix?queryParams=45-4011&amp;ioType=o", "Projections for 45-4011")</f>
        <v>Projections for 45-4011</v>
      </c>
    </row>
    <row r="760" spans="1:4" x14ac:dyDescent="0.35">
      <c r="A760" s="3" t="s">
        <v>1538</v>
      </c>
      <c r="B760" s="3" t="s">
        <v>1539</v>
      </c>
      <c r="C760" s="3" t="s">
        <v>60</v>
      </c>
      <c r="D760" s="7" t="str">
        <f>HYPERLINK("https://data.bls.gov/projections/nationalMatrix?queryParams=45-4020&amp;ioType=o", "Projections for 45-4020")</f>
        <v>Projections for 45-4020</v>
      </c>
    </row>
    <row r="761" spans="1:4" x14ac:dyDescent="0.35">
      <c r="A761" s="3" t="s">
        <v>1540</v>
      </c>
      <c r="B761" s="3" t="s">
        <v>1541</v>
      </c>
      <c r="C761" s="3" t="s">
        <v>65</v>
      </c>
      <c r="D761" s="7" t="str">
        <f>HYPERLINK("https://data.bls.gov/projections/nationalMatrix?queryParams=45-4021&amp;ioType=o", "Projections for 45-4021")</f>
        <v>Projections for 45-4021</v>
      </c>
    </row>
    <row r="762" spans="1:4" x14ac:dyDescent="0.35">
      <c r="A762" s="3" t="s">
        <v>1542</v>
      </c>
      <c r="B762" s="3" t="s">
        <v>1543</v>
      </c>
      <c r="C762" s="3" t="s">
        <v>65</v>
      </c>
      <c r="D762" s="7" t="str">
        <f>HYPERLINK("https://data.bls.gov/projections/nationalMatrix?queryParams=45-4022&amp;ioType=o", "Projections for 45-4022")</f>
        <v>Projections for 45-4022</v>
      </c>
    </row>
    <row r="763" spans="1:4" x14ac:dyDescent="0.35">
      <c r="A763" s="3" t="s">
        <v>1544</v>
      </c>
      <c r="B763" s="3" t="s">
        <v>1545</v>
      </c>
      <c r="C763" s="3" t="s">
        <v>65</v>
      </c>
      <c r="D763" s="7" t="str">
        <f>HYPERLINK("https://data.bls.gov/projections/nationalMatrix?queryParams=45-4023&amp;ioType=o", "Projections for 45-4023")</f>
        <v>Projections for 45-4023</v>
      </c>
    </row>
    <row r="764" spans="1:4" x14ac:dyDescent="0.35">
      <c r="A764" s="3" t="s">
        <v>1546</v>
      </c>
      <c r="B764" s="3" t="s">
        <v>1547</v>
      </c>
      <c r="C764" s="3" t="s">
        <v>65</v>
      </c>
      <c r="D764" s="7" t="str">
        <f>HYPERLINK("https://data.bls.gov/projections/nationalMatrix?queryParams=45-4029&amp;ioType=o", "Projections for 45-4029")</f>
        <v>Projections for 45-4029</v>
      </c>
    </row>
    <row r="765" spans="1:4" x14ac:dyDescent="0.35">
      <c r="A765" s="3" t="s">
        <v>44</v>
      </c>
      <c r="B765" s="3" t="s">
        <v>45</v>
      </c>
      <c r="C765" s="3" t="s">
        <v>60</v>
      </c>
      <c r="D765" s="7" t="str">
        <f>HYPERLINK("https://data.bls.gov/projections/nationalMatrix?queryParams=47-0000&amp;ioType=o", "Projections for 47-0000")</f>
        <v>Projections for 47-0000</v>
      </c>
    </row>
    <row r="766" spans="1:4" x14ac:dyDescent="0.35">
      <c r="A766" s="3" t="s">
        <v>1548</v>
      </c>
      <c r="B766" s="3" t="s">
        <v>1549</v>
      </c>
      <c r="C766" s="3" t="s">
        <v>60</v>
      </c>
      <c r="D766" s="7" t="str">
        <f>HYPERLINK("https://data.bls.gov/projections/nationalMatrix?queryParams=47-1000&amp;ioType=o", "Projections for 47-1000")</f>
        <v>Projections for 47-1000</v>
      </c>
    </row>
    <row r="767" spans="1:4" x14ac:dyDescent="0.35">
      <c r="A767" s="3" t="s">
        <v>1550</v>
      </c>
      <c r="B767" s="3" t="s">
        <v>1551</v>
      </c>
      <c r="C767" s="3" t="s">
        <v>65</v>
      </c>
      <c r="D767" s="7" t="str">
        <f>HYPERLINK("https://data.bls.gov/projections/nationalMatrix?queryParams=47-1011&amp;ioType=o", "Projections for 47-1011")</f>
        <v>Projections for 47-1011</v>
      </c>
    </row>
    <row r="768" spans="1:4" x14ac:dyDescent="0.35">
      <c r="A768" s="3" t="s">
        <v>1552</v>
      </c>
      <c r="B768" s="3" t="s">
        <v>1553</v>
      </c>
      <c r="C768" s="3" t="s">
        <v>60</v>
      </c>
      <c r="D768" s="7" t="str">
        <f>HYPERLINK("https://data.bls.gov/projections/nationalMatrix?queryParams=47-2000&amp;ioType=o", "Projections for 47-2000")</f>
        <v>Projections for 47-2000</v>
      </c>
    </row>
    <row r="769" spans="1:4" x14ac:dyDescent="0.35">
      <c r="A769" s="3" t="s">
        <v>1554</v>
      </c>
      <c r="B769" s="3" t="s">
        <v>1555</v>
      </c>
      <c r="C769" s="3" t="s">
        <v>65</v>
      </c>
      <c r="D769" s="7" t="str">
        <f>HYPERLINK("https://data.bls.gov/projections/nationalMatrix?queryParams=47-2011&amp;ioType=o", "Projections for 47-2011")</f>
        <v>Projections for 47-2011</v>
      </c>
    </row>
    <row r="770" spans="1:4" x14ac:dyDescent="0.35">
      <c r="A770" s="3" t="s">
        <v>1556</v>
      </c>
      <c r="B770" s="3" t="s">
        <v>1557</v>
      </c>
      <c r="C770" s="3" t="s">
        <v>60</v>
      </c>
      <c r="D770" s="7" t="str">
        <f>HYPERLINK("https://data.bls.gov/projections/nationalMatrix?queryParams=47-2020&amp;ioType=o", "Projections for 47-2020")</f>
        <v>Projections for 47-2020</v>
      </c>
    </row>
    <row r="771" spans="1:4" x14ac:dyDescent="0.35">
      <c r="A771" s="3" t="s">
        <v>1558</v>
      </c>
      <c r="B771" s="3" t="s">
        <v>1559</v>
      </c>
      <c r="C771" s="3" t="s">
        <v>65</v>
      </c>
      <c r="D771" s="7" t="str">
        <f>HYPERLINK("https://data.bls.gov/projections/nationalMatrix?queryParams=47-2021&amp;ioType=o", "Projections for 47-2021")</f>
        <v>Projections for 47-2021</v>
      </c>
    </row>
    <row r="772" spans="1:4" x14ac:dyDescent="0.35">
      <c r="A772" s="3" t="s">
        <v>1560</v>
      </c>
      <c r="B772" s="3" t="s">
        <v>1561</v>
      </c>
      <c r="C772" s="3" t="s">
        <v>65</v>
      </c>
      <c r="D772" s="7" t="str">
        <f>HYPERLINK("https://data.bls.gov/projections/nationalMatrix?queryParams=47-2022&amp;ioType=o", "Projections for 47-2022")</f>
        <v>Projections for 47-2022</v>
      </c>
    </row>
    <row r="773" spans="1:4" x14ac:dyDescent="0.35">
      <c r="A773" s="3" t="s">
        <v>1562</v>
      </c>
      <c r="B773" s="3" t="s">
        <v>1563</v>
      </c>
      <c r="C773" s="3" t="s">
        <v>65</v>
      </c>
      <c r="D773" s="7" t="str">
        <f>HYPERLINK("https://data.bls.gov/projections/nationalMatrix?queryParams=47-2031&amp;ioType=o", "Projections for 47-2031")</f>
        <v>Projections for 47-2031</v>
      </c>
    </row>
    <row r="774" spans="1:4" x14ac:dyDescent="0.35">
      <c r="A774" s="3" t="s">
        <v>1564</v>
      </c>
      <c r="B774" s="3" t="s">
        <v>1565</v>
      </c>
      <c r="C774" s="3" t="s">
        <v>60</v>
      </c>
      <c r="D774" s="7" t="str">
        <f>HYPERLINK("https://data.bls.gov/projections/nationalMatrix?queryParams=47-2040&amp;ioType=o", "Projections for 47-2040")</f>
        <v>Projections for 47-2040</v>
      </c>
    </row>
    <row r="775" spans="1:4" x14ac:dyDescent="0.35">
      <c r="A775" s="3" t="s">
        <v>1566</v>
      </c>
      <c r="B775" s="3" t="s">
        <v>1567</v>
      </c>
      <c r="C775" s="3" t="s">
        <v>65</v>
      </c>
      <c r="D775" s="7" t="str">
        <f>HYPERLINK("https://data.bls.gov/projections/nationalMatrix?queryParams=47-2041&amp;ioType=o", "Projections for 47-2041")</f>
        <v>Projections for 47-2041</v>
      </c>
    </row>
    <row r="776" spans="1:4" x14ac:dyDescent="0.35">
      <c r="A776" s="3" t="s">
        <v>1568</v>
      </c>
      <c r="B776" s="3" t="s">
        <v>1569</v>
      </c>
      <c r="C776" s="3" t="s">
        <v>65</v>
      </c>
      <c r="D776" s="7" t="str">
        <f>HYPERLINK("https://data.bls.gov/projections/nationalMatrix?queryParams=47-2042&amp;ioType=o", "Projections for 47-2042")</f>
        <v>Projections for 47-2042</v>
      </c>
    </row>
    <row r="777" spans="1:4" x14ac:dyDescent="0.35">
      <c r="A777" s="3" t="s">
        <v>1570</v>
      </c>
      <c r="B777" s="3" t="s">
        <v>1571</v>
      </c>
      <c r="C777" s="3" t="s">
        <v>65</v>
      </c>
      <c r="D777" s="7" t="str">
        <f>HYPERLINK("https://data.bls.gov/projections/nationalMatrix?queryParams=47-2043&amp;ioType=o", "Projections for 47-2043")</f>
        <v>Projections for 47-2043</v>
      </c>
    </row>
    <row r="778" spans="1:4" x14ac:dyDescent="0.35">
      <c r="A778" s="3" t="s">
        <v>1572</v>
      </c>
      <c r="B778" s="3" t="s">
        <v>1573</v>
      </c>
      <c r="C778" s="3" t="s">
        <v>65</v>
      </c>
      <c r="D778" s="7" t="str">
        <f>HYPERLINK("https://data.bls.gov/projections/nationalMatrix?queryParams=47-2044&amp;ioType=o", "Projections for 47-2044")</f>
        <v>Projections for 47-2044</v>
      </c>
    </row>
    <row r="779" spans="1:4" x14ac:dyDescent="0.35">
      <c r="A779" s="3" t="s">
        <v>1574</v>
      </c>
      <c r="B779" s="3" t="s">
        <v>1575</v>
      </c>
      <c r="C779" s="3" t="s">
        <v>60</v>
      </c>
      <c r="D779" s="7" t="str">
        <f>HYPERLINK("https://data.bls.gov/projections/nationalMatrix?queryParams=47-2050&amp;ioType=o", "Projections for 47-2050")</f>
        <v>Projections for 47-2050</v>
      </c>
    </row>
    <row r="780" spans="1:4" x14ac:dyDescent="0.35">
      <c r="A780" s="3" t="s">
        <v>1576</v>
      </c>
      <c r="B780" s="3" t="s">
        <v>1577</v>
      </c>
      <c r="C780" s="3" t="s">
        <v>65</v>
      </c>
      <c r="D780" s="7" t="str">
        <f>HYPERLINK("https://data.bls.gov/projections/nationalMatrix?queryParams=47-2051&amp;ioType=o", "Projections for 47-2051")</f>
        <v>Projections for 47-2051</v>
      </c>
    </row>
    <row r="781" spans="1:4" x14ac:dyDescent="0.35">
      <c r="A781" s="3" t="s">
        <v>1578</v>
      </c>
      <c r="B781" s="3" t="s">
        <v>1579</v>
      </c>
      <c r="C781" s="3" t="s">
        <v>65</v>
      </c>
      <c r="D781" s="7" t="str">
        <f>HYPERLINK("https://data.bls.gov/projections/nationalMatrix?queryParams=47-2053&amp;ioType=o", "Projections for 47-2053")</f>
        <v>Projections for 47-2053</v>
      </c>
    </row>
    <row r="782" spans="1:4" x14ac:dyDescent="0.35">
      <c r="A782" s="3" t="s">
        <v>1580</v>
      </c>
      <c r="B782" s="3" t="s">
        <v>1581</v>
      </c>
      <c r="C782" s="3" t="s">
        <v>65</v>
      </c>
      <c r="D782" s="7" t="str">
        <f>HYPERLINK("https://data.bls.gov/projections/nationalMatrix?queryParams=47-2061&amp;ioType=o", "Projections for 47-2061")</f>
        <v>Projections for 47-2061</v>
      </c>
    </row>
    <row r="783" spans="1:4" x14ac:dyDescent="0.35">
      <c r="A783" s="3" t="s">
        <v>1582</v>
      </c>
      <c r="B783" s="3" t="s">
        <v>1583</v>
      </c>
      <c r="C783" s="3" t="s">
        <v>60</v>
      </c>
      <c r="D783" s="7" t="str">
        <f>HYPERLINK("https://data.bls.gov/projections/nationalMatrix?queryParams=47-2070&amp;ioType=o", "Projections for 47-2070")</f>
        <v>Projections for 47-2070</v>
      </c>
    </row>
    <row r="784" spans="1:4" x14ac:dyDescent="0.35">
      <c r="A784" s="3" t="s">
        <v>1584</v>
      </c>
      <c r="B784" s="3" t="s">
        <v>1585</v>
      </c>
      <c r="C784" s="3" t="s">
        <v>65</v>
      </c>
      <c r="D784" s="7" t="str">
        <f>HYPERLINK("https://data.bls.gov/projections/nationalMatrix?queryParams=47-2071&amp;ioType=o", "Projections for 47-2071")</f>
        <v>Projections for 47-2071</v>
      </c>
    </row>
    <row r="785" spans="1:4" x14ac:dyDescent="0.35">
      <c r="A785" s="3" t="s">
        <v>1586</v>
      </c>
      <c r="B785" s="3" t="s">
        <v>1587</v>
      </c>
      <c r="C785" s="3" t="s">
        <v>65</v>
      </c>
      <c r="D785" s="7" t="str">
        <f>HYPERLINK("https://data.bls.gov/projections/nationalMatrix?queryParams=47-2072&amp;ioType=o", "Projections for 47-2072")</f>
        <v>Projections for 47-2072</v>
      </c>
    </row>
    <row r="786" spans="1:4" x14ac:dyDescent="0.35">
      <c r="A786" s="3" t="s">
        <v>1588</v>
      </c>
      <c r="B786" s="3" t="s">
        <v>1589</v>
      </c>
      <c r="C786" s="3" t="s">
        <v>65</v>
      </c>
      <c r="D786" s="7" t="str">
        <f>HYPERLINK("https://data.bls.gov/projections/nationalMatrix?queryParams=47-2073&amp;ioType=o", "Projections for 47-2073")</f>
        <v>Projections for 47-2073</v>
      </c>
    </row>
    <row r="787" spans="1:4" x14ac:dyDescent="0.35">
      <c r="A787" s="3" t="s">
        <v>1590</v>
      </c>
      <c r="B787" s="3" t="s">
        <v>1591</v>
      </c>
      <c r="C787" s="3" t="s">
        <v>60</v>
      </c>
      <c r="D787" s="7" t="str">
        <f>HYPERLINK("https://data.bls.gov/projections/nationalMatrix?queryParams=47-2080&amp;ioType=o", "Projections for 47-2080")</f>
        <v>Projections for 47-2080</v>
      </c>
    </row>
    <row r="788" spans="1:4" x14ac:dyDescent="0.35">
      <c r="A788" s="3" t="s">
        <v>1592</v>
      </c>
      <c r="B788" s="3" t="s">
        <v>1593</v>
      </c>
      <c r="C788" s="3" t="s">
        <v>65</v>
      </c>
      <c r="D788" s="7" t="str">
        <f>HYPERLINK("https://data.bls.gov/projections/nationalMatrix?queryParams=47-2081&amp;ioType=o", "Projections for 47-2081")</f>
        <v>Projections for 47-2081</v>
      </c>
    </row>
    <row r="789" spans="1:4" x14ac:dyDescent="0.35">
      <c r="A789" s="3" t="s">
        <v>1594</v>
      </c>
      <c r="B789" s="3" t="s">
        <v>1595</v>
      </c>
      <c r="C789" s="3" t="s">
        <v>65</v>
      </c>
      <c r="D789" s="7" t="str">
        <f>HYPERLINK("https://data.bls.gov/projections/nationalMatrix?queryParams=47-2082&amp;ioType=o", "Projections for 47-2082")</f>
        <v>Projections for 47-2082</v>
      </c>
    </row>
    <row r="790" spans="1:4" x14ac:dyDescent="0.35">
      <c r="A790" s="3" t="s">
        <v>1596</v>
      </c>
      <c r="B790" s="3" t="s">
        <v>1597</v>
      </c>
      <c r="C790" s="3" t="s">
        <v>65</v>
      </c>
      <c r="D790" s="7" t="str">
        <f>HYPERLINK("https://data.bls.gov/projections/nationalMatrix?queryParams=47-2111&amp;ioType=o", "Projections for 47-2111")</f>
        <v>Projections for 47-2111</v>
      </c>
    </row>
    <row r="791" spans="1:4" x14ac:dyDescent="0.35">
      <c r="A791" s="3" t="s">
        <v>1598</v>
      </c>
      <c r="B791" s="3" t="s">
        <v>1599</v>
      </c>
      <c r="C791" s="3" t="s">
        <v>65</v>
      </c>
      <c r="D791" s="7" t="str">
        <f>HYPERLINK("https://data.bls.gov/projections/nationalMatrix?queryParams=47-2121&amp;ioType=o", "Projections for 47-2121")</f>
        <v>Projections for 47-2121</v>
      </c>
    </row>
    <row r="792" spans="1:4" x14ac:dyDescent="0.35">
      <c r="A792" s="3" t="s">
        <v>1600</v>
      </c>
      <c r="B792" s="3" t="s">
        <v>1601</v>
      </c>
      <c r="C792" s="3" t="s">
        <v>60</v>
      </c>
      <c r="D792" s="7" t="str">
        <f>HYPERLINK("https://data.bls.gov/projections/nationalMatrix?queryParams=47-2130&amp;ioType=o", "Projections for 47-2130")</f>
        <v>Projections for 47-2130</v>
      </c>
    </row>
    <row r="793" spans="1:4" x14ac:dyDescent="0.35">
      <c r="A793" s="3" t="s">
        <v>1602</v>
      </c>
      <c r="B793" s="3" t="s">
        <v>1603</v>
      </c>
      <c r="C793" s="3" t="s">
        <v>65</v>
      </c>
      <c r="D793" s="7" t="str">
        <f>HYPERLINK("https://data.bls.gov/projections/nationalMatrix?queryParams=47-2131&amp;ioType=o", "Projections for 47-2131")</f>
        <v>Projections for 47-2131</v>
      </c>
    </row>
    <row r="794" spans="1:4" x14ac:dyDescent="0.35">
      <c r="A794" s="3" t="s">
        <v>1604</v>
      </c>
      <c r="B794" s="3" t="s">
        <v>1605</v>
      </c>
      <c r="C794" s="3" t="s">
        <v>65</v>
      </c>
      <c r="D794" s="7" t="str">
        <f>HYPERLINK("https://data.bls.gov/projections/nationalMatrix?queryParams=47-2132&amp;ioType=o", "Projections for 47-2132")</f>
        <v>Projections for 47-2132</v>
      </c>
    </row>
    <row r="795" spans="1:4" x14ac:dyDescent="0.35">
      <c r="A795" s="3" t="s">
        <v>1606</v>
      </c>
      <c r="B795" s="3" t="s">
        <v>1607</v>
      </c>
      <c r="C795" s="3" t="s">
        <v>60</v>
      </c>
      <c r="D795" s="7" t="str">
        <f>HYPERLINK("https://data.bls.gov/projections/nationalMatrix?queryParams=47-2140&amp;ioType=o", "Projections for 47-2140")</f>
        <v>Projections for 47-2140</v>
      </c>
    </row>
    <row r="796" spans="1:4" x14ac:dyDescent="0.35">
      <c r="A796" s="3" t="s">
        <v>1608</v>
      </c>
      <c r="B796" s="3" t="s">
        <v>1609</v>
      </c>
      <c r="C796" s="3" t="s">
        <v>65</v>
      </c>
      <c r="D796" s="7" t="str">
        <f>HYPERLINK("https://data.bls.gov/projections/nationalMatrix?queryParams=47-2141&amp;ioType=o", "Projections for 47-2141")</f>
        <v>Projections for 47-2141</v>
      </c>
    </row>
    <row r="797" spans="1:4" x14ac:dyDescent="0.35">
      <c r="A797" s="3" t="s">
        <v>1610</v>
      </c>
      <c r="B797" s="3" t="s">
        <v>1611</v>
      </c>
      <c r="C797" s="3" t="s">
        <v>65</v>
      </c>
      <c r="D797" s="7" t="str">
        <f>HYPERLINK("https://data.bls.gov/projections/nationalMatrix?queryParams=47-2142&amp;ioType=o", "Projections for 47-2142")</f>
        <v>Projections for 47-2142</v>
      </c>
    </row>
    <row r="798" spans="1:4" x14ac:dyDescent="0.35">
      <c r="A798" s="3" t="s">
        <v>1612</v>
      </c>
      <c r="B798" s="3" t="s">
        <v>1613</v>
      </c>
      <c r="C798" s="3" t="s">
        <v>60</v>
      </c>
      <c r="D798" s="7" t="str">
        <f>HYPERLINK("https://data.bls.gov/projections/nationalMatrix?queryParams=47-2150&amp;ioType=o", "Projections for 47-2150")</f>
        <v>Projections for 47-2150</v>
      </c>
    </row>
    <row r="799" spans="1:4" x14ac:dyDescent="0.35">
      <c r="A799" s="3" t="s">
        <v>1614</v>
      </c>
      <c r="B799" s="3" t="s">
        <v>1615</v>
      </c>
      <c r="C799" s="3" t="s">
        <v>65</v>
      </c>
      <c r="D799" s="7" t="str">
        <f>HYPERLINK("https://data.bls.gov/projections/nationalMatrix?queryParams=47-2151&amp;ioType=o", "Projections for 47-2151")</f>
        <v>Projections for 47-2151</v>
      </c>
    </row>
    <row r="800" spans="1:4" x14ac:dyDescent="0.35">
      <c r="A800" s="3" t="s">
        <v>1616</v>
      </c>
      <c r="B800" s="3" t="s">
        <v>1617</v>
      </c>
      <c r="C800" s="3" t="s">
        <v>65</v>
      </c>
      <c r="D800" s="7" t="str">
        <f>HYPERLINK("https://data.bls.gov/projections/nationalMatrix?queryParams=47-2152&amp;ioType=o", "Projections for 47-2152")</f>
        <v>Projections for 47-2152</v>
      </c>
    </row>
    <row r="801" spans="1:4" x14ac:dyDescent="0.35">
      <c r="A801" s="3" t="s">
        <v>1618</v>
      </c>
      <c r="B801" s="3" t="s">
        <v>1619</v>
      </c>
      <c r="C801" s="3" t="s">
        <v>65</v>
      </c>
      <c r="D801" s="7" t="str">
        <f>HYPERLINK("https://data.bls.gov/projections/nationalMatrix?queryParams=47-2161&amp;ioType=o", "Projections for 47-2161")</f>
        <v>Projections for 47-2161</v>
      </c>
    </row>
    <row r="802" spans="1:4" x14ac:dyDescent="0.35">
      <c r="A802" s="3" t="s">
        <v>1620</v>
      </c>
      <c r="B802" s="3" t="s">
        <v>1621</v>
      </c>
      <c r="C802" s="3" t="s">
        <v>65</v>
      </c>
      <c r="D802" s="7" t="str">
        <f>HYPERLINK("https://data.bls.gov/projections/nationalMatrix?queryParams=47-2171&amp;ioType=o", "Projections for 47-2171")</f>
        <v>Projections for 47-2171</v>
      </c>
    </row>
    <row r="803" spans="1:4" x14ac:dyDescent="0.35">
      <c r="A803" s="3" t="s">
        <v>1622</v>
      </c>
      <c r="B803" s="3" t="s">
        <v>1623</v>
      </c>
      <c r="C803" s="3" t="s">
        <v>65</v>
      </c>
      <c r="D803" s="7" t="str">
        <f>HYPERLINK("https://data.bls.gov/projections/nationalMatrix?queryParams=47-2181&amp;ioType=o", "Projections for 47-2181")</f>
        <v>Projections for 47-2181</v>
      </c>
    </row>
    <row r="804" spans="1:4" x14ac:dyDescent="0.35">
      <c r="A804" s="3" t="s">
        <v>1624</v>
      </c>
      <c r="B804" s="3" t="s">
        <v>1625</v>
      </c>
      <c r="C804" s="3" t="s">
        <v>65</v>
      </c>
      <c r="D804" s="7" t="str">
        <f>HYPERLINK("https://data.bls.gov/projections/nationalMatrix?queryParams=47-2211&amp;ioType=o", "Projections for 47-2211")</f>
        <v>Projections for 47-2211</v>
      </c>
    </row>
    <row r="805" spans="1:4" x14ac:dyDescent="0.35">
      <c r="A805" s="3" t="s">
        <v>1626</v>
      </c>
      <c r="B805" s="3" t="s">
        <v>1627</v>
      </c>
      <c r="C805" s="3" t="s">
        <v>65</v>
      </c>
      <c r="D805" s="7" t="str">
        <f>HYPERLINK("https://data.bls.gov/projections/nationalMatrix?queryParams=47-2221&amp;ioType=o", "Projections for 47-2221")</f>
        <v>Projections for 47-2221</v>
      </c>
    </row>
    <row r="806" spans="1:4" x14ac:dyDescent="0.35">
      <c r="A806" s="3" t="s">
        <v>1628</v>
      </c>
      <c r="B806" s="3" t="s">
        <v>1629</v>
      </c>
      <c r="C806" s="3" t="s">
        <v>65</v>
      </c>
      <c r="D806" s="7" t="str">
        <f>HYPERLINK("https://data.bls.gov/projections/nationalMatrix?queryParams=47-2231&amp;ioType=o", "Projections for 47-2231")</f>
        <v>Projections for 47-2231</v>
      </c>
    </row>
    <row r="807" spans="1:4" x14ac:dyDescent="0.35">
      <c r="A807" s="3" t="s">
        <v>1630</v>
      </c>
      <c r="B807" s="3" t="s">
        <v>1631</v>
      </c>
      <c r="C807" s="3" t="s">
        <v>60</v>
      </c>
      <c r="D807" s="7" t="str">
        <f>HYPERLINK("https://data.bls.gov/projections/nationalMatrix?queryParams=47-3000&amp;ioType=o", "Projections for 47-3000")</f>
        <v>Projections for 47-3000</v>
      </c>
    </row>
    <row r="808" spans="1:4" x14ac:dyDescent="0.35">
      <c r="A808" s="3" t="s">
        <v>1632</v>
      </c>
      <c r="B808" s="3" t="s">
        <v>1633</v>
      </c>
      <c r="C808" s="3" t="s">
        <v>65</v>
      </c>
      <c r="D808" s="7" t="str">
        <f>HYPERLINK("https://data.bls.gov/projections/nationalMatrix?queryParams=47-3011&amp;ioType=o", "Projections for 47-3011")</f>
        <v>Projections for 47-3011</v>
      </c>
    </row>
    <row r="809" spans="1:4" x14ac:dyDescent="0.35">
      <c r="A809" s="3" t="s">
        <v>1634</v>
      </c>
      <c r="B809" s="3" t="s">
        <v>1635</v>
      </c>
      <c r="C809" s="3" t="s">
        <v>65</v>
      </c>
      <c r="D809" s="7" t="str">
        <f>HYPERLINK("https://data.bls.gov/projections/nationalMatrix?queryParams=47-3012&amp;ioType=o", "Projections for 47-3012")</f>
        <v>Projections for 47-3012</v>
      </c>
    </row>
    <row r="810" spans="1:4" x14ac:dyDescent="0.35">
      <c r="A810" s="3" t="s">
        <v>1636</v>
      </c>
      <c r="B810" s="3" t="s">
        <v>1637</v>
      </c>
      <c r="C810" s="3" t="s">
        <v>65</v>
      </c>
      <c r="D810" s="7" t="str">
        <f>HYPERLINK("https://data.bls.gov/projections/nationalMatrix?queryParams=47-3013&amp;ioType=o", "Projections for 47-3013")</f>
        <v>Projections for 47-3013</v>
      </c>
    </row>
    <row r="811" spans="1:4" x14ac:dyDescent="0.35">
      <c r="A811" s="3" t="s">
        <v>1638</v>
      </c>
      <c r="B811" s="3" t="s">
        <v>1639</v>
      </c>
      <c r="C811" s="3" t="s">
        <v>65</v>
      </c>
      <c r="D811" s="7" t="str">
        <f>HYPERLINK("https://data.bls.gov/projections/nationalMatrix?queryParams=47-3014&amp;ioType=o", "Projections for 47-3014")</f>
        <v>Projections for 47-3014</v>
      </c>
    </row>
    <row r="812" spans="1:4" x14ac:dyDescent="0.35">
      <c r="A812" s="3" t="s">
        <v>1640</v>
      </c>
      <c r="B812" s="3" t="s">
        <v>1641</v>
      </c>
      <c r="C812" s="3" t="s">
        <v>65</v>
      </c>
      <c r="D812" s="7" t="str">
        <f>HYPERLINK("https://data.bls.gov/projections/nationalMatrix?queryParams=47-3015&amp;ioType=o", "Projections for 47-3015")</f>
        <v>Projections for 47-3015</v>
      </c>
    </row>
    <row r="813" spans="1:4" x14ac:dyDescent="0.35">
      <c r="A813" s="3" t="s">
        <v>1642</v>
      </c>
      <c r="B813" s="3" t="s">
        <v>1643</v>
      </c>
      <c r="C813" s="3" t="s">
        <v>65</v>
      </c>
      <c r="D813" s="7" t="str">
        <f>HYPERLINK("https://data.bls.gov/projections/nationalMatrix?queryParams=47-3016&amp;ioType=o", "Projections for 47-3016")</f>
        <v>Projections for 47-3016</v>
      </c>
    </row>
    <row r="814" spans="1:4" x14ac:dyDescent="0.35">
      <c r="A814" s="3" t="s">
        <v>1644</v>
      </c>
      <c r="B814" s="3" t="s">
        <v>1645</v>
      </c>
      <c r="C814" s="3" t="s">
        <v>65</v>
      </c>
      <c r="D814" s="7" t="str">
        <f>HYPERLINK("https://data.bls.gov/projections/nationalMatrix?queryParams=47-3019&amp;ioType=o", "Projections for 47-3019")</f>
        <v>Projections for 47-3019</v>
      </c>
    </row>
    <row r="815" spans="1:4" x14ac:dyDescent="0.35">
      <c r="A815" s="3" t="s">
        <v>1646</v>
      </c>
      <c r="B815" s="3" t="s">
        <v>1647</v>
      </c>
      <c r="C815" s="3" t="s">
        <v>60</v>
      </c>
      <c r="D815" s="7" t="str">
        <f>HYPERLINK("https://data.bls.gov/projections/nationalMatrix?queryParams=47-4000&amp;ioType=o", "Projections for 47-4000")</f>
        <v>Projections for 47-4000</v>
      </c>
    </row>
    <row r="816" spans="1:4" x14ac:dyDescent="0.35">
      <c r="A816" s="3" t="s">
        <v>1648</v>
      </c>
      <c r="B816" s="3" t="s">
        <v>1649</v>
      </c>
      <c r="C816" s="3" t="s">
        <v>65</v>
      </c>
      <c r="D816" s="7" t="str">
        <f>HYPERLINK("https://data.bls.gov/projections/nationalMatrix?queryParams=47-4011&amp;ioType=o", "Projections for 47-4011")</f>
        <v>Projections for 47-4011</v>
      </c>
    </row>
    <row r="817" spans="1:4" x14ac:dyDescent="0.35">
      <c r="A817" s="3" t="s">
        <v>1650</v>
      </c>
      <c r="B817" s="3" t="s">
        <v>1651</v>
      </c>
      <c r="C817" s="3" t="s">
        <v>65</v>
      </c>
      <c r="D817" s="7" t="str">
        <f>HYPERLINK("https://data.bls.gov/projections/nationalMatrix?queryParams=47-4021&amp;ioType=o", "Projections for 47-4021")</f>
        <v>Projections for 47-4021</v>
      </c>
    </row>
    <row r="818" spans="1:4" x14ac:dyDescent="0.35">
      <c r="A818" s="3" t="s">
        <v>1652</v>
      </c>
      <c r="B818" s="3" t="s">
        <v>1653</v>
      </c>
      <c r="C818" s="3" t="s">
        <v>65</v>
      </c>
      <c r="D818" s="7" t="str">
        <f>HYPERLINK("https://data.bls.gov/projections/nationalMatrix?queryParams=47-4031&amp;ioType=o", "Projections for 47-4031")</f>
        <v>Projections for 47-4031</v>
      </c>
    </row>
    <row r="819" spans="1:4" x14ac:dyDescent="0.35">
      <c r="A819" s="3" t="s">
        <v>1654</v>
      </c>
      <c r="B819" s="3" t="s">
        <v>1655</v>
      </c>
      <c r="C819" s="3" t="s">
        <v>65</v>
      </c>
      <c r="D819" s="7" t="str">
        <f>HYPERLINK("https://data.bls.gov/projections/nationalMatrix?queryParams=47-4041&amp;ioType=o", "Projections for 47-4041")</f>
        <v>Projections for 47-4041</v>
      </c>
    </row>
    <row r="820" spans="1:4" x14ac:dyDescent="0.35">
      <c r="A820" s="3" t="s">
        <v>1656</v>
      </c>
      <c r="B820" s="3" t="s">
        <v>1657</v>
      </c>
      <c r="C820" s="3" t="s">
        <v>65</v>
      </c>
      <c r="D820" s="7" t="str">
        <f>HYPERLINK("https://data.bls.gov/projections/nationalMatrix?queryParams=47-4051&amp;ioType=o", "Projections for 47-4051")</f>
        <v>Projections for 47-4051</v>
      </c>
    </row>
    <row r="821" spans="1:4" x14ac:dyDescent="0.35">
      <c r="A821" s="3" t="s">
        <v>1658</v>
      </c>
      <c r="B821" s="3" t="s">
        <v>1659</v>
      </c>
      <c r="C821" s="3" t="s">
        <v>65</v>
      </c>
      <c r="D821" s="7" t="str">
        <f>HYPERLINK("https://data.bls.gov/projections/nationalMatrix?queryParams=47-4061&amp;ioType=o", "Projections for 47-4061")</f>
        <v>Projections for 47-4061</v>
      </c>
    </row>
    <row r="822" spans="1:4" x14ac:dyDescent="0.35">
      <c r="A822" s="3" t="s">
        <v>1660</v>
      </c>
      <c r="B822" s="3" t="s">
        <v>1661</v>
      </c>
      <c r="C822" s="3" t="s">
        <v>65</v>
      </c>
      <c r="D822" s="7" t="str">
        <f>HYPERLINK("https://data.bls.gov/projections/nationalMatrix?queryParams=47-4071&amp;ioType=o", "Projections for 47-4071")</f>
        <v>Projections for 47-4071</v>
      </c>
    </row>
    <row r="823" spans="1:4" x14ac:dyDescent="0.35">
      <c r="A823" s="3" t="s">
        <v>1662</v>
      </c>
      <c r="B823" s="3" t="s">
        <v>1663</v>
      </c>
      <c r="C823" s="3" t="s">
        <v>65</v>
      </c>
      <c r="D823" s="7" t="str">
        <f>HYPERLINK("https://data.bls.gov/projections/nationalMatrix?queryParams=47-4090&amp;ioType=o", "Projections for 47-4090")</f>
        <v>Projections for 47-4090</v>
      </c>
    </row>
    <row r="824" spans="1:4" x14ac:dyDescent="0.35">
      <c r="A824" s="3" t="s">
        <v>1664</v>
      </c>
      <c r="B824" s="3" t="s">
        <v>1665</v>
      </c>
      <c r="C824" s="3" t="s">
        <v>60</v>
      </c>
      <c r="D824" s="7" t="str">
        <f>HYPERLINK("https://data.bls.gov/projections/nationalMatrix?queryParams=47-5000&amp;ioType=o", "Projections for 47-5000")</f>
        <v>Projections for 47-5000</v>
      </c>
    </row>
    <row r="825" spans="1:4" x14ac:dyDescent="0.35">
      <c r="A825" s="3" t="s">
        <v>1666</v>
      </c>
      <c r="B825" s="3" t="s">
        <v>1667</v>
      </c>
      <c r="C825" s="3" t="s">
        <v>60</v>
      </c>
      <c r="D825" s="7" t="str">
        <f>HYPERLINK("https://data.bls.gov/projections/nationalMatrix?queryParams=47-5010&amp;ioType=o", "Projections for 47-5010")</f>
        <v>Projections for 47-5010</v>
      </c>
    </row>
    <row r="826" spans="1:4" x14ac:dyDescent="0.35">
      <c r="A826" s="3" t="s">
        <v>1668</v>
      </c>
      <c r="B826" s="3" t="s">
        <v>1669</v>
      </c>
      <c r="C826" s="3" t="s">
        <v>65</v>
      </c>
      <c r="D826" s="7" t="str">
        <f>HYPERLINK("https://data.bls.gov/projections/nationalMatrix?queryParams=47-5011&amp;ioType=o", "Projections for 47-5011")</f>
        <v>Projections for 47-5011</v>
      </c>
    </row>
    <row r="827" spans="1:4" x14ac:dyDescent="0.35">
      <c r="A827" s="3" t="s">
        <v>1670</v>
      </c>
      <c r="B827" s="3" t="s">
        <v>1671</v>
      </c>
      <c r="C827" s="3" t="s">
        <v>65</v>
      </c>
      <c r="D827" s="7" t="str">
        <f>HYPERLINK("https://data.bls.gov/projections/nationalMatrix?queryParams=47-5012&amp;ioType=o", "Projections for 47-5012")</f>
        <v>Projections for 47-5012</v>
      </c>
    </row>
    <row r="828" spans="1:4" x14ac:dyDescent="0.35">
      <c r="A828" s="3" t="s">
        <v>1672</v>
      </c>
      <c r="B828" s="3" t="s">
        <v>1673</v>
      </c>
      <c r="C828" s="3" t="s">
        <v>65</v>
      </c>
      <c r="D828" s="7" t="str">
        <f>HYPERLINK("https://data.bls.gov/projections/nationalMatrix?queryParams=47-5013&amp;ioType=o", "Projections for 47-5013")</f>
        <v>Projections for 47-5013</v>
      </c>
    </row>
    <row r="829" spans="1:4" x14ac:dyDescent="0.35">
      <c r="A829" s="3" t="s">
        <v>1674</v>
      </c>
      <c r="B829" s="3" t="s">
        <v>1675</v>
      </c>
      <c r="C829" s="3" t="s">
        <v>60</v>
      </c>
      <c r="D829" s="7" t="str">
        <f>HYPERLINK("https://data.bls.gov/projections/nationalMatrix?queryParams=47-5020&amp;ioType=o", "Projections for 47-5020")</f>
        <v>Projections for 47-5020</v>
      </c>
    </row>
    <row r="830" spans="1:4" x14ac:dyDescent="0.35">
      <c r="A830" s="3" t="s">
        <v>1676</v>
      </c>
      <c r="B830" s="3" t="s">
        <v>1677</v>
      </c>
      <c r="C830" s="3" t="s">
        <v>65</v>
      </c>
      <c r="D830" s="7" t="str">
        <f>HYPERLINK("https://data.bls.gov/projections/nationalMatrix?queryParams=47-5022&amp;ioType=o", "Projections for 47-5022")</f>
        <v>Projections for 47-5022</v>
      </c>
    </row>
    <row r="831" spans="1:4" x14ac:dyDescent="0.35">
      <c r="A831" s="3" t="s">
        <v>1678</v>
      </c>
      <c r="B831" s="3" t="s">
        <v>1679</v>
      </c>
      <c r="C831" s="3" t="s">
        <v>65</v>
      </c>
      <c r="D831" s="7" t="str">
        <f>HYPERLINK("https://data.bls.gov/projections/nationalMatrix?queryParams=47-5023&amp;ioType=o", "Projections for 47-5023")</f>
        <v>Projections for 47-5023</v>
      </c>
    </row>
    <row r="832" spans="1:4" x14ac:dyDescent="0.35">
      <c r="A832" s="3" t="s">
        <v>1680</v>
      </c>
      <c r="B832" s="3" t="s">
        <v>1681</v>
      </c>
      <c r="C832" s="3" t="s">
        <v>65</v>
      </c>
      <c r="D832" s="7" t="str">
        <f>HYPERLINK("https://data.bls.gov/projections/nationalMatrix?queryParams=47-5032&amp;ioType=o", "Projections for 47-5032")</f>
        <v>Projections for 47-5032</v>
      </c>
    </row>
    <row r="833" spans="1:4" x14ac:dyDescent="0.35">
      <c r="A833" s="3" t="s">
        <v>1682</v>
      </c>
      <c r="B833" s="3" t="s">
        <v>1683</v>
      </c>
      <c r="C833" s="3" t="s">
        <v>60</v>
      </c>
      <c r="D833" s="7" t="str">
        <f>HYPERLINK("https://data.bls.gov/projections/nationalMatrix?queryParams=47-5040&amp;ioType=o", "Projections for 47-5040")</f>
        <v>Projections for 47-5040</v>
      </c>
    </row>
    <row r="834" spans="1:4" x14ac:dyDescent="0.35">
      <c r="A834" s="3" t="s">
        <v>1684</v>
      </c>
      <c r="B834" s="3" t="s">
        <v>1685</v>
      </c>
      <c r="C834" s="3" t="s">
        <v>65</v>
      </c>
      <c r="D834" s="7" t="str">
        <f>HYPERLINK("https://data.bls.gov/projections/nationalMatrix?queryParams=47-5041&amp;ioType=o", "Projections for 47-5041")</f>
        <v>Projections for 47-5041</v>
      </c>
    </row>
    <row r="835" spans="1:4" x14ac:dyDescent="0.35">
      <c r="A835" s="3" t="s">
        <v>1686</v>
      </c>
      <c r="B835" s="3" t="s">
        <v>1687</v>
      </c>
      <c r="C835" s="3" t="s">
        <v>65</v>
      </c>
      <c r="D835" s="7" t="str">
        <f>HYPERLINK("https://data.bls.gov/projections/nationalMatrix?queryParams=47-5043&amp;ioType=o", "Projections for 47-5043")</f>
        <v>Projections for 47-5043</v>
      </c>
    </row>
    <row r="836" spans="1:4" x14ac:dyDescent="0.35">
      <c r="A836" s="3" t="s">
        <v>1688</v>
      </c>
      <c r="B836" s="3" t="s">
        <v>1689</v>
      </c>
      <c r="C836" s="3" t="s">
        <v>65</v>
      </c>
      <c r="D836" s="7" t="str">
        <f>HYPERLINK("https://data.bls.gov/projections/nationalMatrix?queryParams=47-5044&amp;ioType=o", "Projections for 47-5044")</f>
        <v>Projections for 47-5044</v>
      </c>
    </row>
    <row r="837" spans="1:4" x14ac:dyDescent="0.35">
      <c r="A837" s="3" t="s">
        <v>1690</v>
      </c>
      <c r="B837" s="3" t="s">
        <v>1691</v>
      </c>
      <c r="C837" s="3" t="s">
        <v>65</v>
      </c>
      <c r="D837" s="7" t="str">
        <f>HYPERLINK("https://data.bls.gov/projections/nationalMatrix?queryParams=47-5049&amp;ioType=o", "Projections for 47-5049")</f>
        <v>Projections for 47-5049</v>
      </c>
    </row>
    <row r="838" spans="1:4" x14ac:dyDescent="0.35">
      <c r="A838" s="3" t="s">
        <v>1692</v>
      </c>
      <c r="B838" s="3" t="s">
        <v>1693</v>
      </c>
      <c r="C838" s="3" t="s">
        <v>65</v>
      </c>
      <c r="D838" s="7" t="str">
        <f>HYPERLINK("https://data.bls.gov/projections/nationalMatrix?queryParams=47-5051&amp;ioType=o", "Projections for 47-5051")</f>
        <v>Projections for 47-5051</v>
      </c>
    </row>
    <row r="839" spans="1:4" x14ac:dyDescent="0.35">
      <c r="A839" s="3" t="s">
        <v>1694</v>
      </c>
      <c r="B839" s="3" t="s">
        <v>1695</v>
      </c>
      <c r="C839" s="3" t="s">
        <v>65</v>
      </c>
      <c r="D839" s="7" t="str">
        <f>HYPERLINK("https://data.bls.gov/projections/nationalMatrix?queryParams=47-5071&amp;ioType=o", "Projections for 47-5071")</f>
        <v>Projections for 47-5071</v>
      </c>
    </row>
    <row r="840" spans="1:4" x14ac:dyDescent="0.35">
      <c r="A840" s="3" t="s">
        <v>1696</v>
      </c>
      <c r="B840" s="3" t="s">
        <v>1697</v>
      </c>
      <c r="C840" s="3" t="s">
        <v>65</v>
      </c>
      <c r="D840" s="7" t="str">
        <f>HYPERLINK("https://data.bls.gov/projections/nationalMatrix?queryParams=47-5081&amp;ioType=o", "Projections for 47-5081")</f>
        <v>Projections for 47-5081</v>
      </c>
    </row>
    <row r="841" spans="1:4" x14ac:dyDescent="0.35">
      <c r="A841" s="3" t="s">
        <v>1698</v>
      </c>
      <c r="B841" s="3" t="s">
        <v>1699</v>
      </c>
      <c r="C841" s="3" t="s">
        <v>65</v>
      </c>
      <c r="D841" s="7" t="str">
        <f>HYPERLINK("https://data.bls.gov/projections/nationalMatrix?queryParams=47-5099&amp;ioType=o", "Projections for 47-5099")</f>
        <v>Projections for 47-5099</v>
      </c>
    </row>
    <row r="842" spans="1:4" x14ac:dyDescent="0.35">
      <c r="A842" s="3" t="s">
        <v>46</v>
      </c>
      <c r="B842" s="3" t="s">
        <v>47</v>
      </c>
      <c r="C842" s="3" t="s">
        <v>60</v>
      </c>
      <c r="D842" s="7" t="str">
        <f>HYPERLINK("https://data.bls.gov/projections/nationalMatrix?queryParams=49-0000&amp;ioType=o", "Projections for 49-0000")</f>
        <v>Projections for 49-0000</v>
      </c>
    </row>
    <row r="843" spans="1:4" x14ac:dyDescent="0.35">
      <c r="A843" s="3" t="s">
        <v>1700</v>
      </c>
      <c r="B843" s="3" t="s">
        <v>1701</v>
      </c>
      <c r="C843" s="3" t="s">
        <v>60</v>
      </c>
      <c r="D843" s="7" t="str">
        <f>HYPERLINK("https://data.bls.gov/projections/nationalMatrix?queryParams=49-1000&amp;ioType=o", "Projections for 49-1000")</f>
        <v>Projections for 49-1000</v>
      </c>
    </row>
    <row r="844" spans="1:4" x14ac:dyDescent="0.35">
      <c r="A844" s="3" t="s">
        <v>1702</v>
      </c>
      <c r="B844" s="3" t="s">
        <v>1703</v>
      </c>
      <c r="C844" s="3" t="s">
        <v>65</v>
      </c>
      <c r="D844" s="7" t="str">
        <f>HYPERLINK("https://data.bls.gov/projections/nationalMatrix?queryParams=49-1011&amp;ioType=o", "Projections for 49-1011")</f>
        <v>Projections for 49-1011</v>
      </c>
    </row>
    <row r="845" spans="1:4" x14ac:dyDescent="0.35">
      <c r="A845" s="3" t="s">
        <v>1704</v>
      </c>
      <c r="B845" s="3" t="s">
        <v>1705</v>
      </c>
      <c r="C845" s="3" t="s">
        <v>60</v>
      </c>
      <c r="D845" s="7" t="str">
        <f>HYPERLINK("https://data.bls.gov/projections/nationalMatrix?queryParams=49-2000&amp;ioType=o", "Projections for 49-2000")</f>
        <v>Projections for 49-2000</v>
      </c>
    </row>
    <row r="846" spans="1:4" x14ac:dyDescent="0.35">
      <c r="A846" s="3" t="s">
        <v>1706</v>
      </c>
      <c r="B846" s="3" t="s">
        <v>1707</v>
      </c>
      <c r="C846" s="3" t="s">
        <v>65</v>
      </c>
      <c r="D846" s="7" t="str">
        <f>HYPERLINK("https://data.bls.gov/projections/nationalMatrix?queryParams=49-2011&amp;ioType=o", "Projections for 49-2011")</f>
        <v>Projections for 49-2011</v>
      </c>
    </row>
    <row r="847" spans="1:4" x14ac:dyDescent="0.35">
      <c r="A847" s="3" t="s">
        <v>1708</v>
      </c>
      <c r="B847" s="3" t="s">
        <v>1709</v>
      </c>
      <c r="C847" s="3" t="s">
        <v>60</v>
      </c>
      <c r="D847" s="7" t="str">
        <f>HYPERLINK("https://data.bls.gov/projections/nationalMatrix?queryParams=49-2020&amp;ioType=o", "Projections for 49-2020")</f>
        <v>Projections for 49-2020</v>
      </c>
    </row>
    <row r="848" spans="1:4" x14ac:dyDescent="0.35">
      <c r="A848" s="3" t="s">
        <v>1710</v>
      </c>
      <c r="B848" s="3" t="s">
        <v>1711</v>
      </c>
      <c r="C848" s="3" t="s">
        <v>65</v>
      </c>
      <c r="D848" s="7" t="str">
        <f>HYPERLINK("https://data.bls.gov/projections/nationalMatrix?queryParams=49-2021&amp;ioType=o", "Projections for 49-2021")</f>
        <v>Projections for 49-2021</v>
      </c>
    </row>
    <row r="849" spans="1:4" x14ac:dyDescent="0.35">
      <c r="A849" s="3" t="s">
        <v>1712</v>
      </c>
      <c r="B849" s="3" t="s">
        <v>1713</v>
      </c>
      <c r="C849" s="3" t="s">
        <v>65</v>
      </c>
      <c r="D849" s="7" t="str">
        <f>HYPERLINK("https://data.bls.gov/projections/nationalMatrix?queryParams=49-2022&amp;ioType=o", "Projections for 49-2022")</f>
        <v>Projections for 49-2022</v>
      </c>
    </row>
    <row r="850" spans="1:4" x14ac:dyDescent="0.35">
      <c r="A850" s="3" t="s">
        <v>1714</v>
      </c>
      <c r="B850" s="3" t="s">
        <v>1715</v>
      </c>
      <c r="C850" s="3" t="s">
        <v>60</v>
      </c>
      <c r="D850" s="7" t="str">
        <f>HYPERLINK("https://data.bls.gov/projections/nationalMatrix?queryParams=49-2090&amp;ioType=o", "Projections for 49-2090")</f>
        <v>Projections for 49-2090</v>
      </c>
    </row>
    <row r="851" spans="1:4" x14ac:dyDescent="0.35">
      <c r="A851" s="3" t="s">
        <v>1716</v>
      </c>
      <c r="B851" s="3" t="s">
        <v>1717</v>
      </c>
      <c r="C851" s="3" t="s">
        <v>65</v>
      </c>
      <c r="D851" s="7" t="str">
        <f>HYPERLINK("https://data.bls.gov/projections/nationalMatrix?queryParams=49-2091&amp;ioType=o", "Projections for 49-2091")</f>
        <v>Projections for 49-2091</v>
      </c>
    </row>
    <row r="852" spans="1:4" x14ac:dyDescent="0.35">
      <c r="A852" s="3" t="s">
        <v>1718</v>
      </c>
      <c r="B852" s="3" t="s">
        <v>1719</v>
      </c>
      <c r="C852" s="3" t="s">
        <v>65</v>
      </c>
      <c r="D852" s="7" t="str">
        <f>HYPERLINK("https://data.bls.gov/projections/nationalMatrix?queryParams=49-2092&amp;ioType=o", "Projections for 49-2092")</f>
        <v>Projections for 49-2092</v>
      </c>
    </row>
    <row r="853" spans="1:4" x14ac:dyDescent="0.35">
      <c r="A853" s="3" t="s">
        <v>1720</v>
      </c>
      <c r="B853" s="3" t="s">
        <v>1721</v>
      </c>
      <c r="C853" s="3" t="s">
        <v>65</v>
      </c>
      <c r="D853" s="7" t="str">
        <f>HYPERLINK("https://data.bls.gov/projections/nationalMatrix?queryParams=49-2093&amp;ioType=o", "Projections for 49-2093")</f>
        <v>Projections for 49-2093</v>
      </c>
    </row>
    <row r="854" spans="1:4" x14ac:dyDescent="0.35">
      <c r="A854" s="3" t="s">
        <v>1722</v>
      </c>
      <c r="B854" s="3" t="s">
        <v>1723</v>
      </c>
      <c r="C854" s="3" t="s">
        <v>65</v>
      </c>
      <c r="D854" s="7" t="str">
        <f>HYPERLINK("https://data.bls.gov/projections/nationalMatrix?queryParams=49-2094&amp;ioType=o", "Projections for 49-2094")</f>
        <v>Projections for 49-2094</v>
      </c>
    </row>
    <row r="855" spans="1:4" x14ac:dyDescent="0.35">
      <c r="A855" s="3" t="s">
        <v>1724</v>
      </c>
      <c r="B855" s="3" t="s">
        <v>1725</v>
      </c>
      <c r="C855" s="3" t="s">
        <v>65</v>
      </c>
      <c r="D855" s="7" t="str">
        <f>HYPERLINK("https://data.bls.gov/projections/nationalMatrix?queryParams=49-2095&amp;ioType=o", "Projections for 49-2095")</f>
        <v>Projections for 49-2095</v>
      </c>
    </row>
    <row r="856" spans="1:4" x14ac:dyDescent="0.35">
      <c r="A856" s="3" t="s">
        <v>1726</v>
      </c>
      <c r="B856" s="3" t="s">
        <v>1727</v>
      </c>
      <c r="C856" s="3" t="s">
        <v>65</v>
      </c>
      <c r="D856" s="7" t="str">
        <f>HYPERLINK("https://data.bls.gov/projections/nationalMatrix?queryParams=49-2096&amp;ioType=o", "Projections for 49-2096")</f>
        <v>Projections for 49-2096</v>
      </c>
    </row>
    <row r="857" spans="1:4" x14ac:dyDescent="0.35">
      <c r="A857" s="3" t="s">
        <v>1728</v>
      </c>
      <c r="B857" s="3" t="s">
        <v>1729</v>
      </c>
      <c r="C857" s="3" t="s">
        <v>65</v>
      </c>
      <c r="D857" s="7" t="str">
        <f>HYPERLINK("https://data.bls.gov/projections/nationalMatrix?queryParams=49-2097&amp;ioType=o", "Projections for 49-2097")</f>
        <v>Projections for 49-2097</v>
      </c>
    </row>
    <row r="858" spans="1:4" x14ac:dyDescent="0.35">
      <c r="A858" s="3" t="s">
        <v>1730</v>
      </c>
      <c r="B858" s="3" t="s">
        <v>1731</v>
      </c>
      <c r="C858" s="3" t="s">
        <v>65</v>
      </c>
      <c r="D858" s="7" t="str">
        <f>HYPERLINK("https://data.bls.gov/projections/nationalMatrix?queryParams=49-2098&amp;ioType=o", "Projections for 49-2098")</f>
        <v>Projections for 49-2098</v>
      </c>
    </row>
    <row r="859" spans="1:4" x14ac:dyDescent="0.35">
      <c r="A859" s="3" t="s">
        <v>1732</v>
      </c>
      <c r="B859" s="3" t="s">
        <v>1733</v>
      </c>
      <c r="C859" s="3" t="s">
        <v>60</v>
      </c>
      <c r="D859" s="7" t="str">
        <f>HYPERLINK("https://data.bls.gov/projections/nationalMatrix?queryParams=49-3000&amp;ioType=o", "Projections for 49-3000")</f>
        <v>Projections for 49-3000</v>
      </c>
    </row>
    <row r="860" spans="1:4" x14ac:dyDescent="0.35">
      <c r="A860" s="3" t="s">
        <v>1734</v>
      </c>
      <c r="B860" s="3" t="s">
        <v>1735</v>
      </c>
      <c r="C860" s="3" t="s">
        <v>65</v>
      </c>
      <c r="D860" s="7" t="str">
        <f>HYPERLINK("https://data.bls.gov/projections/nationalMatrix?queryParams=49-3011&amp;ioType=o", "Projections for 49-3011")</f>
        <v>Projections for 49-3011</v>
      </c>
    </row>
    <row r="861" spans="1:4" x14ac:dyDescent="0.35">
      <c r="A861" s="3" t="s">
        <v>1736</v>
      </c>
      <c r="B861" s="3" t="s">
        <v>1737</v>
      </c>
      <c r="C861" s="3" t="s">
        <v>60</v>
      </c>
      <c r="D861" s="7" t="str">
        <f>HYPERLINK("https://data.bls.gov/projections/nationalMatrix?queryParams=49-3020&amp;ioType=o", "Projections for 49-3020")</f>
        <v>Projections for 49-3020</v>
      </c>
    </row>
    <row r="862" spans="1:4" x14ac:dyDescent="0.35">
      <c r="A862" s="3" t="s">
        <v>1738</v>
      </c>
      <c r="B862" s="3" t="s">
        <v>1739</v>
      </c>
      <c r="C862" s="3" t="s">
        <v>65</v>
      </c>
      <c r="D862" s="7" t="str">
        <f>HYPERLINK("https://data.bls.gov/projections/nationalMatrix?queryParams=49-3021&amp;ioType=o", "Projections for 49-3021")</f>
        <v>Projections for 49-3021</v>
      </c>
    </row>
    <row r="863" spans="1:4" x14ac:dyDescent="0.35">
      <c r="A863" s="3" t="s">
        <v>1740</v>
      </c>
      <c r="B863" s="3" t="s">
        <v>1741</v>
      </c>
      <c r="C863" s="3" t="s">
        <v>65</v>
      </c>
      <c r="D863" s="7" t="str">
        <f>HYPERLINK("https://data.bls.gov/projections/nationalMatrix?queryParams=49-3022&amp;ioType=o", "Projections for 49-3022")</f>
        <v>Projections for 49-3022</v>
      </c>
    </row>
    <row r="864" spans="1:4" x14ac:dyDescent="0.35">
      <c r="A864" s="3" t="s">
        <v>1742</v>
      </c>
      <c r="B864" s="3" t="s">
        <v>1743</v>
      </c>
      <c r="C864" s="3" t="s">
        <v>65</v>
      </c>
      <c r="D864" s="7" t="str">
        <f>HYPERLINK("https://data.bls.gov/projections/nationalMatrix?queryParams=49-3023&amp;ioType=o", "Projections for 49-3023")</f>
        <v>Projections for 49-3023</v>
      </c>
    </row>
    <row r="865" spans="1:4" x14ac:dyDescent="0.35">
      <c r="A865" s="3" t="s">
        <v>1744</v>
      </c>
      <c r="B865" s="3" t="s">
        <v>1745</v>
      </c>
      <c r="C865" s="3" t="s">
        <v>65</v>
      </c>
      <c r="D865" s="7" t="str">
        <f>HYPERLINK("https://data.bls.gov/projections/nationalMatrix?queryParams=49-3031&amp;ioType=o", "Projections for 49-3031")</f>
        <v>Projections for 49-3031</v>
      </c>
    </row>
    <row r="866" spans="1:4" x14ac:dyDescent="0.35">
      <c r="A866" s="3" t="s">
        <v>1746</v>
      </c>
      <c r="B866" s="3" t="s">
        <v>1747</v>
      </c>
      <c r="C866" s="3" t="s">
        <v>60</v>
      </c>
      <c r="D866" s="7" t="str">
        <f>HYPERLINK("https://data.bls.gov/projections/nationalMatrix?queryParams=49-3040&amp;ioType=o", "Projections for 49-3040")</f>
        <v>Projections for 49-3040</v>
      </c>
    </row>
    <row r="867" spans="1:4" x14ac:dyDescent="0.35">
      <c r="A867" s="3" t="s">
        <v>1748</v>
      </c>
      <c r="B867" s="3" t="s">
        <v>1749</v>
      </c>
      <c r="C867" s="3" t="s">
        <v>65</v>
      </c>
      <c r="D867" s="7" t="str">
        <f>HYPERLINK("https://data.bls.gov/projections/nationalMatrix?queryParams=49-3041&amp;ioType=o", "Projections for 49-3041")</f>
        <v>Projections for 49-3041</v>
      </c>
    </row>
    <row r="868" spans="1:4" x14ac:dyDescent="0.35">
      <c r="A868" s="3" t="s">
        <v>1750</v>
      </c>
      <c r="B868" s="3" t="s">
        <v>1751</v>
      </c>
      <c r="C868" s="3" t="s">
        <v>65</v>
      </c>
      <c r="D868" s="7" t="str">
        <f>HYPERLINK("https://data.bls.gov/projections/nationalMatrix?queryParams=49-3042&amp;ioType=o", "Projections for 49-3042")</f>
        <v>Projections for 49-3042</v>
      </c>
    </row>
    <row r="869" spans="1:4" x14ac:dyDescent="0.35">
      <c r="A869" s="3" t="s">
        <v>1752</v>
      </c>
      <c r="B869" s="3" t="s">
        <v>1753</v>
      </c>
      <c r="C869" s="3" t="s">
        <v>65</v>
      </c>
      <c r="D869" s="7" t="str">
        <f>HYPERLINK("https://data.bls.gov/projections/nationalMatrix?queryParams=49-3043&amp;ioType=o", "Projections for 49-3043")</f>
        <v>Projections for 49-3043</v>
      </c>
    </row>
    <row r="870" spans="1:4" x14ac:dyDescent="0.35">
      <c r="A870" s="3" t="s">
        <v>1754</v>
      </c>
      <c r="B870" s="3" t="s">
        <v>1755</v>
      </c>
      <c r="C870" s="3" t="s">
        <v>60</v>
      </c>
      <c r="D870" s="7" t="str">
        <f>HYPERLINK("https://data.bls.gov/projections/nationalMatrix?queryParams=49-3050&amp;ioType=o", "Projections for 49-3050")</f>
        <v>Projections for 49-3050</v>
      </c>
    </row>
    <row r="871" spans="1:4" x14ac:dyDescent="0.35">
      <c r="A871" s="3" t="s">
        <v>1756</v>
      </c>
      <c r="B871" s="3" t="s">
        <v>1757</v>
      </c>
      <c r="C871" s="3" t="s">
        <v>65</v>
      </c>
      <c r="D871" s="7" t="str">
        <f>HYPERLINK("https://data.bls.gov/projections/nationalMatrix?queryParams=49-3051&amp;ioType=o", "Projections for 49-3051")</f>
        <v>Projections for 49-3051</v>
      </c>
    </row>
    <row r="872" spans="1:4" x14ac:dyDescent="0.35">
      <c r="A872" s="3" t="s">
        <v>1758</v>
      </c>
      <c r="B872" s="3" t="s">
        <v>1759</v>
      </c>
      <c r="C872" s="3" t="s">
        <v>65</v>
      </c>
      <c r="D872" s="7" t="str">
        <f>HYPERLINK("https://data.bls.gov/projections/nationalMatrix?queryParams=49-3052&amp;ioType=o", "Projections for 49-3052")</f>
        <v>Projections for 49-3052</v>
      </c>
    </row>
    <row r="873" spans="1:4" x14ac:dyDescent="0.35">
      <c r="A873" s="3" t="s">
        <v>1760</v>
      </c>
      <c r="B873" s="3" t="s">
        <v>1761</v>
      </c>
      <c r="C873" s="3" t="s">
        <v>65</v>
      </c>
      <c r="D873" s="7" t="str">
        <f>HYPERLINK("https://data.bls.gov/projections/nationalMatrix?queryParams=49-3053&amp;ioType=o", "Projections for 49-3053")</f>
        <v>Projections for 49-3053</v>
      </c>
    </row>
    <row r="874" spans="1:4" x14ac:dyDescent="0.35">
      <c r="A874" s="3" t="s">
        <v>1762</v>
      </c>
      <c r="B874" s="3" t="s">
        <v>1763</v>
      </c>
      <c r="C874" s="3" t="s">
        <v>60</v>
      </c>
      <c r="D874" s="7" t="str">
        <f>HYPERLINK("https://data.bls.gov/projections/nationalMatrix?queryParams=49-3090&amp;ioType=o", "Projections for 49-3090")</f>
        <v>Projections for 49-3090</v>
      </c>
    </row>
    <row r="875" spans="1:4" x14ac:dyDescent="0.35">
      <c r="A875" s="3" t="s">
        <v>1764</v>
      </c>
      <c r="B875" s="3" t="s">
        <v>1765</v>
      </c>
      <c r="C875" s="3" t="s">
        <v>65</v>
      </c>
      <c r="D875" s="7" t="str">
        <f>HYPERLINK("https://data.bls.gov/projections/nationalMatrix?queryParams=49-3091&amp;ioType=o", "Projections for 49-3091")</f>
        <v>Projections for 49-3091</v>
      </c>
    </row>
    <row r="876" spans="1:4" x14ac:dyDescent="0.35">
      <c r="A876" s="3" t="s">
        <v>1766</v>
      </c>
      <c r="B876" s="3" t="s">
        <v>1767</v>
      </c>
      <c r="C876" s="3" t="s">
        <v>65</v>
      </c>
      <c r="D876" s="7" t="str">
        <f>HYPERLINK("https://data.bls.gov/projections/nationalMatrix?queryParams=49-3092&amp;ioType=o", "Projections for 49-3092")</f>
        <v>Projections for 49-3092</v>
      </c>
    </row>
    <row r="877" spans="1:4" x14ac:dyDescent="0.35">
      <c r="A877" s="3" t="s">
        <v>1768</v>
      </c>
      <c r="B877" s="3" t="s">
        <v>1769</v>
      </c>
      <c r="C877" s="3" t="s">
        <v>65</v>
      </c>
      <c r="D877" s="7" t="str">
        <f>HYPERLINK("https://data.bls.gov/projections/nationalMatrix?queryParams=49-3093&amp;ioType=o", "Projections for 49-3093")</f>
        <v>Projections for 49-3093</v>
      </c>
    </row>
    <row r="878" spans="1:4" x14ac:dyDescent="0.35">
      <c r="A878" s="3" t="s">
        <v>1770</v>
      </c>
      <c r="B878" s="3" t="s">
        <v>1771</v>
      </c>
      <c r="C878" s="3" t="s">
        <v>60</v>
      </c>
      <c r="D878" s="7" t="str">
        <f>HYPERLINK("https://data.bls.gov/projections/nationalMatrix?queryParams=49-9000&amp;ioType=o", "Projections for 49-9000")</f>
        <v>Projections for 49-9000</v>
      </c>
    </row>
    <row r="879" spans="1:4" x14ac:dyDescent="0.35">
      <c r="A879" s="3" t="s">
        <v>1772</v>
      </c>
      <c r="B879" s="3" t="s">
        <v>1773</v>
      </c>
      <c r="C879" s="3" t="s">
        <v>60</v>
      </c>
      <c r="D879" s="7" t="str">
        <f>HYPERLINK("https://data.bls.gov/projections/nationalMatrix?queryParams=49-9010&amp;ioType=o", "Projections for 49-9010")</f>
        <v>Projections for 49-9010</v>
      </c>
    </row>
    <row r="880" spans="1:4" x14ac:dyDescent="0.35">
      <c r="A880" s="3" t="s">
        <v>1774</v>
      </c>
      <c r="B880" s="3" t="s">
        <v>1775</v>
      </c>
      <c r="C880" s="3" t="s">
        <v>65</v>
      </c>
      <c r="D880" s="7" t="str">
        <f>HYPERLINK("https://data.bls.gov/projections/nationalMatrix?queryParams=49-9011&amp;ioType=o", "Projections for 49-9011")</f>
        <v>Projections for 49-9011</v>
      </c>
    </row>
    <row r="881" spans="1:4" x14ac:dyDescent="0.35">
      <c r="A881" s="3" t="s">
        <v>1776</v>
      </c>
      <c r="B881" s="3" t="s">
        <v>1777</v>
      </c>
      <c r="C881" s="3" t="s">
        <v>65</v>
      </c>
      <c r="D881" s="7" t="str">
        <f>HYPERLINK("https://data.bls.gov/projections/nationalMatrix?queryParams=49-9012&amp;ioType=o", "Projections for 49-9012")</f>
        <v>Projections for 49-9012</v>
      </c>
    </row>
    <row r="882" spans="1:4" x14ac:dyDescent="0.35">
      <c r="A882" s="3" t="s">
        <v>1778</v>
      </c>
      <c r="B882" s="3" t="s">
        <v>1779</v>
      </c>
      <c r="C882" s="3" t="s">
        <v>65</v>
      </c>
      <c r="D882" s="7" t="str">
        <f>HYPERLINK("https://data.bls.gov/projections/nationalMatrix?queryParams=49-9021&amp;ioType=o", "Projections for 49-9021")</f>
        <v>Projections for 49-9021</v>
      </c>
    </row>
    <row r="883" spans="1:4" x14ac:dyDescent="0.35">
      <c r="A883" s="3" t="s">
        <v>1780</v>
      </c>
      <c r="B883" s="3" t="s">
        <v>1781</v>
      </c>
      <c r="C883" s="3" t="s">
        <v>65</v>
      </c>
      <c r="D883" s="7" t="str">
        <f>HYPERLINK("https://data.bls.gov/projections/nationalMatrix?queryParams=49-9031&amp;ioType=o", "Projections for 49-9031")</f>
        <v>Projections for 49-9031</v>
      </c>
    </row>
    <row r="884" spans="1:4" x14ac:dyDescent="0.35">
      <c r="A884" s="3" t="s">
        <v>1782</v>
      </c>
      <c r="B884" s="3" t="s">
        <v>1783</v>
      </c>
      <c r="C884" s="3" t="s">
        <v>60</v>
      </c>
      <c r="D884" s="7" t="str">
        <f>HYPERLINK("https://data.bls.gov/projections/nationalMatrix?queryParams=49-9040&amp;ioType=o", "Projections for 49-9040")</f>
        <v>Projections for 49-9040</v>
      </c>
    </row>
    <row r="885" spans="1:4" x14ac:dyDescent="0.35">
      <c r="A885" s="3" t="s">
        <v>1784</v>
      </c>
      <c r="B885" s="3" t="s">
        <v>1785</v>
      </c>
      <c r="C885" s="3" t="s">
        <v>65</v>
      </c>
      <c r="D885" s="7" t="str">
        <f>HYPERLINK("https://data.bls.gov/projections/nationalMatrix?queryParams=49-9041&amp;ioType=o", "Projections for 49-9041")</f>
        <v>Projections for 49-9041</v>
      </c>
    </row>
    <row r="886" spans="1:4" x14ac:dyDescent="0.35">
      <c r="A886" s="3" t="s">
        <v>1786</v>
      </c>
      <c r="B886" s="3" t="s">
        <v>1787</v>
      </c>
      <c r="C886" s="3" t="s">
        <v>65</v>
      </c>
      <c r="D886" s="7" t="str">
        <f>HYPERLINK("https://data.bls.gov/projections/nationalMatrix?queryParams=49-9043&amp;ioType=o", "Projections for 49-9043")</f>
        <v>Projections for 49-9043</v>
      </c>
    </row>
    <row r="887" spans="1:4" x14ac:dyDescent="0.35">
      <c r="A887" s="3" t="s">
        <v>1788</v>
      </c>
      <c r="B887" s="3" t="s">
        <v>1789</v>
      </c>
      <c r="C887" s="3" t="s">
        <v>65</v>
      </c>
      <c r="D887" s="7" t="str">
        <f>HYPERLINK("https://data.bls.gov/projections/nationalMatrix?queryParams=49-9044&amp;ioType=o", "Projections for 49-9044")</f>
        <v>Projections for 49-9044</v>
      </c>
    </row>
    <row r="888" spans="1:4" x14ac:dyDescent="0.35">
      <c r="A888" s="3" t="s">
        <v>1790</v>
      </c>
      <c r="B888" s="3" t="s">
        <v>1791</v>
      </c>
      <c r="C888" s="3" t="s">
        <v>65</v>
      </c>
      <c r="D888" s="7" t="str">
        <f>HYPERLINK("https://data.bls.gov/projections/nationalMatrix?queryParams=49-9045&amp;ioType=o", "Projections for 49-9045")</f>
        <v>Projections for 49-9045</v>
      </c>
    </row>
    <row r="889" spans="1:4" x14ac:dyDescent="0.35">
      <c r="A889" s="3" t="s">
        <v>1792</v>
      </c>
      <c r="B889" s="3" t="s">
        <v>1793</v>
      </c>
      <c r="C889" s="3" t="s">
        <v>60</v>
      </c>
      <c r="D889" s="7" t="str">
        <f>HYPERLINK("https://data.bls.gov/projections/nationalMatrix?queryParams=49-9050&amp;ioType=o", "Projections for 49-9050")</f>
        <v>Projections for 49-9050</v>
      </c>
    </row>
    <row r="890" spans="1:4" x14ac:dyDescent="0.35">
      <c r="A890" s="3" t="s">
        <v>1794</v>
      </c>
      <c r="B890" s="3" t="s">
        <v>1795</v>
      </c>
      <c r="C890" s="3" t="s">
        <v>65</v>
      </c>
      <c r="D890" s="7" t="str">
        <f>HYPERLINK("https://data.bls.gov/projections/nationalMatrix?queryParams=49-9051&amp;ioType=o", "Projections for 49-9051")</f>
        <v>Projections for 49-9051</v>
      </c>
    </row>
    <row r="891" spans="1:4" x14ac:dyDescent="0.35">
      <c r="A891" s="3" t="s">
        <v>1796</v>
      </c>
      <c r="B891" s="3" t="s">
        <v>1797</v>
      </c>
      <c r="C891" s="3" t="s">
        <v>65</v>
      </c>
      <c r="D891" s="7" t="str">
        <f>HYPERLINK("https://data.bls.gov/projections/nationalMatrix?queryParams=49-9052&amp;ioType=o", "Projections for 49-9052")</f>
        <v>Projections for 49-9052</v>
      </c>
    </row>
    <row r="892" spans="1:4" x14ac:dyDescent="0.35">
      <c r="A892" s="3" t="s">
        <v>1798</v>
      </c>
      <c r="B892" s="3" t="s">
        <v>1799</v>
      </c>
      <c r="C892" s="3" t="s">
        <v>60</v>
      </c>
      <c r="D892" s="7" t="str">
        <f>HYPERLINK("https://data.bls.gov/projections/nationalMatrix?queryParams=49-9060&amp;ioType=o", "Projections for 49-9060")</f>
        <v>Projections for 49-9060</v>
      </c>
    </row>
    <row r="893" spans="1:4" x14ac:dyDescent="0.35">
      <c r="A893" s="3" t="s">
        <v>1800</v>
      </c>
      <c r="B893" s="3" t="s">
        <v>1801</v>
      </c>
      <c r="C893" s="3" t="s">
        <v>65</v>
      </c>
      <c r="D893" s="7" t="str">
        <f>HYPERLINK("https://data.bls.gov/projections/nationalMatrix?queryParams=49-9061&amp;ioType=o", "Projections for 49-9061")</f>
        <v>Projections for 49-9061</v>
      </c>
    </row>
    <row r="894" spans="1:4" x14ac:dyDescent="0.35">
      <c r="A894" s="3" t="s">
        <v>1802</v>
      </c>
      <c r="B894" s="3" t="s">
        <v>1803</v>
      </c>
      <c r="C894" s="3" t="s">
        <v>65</v>
      </c>
      <c r="D894" s="7" t="str">
        <f>HYPERLINK("https://data.bls.gov/projections/nationalMatrix?queryParams=49-9062&amp;ioType=o", "Projections for 49-9062")</f>
        <v>Projections for 49-9062</v>
      </c>
    </row>
    <row r="895" spans="1:4" x14ac:dyDescent="0.35">
      <c r="A895" s="3" t="s">
        <v>1804</v>
      </c>
      <c r="B895" s="3" t="s">
        <v>1805</v>
      </c>
      <c r="C895" s="3" t="s">
        <v>65</v>
      </c>
      <c r="D895" s="7" t="str">
        <f>HYPERLINK("https://data.bls.gov/projections/nationalMatrix?queryParams=49-9063&amp;ioType=o", "Projections for 49-9063")</f>
        <v>Projections for 49-9063</v>
      </c>
    </row>
    <row r="896" spans="1:4" x14ac:dyDescent="0.35">
      <c r="A896" s="3" t="s">
        <v>1806</v>
      </c>
      <c r="B896" s="3" t="s">
        <v>1807</v>
      </c>
      <c r="C896" s="3" t="s">
        <v>65</v>
      </c>
      <c r="D896" s="7" t="str">
        <f>HYPERLINK("https://data.bls.gov/projections/nationalMatrix?queryParams=49-9064&amp;ioType=o", "Projections for 49-9064")</f>
        <v>Projections for 49-9064</v>
      </c>
    </row>
    <row r="897" spans="1:4" x14ac:dyDescent="0.35">
      <c r="A897" s="3" t="s">
        <v>1808</v>
      </c>
      <c r="B897" s="3" t="s">
        <v>1809</v>
      </c>
      <c r="C897" s="3" t="s">
        <v>65</v>
      </c>
      <c r="D897" s="7" t="str">
        <f>HYPERLINK("https://data.bls.gov/projections/nationalMatrix?queryParams=49-9069&amp;ioType=o", "Projections for 49-9069")</f>
        <v>Projections for 49-9069</v>
      </c>
    </row>
    <row r="898" spans="1:4" x14ac:dyDescent="0.35">
      <c r="A898" s="3" t="s">
        <v>1810</v>
      </c>
      <c r="B898" s="3" t="s">
        <v>1811</v>
      </c>
      <c r="C898" s="3" t="s">
        <v>65</v>
      </c>
      <c r="D898" s="7" t="str">
        <f>HYPERLINK("https://data.bls.gov/projections/nationalMatrix?queryParams=49-9071&amp;ioType=o", "Projections for 49-9071")</f>
        <v>Projections for 49-9071</v>
      </c>
    </row>
    <row r="899" spans="1:4" x14ac:dyDescent="0.35">
      <c r="A899" s="3" t="s">
        <v>1812</v>
      </c>
      <c r="B899" s="3" t="s">
        <v>1813</v>
      </c>
      <c r="C899" s="3" t="s">
        <v>65</v>
      </c>
      <c r="D899" s="7" t="str">
        <f>HYPERLINK("https://data.bls.gov/projections/nationalMatrix?queryParams=49-9081&amp;ioType=o", "Projections for 49-9081")</f>
        <v>Projections for 49-9081</v>
      </c>
    </row>
    <row r="900" spans="1:4" x14ac:dyDescent="0.35">
      <c r="A900" s="3" t="s">
        <v>1814</v>
      </c>
      <c r="B900" s="3" t="s">
        <v>1815</v>
      </c>
      <c r="C900" s="3" t="s">
        <v>60</v>
      </c>
      <c r="D900" s="7" t="str">
        <f>HYPERLINK("https://data.bls.gov/projections/nationalMatrix?queryParams=49-9090&amp;ioType=o", "Projections for 49-9090")</f>
        <v>Projections for 49-9090</v>
      </c>
    </row>
    <row r="901" spans="1:4" x14ac:dyDescent="0.35">
      <c r="A901" s="3" t="s">
        <v>1816</v>
      </c>
      <c r="B901" s="3" t="s">
        <v>1817</v>
      </c>
      <c r="C901" s="3" t="s">
        <v>65</v>
      </c>
      <c r="D901" s="7" t="str">
        <f>HYPERLINK("https://data.bls.gov/projections/nationalMatrix?queryParams=49-9091&amp;ioType=o", "Projections for 49-9091")</f>
        <v>Projections for 49-9091</v>
      </c>
    </row>
    <row r="902" spans="1:4" x14ac:dyDescent="0.35">
      <c r="A902" s="3" t="s">
        <v>1818</v>
      </c>
      <c r="B902" s="3" t="s">
        <v>1819</v>
      </c>
      <c r="C902" s="3" t="s">
        <v>65</v>
      </c>
      <c r="D902" s="7" t="str">
        <f>HYPERLINK("https://data.bls.gov/projections/nationalMatrix?queryParams=49-9092&amp;ioType=o", "Projections for 49-9092")</f>
        <v>Projections for 49-9092</v>
      </c>
    </row>
    <row r="903" spans="1:4" x14ac:dyDescent="0.35">
      <c r="A903" s="3" t="s">
        <v>1820</v>
      </c>
      <c r="B903" s="3" t="s">
        <v>1821</v>
      </c>
      <c r="C903" s="3" t="s">
        <v>65</v>
      </c>
      <c r="D903" s="7" t="str">
        <f>HYPERLINK("https://data.bls.gov/projections/nationalMatrix?queryParams=49-9094&amp;ioType=o", "Projections for 49-9094")</f>
        <v>Projections for 49-9094</v>
      </c>
    </row>
    <row r="904" spans="1:4" x14ac:dyDescent="0.35">
      <c r="A904" s="3" t="s">
        <v>1822</v>
      </c>
      <c r="B904" s="3" t="s">
        <v>1823</v>
      </c>
      <c r="C904" s="3" t="s">
        <v>65</v>
      </c>
      <c r="D904" s="7" t="str">
        <f>HYPERLINK("https://data.bls.gov/projections/nationalMatrix?queryParams=49-9095&amp;ioType=o", "Projections for 49-9095")</f>
        <v>Projections for 49-9095</v>
      </c>
    </row>
    <row r="905" spans="1:4" x14ac:dyDescent="0.35">
      <c r="A905" s="3" t="s">
        <v>1824</v>
      </c>
      <c r="B905" s="3" t="s">
        <v>1825</v>
      </c>
      <c r="C905" s="3" t="s">
        <v>65</v>
      </c>
      <c r="D905" s="7" t="str">
        <f>HYPERLINK("https://data.bls.gov/projections/nationalMatrix?queryParams=49-9096&amp;ioType=o", "Projections for 49-9096")</f>
        <v>Projections for 49-9096</v>
      </c>
    </row>
    <row r="906" spans="1:4" x14ac:dyDescent="0.35">
      <c r="A906" s="3" t="s">
        <v>1826</v>
      </c>
      <c r="B906" s="3" t="s">
        <v>1827</v>
      </c>
      <c r="C906" s="3" t="s">
        <v>65</v>
      </c>
      <c r="D906" s="7" t="str">
        <f>HYPERLINK("https://data.bls.gov/projections/nationalMatrix?queryParams=49-9097&amp;ioType=o", "Projections for 49-9097")</f>
        <v>Projections for 49-9097</v>
      </c>
    </row>
    <row r="907" spans="1:4" x14ac:dyDescent="0.35">
      <c r="A907" s="3" t="s">
        <v>1828</v>
      </c>
      <c r="B907" s="3" t="s">
        <v>1829</v>
      </c>
      <c r="C907" s="3" t="s">
        <v>65</v>
      </c>
      <c r="D907" s="7" t="str">
        <f>HYPERLINK("https://data.bls.gov/projections/nationalMatrix?queryParams=49-9098&amp;ioType=o", "Projections for 49-9098")</f>
        <v>Projections for 49-9098</v>
      </c>
    </row>
    <row r="908" spans="1:4" x14ac:dyDescent="0.35">
      <c r="A908" s="3" t="s">
        <v>1830</v>
      </c>
      <c r="B908" s="3" t="s">
        <v>1831</v>
      </c>
      <c r="C908" s="3" t="s">
        <v>65</v>
      </c>
      <c r="D908" s="7" t="str">
        <f>HYPERLINK("https://data.bls.gov/projections/nationalMatrix?queryParams=49-9099&amp;ioType=o", "Projections for 49-9099")</f>
        <v>Projections for 49-9099</v>
      </c>
    </row>
    <row r="909" spans="1:4" x14ac:dyDescent="0.35">
      <c r="A909" s="3" t="s">
        <v>48</v>
      </c>
      <c r="B909" s="3" t="s">
        <v>49</v>
      </c>
      <c r="C909" s="3" t="s">
        <v>60</v>
      </c>
      <c r="D909" s="7" t="str">
        <f>HYPERLINK("https://data.bls.gov/projections/nationalMatrix?queryParams=51-0000&amp;ioType=o", "Projections for 51-0000")</f>
        <v>Projections for 51-0000</v>
      </c>
    </row>
    <row r="910" spans="1:4" x14ac:dyDescent="0.35">
      <c r="A910" s="3" t="s">
        <v>1832</v>
      </c>
      <c r="B910" s="3" t="s">
        <v>1833</v>
      </c>
      <c r="C910" s="3" t="s">
        <v>60</v>
      </c>
      <c r="D910" s="7" t="str">
        <f>HYPERLINK("https://data.bls.gov/projections/nationalMatrix?queryParams=51-1000&amp;ioType=o", "Projections for 51-1000")</f>
        <v>Projections for 51-1000</v>
      </c>
    </row>
    <row r="911" spans="1:4" x14ac:dyDescent="0.35">
      <c r="A911" s="3" t="s">
        <v>1834</v>
      </c>
      <c r="B911" s="3" t="s">
        <v>1835</v>
      </c>
      <c r="C911" s="3" t="s">
        <v>65</v>
      </c>
      <c r="D911" s="7" t="str">
        <f>HYPERLINK("https://data.bls.gov/projections/nationalMatrix?queryParams=51-1011&amp;ioType=o", "Projections for 51-1011")</f>
        <v>Projections for 51-1011</v>
      </c>
    </row>
    <row r="912" spans="1:4" x14ac:dyDescent="0.35">
      <c r="A912" s="3" t="s">
        <v>1836</v>
      </c>
      <c r="B912" s="3" t="s">
        <v>1837</v>
      </c>
      <c r="C912" s="3" t="s">
        <v>60</v>
      </c>
      <c r="D912" s="7" t="str">
        <f>HYPERLINK("https://data.bls.gov/projections/nationalMatrix?queryParams=51-2000&amp;ioType=o", "Projections for 51-2000")</f>
        <v>Projections for 51-2000</v>
      </c>
    </row>
    <row r="913" spans="1:4" x14ac:dyDescent="0.35">
      <c r="A913" s="3" t="s">
        <v>1838</v>
      </c>
      <c r="B913" s="3" t="s">
        <v>1839</v>
      </c>
      <c r="C913" s="3" t="s">
        <v>65</v>
      </c>
      <c r="D913" s="7" t="str">
        <f>HYPERLINK("https://data.bls.gov/projections/nationalMatrix?queryParams=51-2011&amp;ioType=o", "Projections for 51-2011")</f>
        <v>Projections for 51-2011</v>
      </c>
    </row>
    <row r="914" spans="1:4" x14ac:dyDescent="0.35">
      <c r="A914" s="3" t="s">
        <v>1840</v>
      </c>
      <c r="B914" s="3" t="s">
        <v>1841</v>
      </c>
      <c r="C914" s="3" t="s">
        <v>60</v>
      </c>
      <c r="D914" s="7" t="str">
        <f>HYPERLINK("https://data.bls.gov/projections/nationalMatrix?queryParams=51-2020&amp;ioType=o", "Projections for 51-2020")</f>
        <v>Projections for 51-2020</v>
      </c>
    </row>
    <row r="915" spans="1:4" x14ac:dyDescent="0.35">
      <c r="A915" s="3" t="s">
        <v>1842</v>
      </c>
      <c r="B915" s="3" t="s">
        <v>1843</v>
      </c>
      <c r="C915" s="3" t="s">
        <v>65</v>
      </c>
      <c r="D915" s="7" t="str">
        <f>HYPERLINK("https://data.bls.gov/projections/nationalMatrix?queryParams=51-2021&amp;ioType=o", "Projections for 51-2021")</f>
        <v>Projections for 51-2021</v>
      </c>
    </row>
    <row r="916" spans="1:4" x14ac:dyDescent="0.35">
      <c r="A916" s="3" t="s">
        <v>1844</v>
      </c>
      <c r="B916" s="3" t="s">
        <v>1845</v>
      </c>
      <c r="C916" s="3" t="s">
        <v>65</v>
      </c>
      <c r="D916" s="7" t="str">
        <f>HYPERLINK("https://data.bls.gov/projections/nationalMatrix?queryParams=51-2028&amp;ioType=o", "Projections for 51-2028")</f>
        <v>Projections for 51-2028</v>
      </c>
    </row>
    <row r="917" spans="1:4" x14ac:dyDescent="0.35">
      <c r="A917" s="3" t="s">
        <v>1846</v>
      </c>
      <c r="B917" s="3" t="s">
        <v>1847</v>
      </c>
      <c r="C917" s="3" t="s">
        <v>65</v>
      </c>
      <c r="D917" s="7" t="str">
        <f>HYPERLINK("https://data.bls.gov/projections/nationalMatrix?queryParams=51-2031&amp;ioType=o", "Projections for 51-2031")</f>
        <v>Projections for 51-2031</v>
      </c>
    </row>
    <row r="918" spans="1:4" x14ac:dyDescent="0.35">
      <c r="A918" s="3" t="s">
        <v>1848</v>
      </c>
      <c r="B918" s="3" t="s">
        <v>1849</v>
      </c>
      <c r="C918" s="3" t="s">
        <v>65</v>
      </c>
      <c r="D918" s="7" t="str">
        <f>HYPERLINK("https://data.bls.gov/projections/nationalMatrix?queryParams=51-2041&amp;ioType=o", "Projections for 51-2041")</f>
        <v>Projections for 51-2041</v>
      </c>
    </row>
    <row r="919" spans="1:4" x14ac:dyDescent="0.35">
      <c r="A919" s="3" t="s">
        <v>1850</v>
      </c>
      <c r="B919" s="3" t="s">
        <v>1851</v>
      </c>
      <c r="C919" s="3" t="s">
        <v>65</v>
      </c>
      <c r="D919" s="7" t="str">
        <f>HYPERLINK("https://data.bls.gov/projections/nationalMatrix?queryParams=51-2051&amp;ioType=o", "Projections for 51-2051")</f>
        <v>Projections for 51-2051</v>
      </c>
    </row>
    <row r="920" spans="1:4" x14ac:dyDescent="0.35">
      <c r="A920" s="3" t="s">
        <v>1852</v>
      </c>
      <c r="B920" s="3" t="s">
        <v>1853</v>
      </c>
      <c r="C920" s="3" t="s">
        <v>65</v>
      </c>
      <c r="D920" s="7" t="str">
        <f>HYPERLINK("https://data.bls.gov/projections/nationalMatrix?queryParams=51-2061&amp;ioType=o", "Projections for 51-2061")</f>
        <v>Projections for 51-2061</v>
      </c>
    </row>
    <row r="921" spans="1:4" x14ac:dyDescent="0.35">
      <c r="A921" s="3" t="s">
        <v>1854</v>
      </c>
      <c r="B921" s="3" t="s">
        <v>1855</v>
      </c>
      <c r="C921" s="3" t="s">
        <v>65</v>
      </c>
      <c r="D921" s="7" t="str">
        <f>HYPERLINK("https://data.bls.gov/projections/nationalMatrix?queryParams=51-2090&amp;ioType=o", "Projections for 51-2090")</f>
        <v>Projections for 51-2090</v>
      </c>
    </row>
    <row r="922" spans="1:4" x14ac:dyDescent="0.35">
      <c r="A922" s="3" t="s">
        <v>1856</v>
      </c>
      <c r="B922" s="3" t="s">
        <v>1857</v>
      </c>
      <c r="C922" s="3" t="s">
        <v>60</v>
      </c>
      <c r="D922" s="7" t="str">
        <f>HYPERLINK("https://data.bls.gov/projections/nationalMatrix?queryParams=51-3000&amp;ioType=o", "Projections for 51-3000")</f>
        <v>Projections for 51-3000</v>
      </c>
    </row>
    <row r="923" spans="1:4" x14ac:dyDescent="0.35">
      <c r="A923" s="3" t="s">
        <v>1858</v>
      </c>
      <c r="B923" s="3" t="s">
        <v>1859</v>
      </c>
      <c r="C923" s="3" t="s">
        <v>65</v>
      </c>
      <c r="D923" s="7" t="str">
        <f>HYPERLINK("https://data.bls.gov/projections/nationalMatrix?queryParams=51-3011&amp;ioType=o", "Projections for 51-3011")</f>
        <v>Projections for 51-3011</v>
      </c>
    </row>
    <row r="924" spans="1:4" x14ac:dyDescent="0.35">
      <c r="A924" s="3" t="s">
        <v>1860</v>
      </c>
      <c r="B924" s="3" t="s">
        <v>1861</v>
      </c>
      <c r="C924" s="3" t="s">
        <v>60</v>
      </c>
      <c r="D924" s="7" t="str">
        <f>HYPERLINK("https://data.bls.gov/projections/nationalMatrix?queryParams=51-3020&amp;ioType=o", "Projections for 51-3020")</f>
        <v>Projections for 51-3020</v>
      </c>
    </row>
    <row r="925" spans="1:4" x14ac:dyDescent="0.35">
      <c r="A925" s="3" t="s">
        <v>1862</v>
      </c>
      <c r="B925" s="3" t="s">
        <v>1863</v>
      </c>
      <c r="C925" s="3" t="s">
        <v>65</v>
      </c>
      <c r="D925" s="7" t="str">
        <f>HYPERLINK("https://data.bls.gov/projections/nationalMatrix?queryParams=51-3021&amp;ioType=o", "Projections for 51-3021")</f>
        <v>Projections for 51-3021</v>
      </c>
    </row>
    <row r="926" spans="1:4" x14ac:dyDescent="0.35">
      <c r="A926" s="3" t="s">
        <v>1864</v>
      </c>
      <c r="B926" s="3" t="s">
        <v>1865</v>
      </c>
      <c r="C926" s="3" t="s">
        <v>65</v>
      </c>
      <c r="D926" s="7" t="str">
        <f>HYPERLINK("https://data.bls.gov/projections/nationalMatrix?queryParams=51-3022&amp;ioType=o", "Projections for 51-3022")</f>
        <v>Projections for 51-3022</v>
      </c>
    </row>
    <row r="927" spans="1:4" x14ac:dyDescent="0.35">
      <c r="A927" s="3" t="s">
        <v>1866</v>
      </c>
      <c r="B927" s="3" t="s">
        <v>1867</v>
      </c>
      <c r="C927" s="3" t="s">
        <v>65</v>
      </c>
      <c r="D927" s="7" t="str">
        <f>HYPERLINK("https://data.bls.gov/projections/nationalMatrix?queryParams=51-3023&amp;ioType=o", "Projections for 51-3023")</f>
        <v>Projections for 51-3023</v>
      </c>
    </row>
    <row r="928" spans="1:4" x14ac:dyDescent="0.35">
      <c r="A928" s="3" t="s">
        <v>1868</v>
      </c>
      <c r="B928" s="3" t="s">
        <v>1869</v>
      </c>
      <c r="C928" s="3" t="s">
        <v>60</v>
      </c>
      <c r="D928" s="7" t="str">
        <f>HYPERLINK("https://data.bls.gov/projections/nationalMatrix?queryParams=51-3090&amp;ioType=o", "Projections for 51-3090")</f>
        <v>Projections for 51-3090</v>
      </c>
    </row>
    <row r="929" spans="1:4" x14ac:dyDescent="0.35">
      <c r="A929" s="3" t="s">
        <v>1870</v>
      </c>
      <c r="B929" s="3" t="s">
        <v>1871</v>
      </c>
      <c r="C929" s="3" t="s">
        <v>65</v>
      </c>
      <c r="D929" s="7" t="str">
        <f>HYPERLINK("https://data.bls.gov/projections/nationalMatrix?queryParams=51-3091&amp;ioType=o", "Projections for 51-3091")</f>
        <v>Projections for 51-3091</v>
      </c>
    </row>
    <row r="930" spans="1:4" x14ac:dyDescent="0.35">
      <c r="A930" s="3" t="s">
        <v>1872</v>
      </c>
      <c r="B930" s="3" t="s">
        <v>1873</v>
      </c>
      <c r="C930" s="3" t="s">
        <v>65</v>
      </c>
      <c r="D930" s="7" t="str">
        <f>HYPERLINK("https://data.bls.gov/projections/nationalMatrix?queryParams=51-3092&amp;ioType=o", "Projections for 51-3092")</f>
        <v>Projections for 51-3092</v>
      </c>
    </row>
    <row r="931" spans="1:4" x14ac:dyDescent="0.35">
      <c r="A931" s="3" t="s">
        <v>1874</v>
      </c>
      <c r="B931" s="3" t="s">
        <v>1875</v>
      </c>
      <c r="C931" s="3" t="s">
        <v>65</v>
      </c>
      <c r="D931" s="7" t="str">
        <f>HYPERLINK("https://data.bls.gov/projections/nationalMatrix?queryParams=51-3093&amp;ioType=o", "Projections for 51-3093")</f>
        <v>Projections for 51-3093</v>
      </c>
    </row>
    <row r="932" spans="1:4" x14ac:dyDescent="0.35">
      <c r="A932" s="3" t="s">
        <v>1876</v>
      </c>
      <c r="B932" s="3" t="s">
        <v>1877</v>
      </c>
      <c r="C932" s="3" t="s">
        <v>65</v>
      </c>
      <c r="D932" s="7" t="str">
        <f>HYPERLINK("https://data.bls.gov/projections/nationalMatrix?queryParams=51-3099&amp;ioType=o", "Projections for 51-3099")</f>
        <v>Projections for 51-3099</v>
      </c>
    </row>
    <row r="933" spans="1:4" x14ac:dyDescent="0.35">
      <c r="A933" s="3" t="s">
        <v>1878</v>
      </c>
      <c r="B933" s="3" t="s">
        <v>1879</v>
      </c>
      <c r="C933" s="3" t="s">
        <v>60</v>
      </c>
      <c r="D933" s="7" t="str">
        <f>HYPERLINK("https://data.bls.gov/projections/nationalMatrix?queryParams=51-4000&amp;ioType=o", "Projections for 51-4000")</f>
        <v>Projections for 51-4000</v>
      </c>
    </row>
    <row r="934" spans="1:4" x14ac:dyDescent="0.35">
      <c r="A934" s="3" t="s">
        <v>1880</v>
      </c>
      <c r="B934" s="3" t="s">
        <v>1881</v>
      </c>
      <c r="C934" s="3" t="s">
        <v>60</v>
      </c>
      <c r="D934" s="7" t="str">
        <f>HYPERLINK("https://data.bls.gov/projections/nationalMatrix?queryParams=51-4020&amp;ioType=o", "Projections for 51-4020")</f>
        <v>Projections for 51-4020</v>
      </c>
    </row>
    <row r="935" spans="1:4" x14ac:dyDescent="0.35">
      <c r="A935" s="3" t="s">
        <v>1882</v>
      </c>
      <c r="B935" s="3" t="s">
        <v>1883</v>
      </c>
      <c r="C935" s="3" t="s">
        <v>65</v>
      </c>
      <c r="D935" s="7" t="str">
        <f>HYPERLINK("https://data.bls.gov/projections/nationalMatrix?queryParams=51-4021&amp;ioType=o", "Projections for 51-4021")</f>
        <v>Projections for 51-4021</v>
      </c>
    </row>
    <row r="936" spans="1:4" x14ac:dyDescent="0.35">
      <c r="A936" s="3" t="s">
        <v>1884</v>
      </c>
      <c r="B936" s="3" t="s">
        <v>1885</v>
      </c>
      <c r="C936" s="3" t="s">
        <v>65</v>
      </c>
      <c r="D936" s="7" t="str">
        <f>HYPERLINK("https://data.bls.gov/projections/nationalMatrix?queryParams=51-4022&amp;ioType=o", "Projections for 51-4022")</f>
        <v>Projections for 51-4022</v>
      </c>
    </row>
    <row r="937" spans="1:4" x14ac:dyDescent="0.35">
      <c r="A937" s="3" t="s">
        <v>1886</v>
      </c>
      <c r="B937" s="3" t="s">
        <v>1887</v>
      </c>
      <c r="C937" s="3" t="s">
        <v>65</v>
      </c>
      <c r="D937" s="7" t="str">
        <f>HYPERLINK("https://data.bls.gov/projections/nationalMatrix?queryParams=51-4023&amp;ioType=o", "Projections for 51-4023")</f>
        <v>Projections for 51-4023</v>
      </c>
    </row>
    <row r="938" spans="1:4" x14ac:dyDescent="0.35">
      <c r="A938" s="3" t="s">
        <v>1888</v>
      </c>
      <c r="B938" s="3" t="s">
        <v>1889</v>
      </c>
      <c r="C938" s="3" t="s">
        <v>60</v>
      </c>
      <c r="D938" s="7" t="str">
        <f>HYPERLINK("https://data.bls.gov/projections/nationalMatrix?queryParams=51-4030&amp;ioType=o", "Projections for 51-4030")</f>
        <v>Projections for 51-4030</v>
      </c>
    </row>
    <row r="939" spans="1:4" x14ac:dyDescent="0.35">
      <c r="A939" s="3" t="s">
        <v>1890</v>
      </c>
      <c r="B939" s="3" t="s">
        <v>1891</v>
      </c>
      <c r="C939" s="3" t="s">
        <v>65</v>
      </c>
      <c r="D939" s="7" t="str">
        <f>HYPERLINK("https://data.bls.gov/projections/nationalMatrix?queryParams=51-4031&amp;ioType=o", "Projections for 51-4031")</f>
        <v>Projections for 51-4031</v>
      </c>
    </row>
    <row r="940" spans="1:4" x14ac:dyDescent="0.35">
      <c r="A940" s="3" t="s">
        <v>1892</v>
      </c>
      <c r="B940" s="3" t="s">
        <v>1893</v>
      </c>
      <c r="C940" s="3" t="s">
        <v>65</v>
      </c>
      <c r="D940" s="7" t="str">
        <f>HYPERLINK("https://data.bls.gov/projections/nationalMatrix?queryParams=51-4032&amp;ioType=o", "Projections for 51-4032")</f>
        <v>Projections for 51-4032</v>
      </c>
    </row>
    <row r="941" spans="1:4" x14ac:dyDescent="0.35">
      <c r="A941" s="3" t="s">
        <v>1894</v>
      </c>
      <c r="B941" s="3" t="s">
        <v>1895</v>
      </c>
      <c r="C941" s="3" t="s">
        <v>65</v>
      </c>
      <c r="D941" s="7" t="str">
        <f>HYPERLINK("https://data.bls.gov/projections/nationalMatrix?queryParams=51-4033&amp;ioType=o", "Projections for 51-4033")</f>
        <v>Projections for 51-4033</v>
      </c>
    </row>
    <row r="942" spans="1:4" x14ac:dyDescent="0.35">
      <c r="A942" s="3" t="s">
        <v>1896</v>
      </c>
      <c r="B942" s="3" t="s">
        <v>1897</v>
      </c>
      <c r="C942" s="3" t="s">
        <v>65</v>
      </c>
      <c r="D942" s="7" t="str">
        <f>HYPERLINK("https://data.bls.gov/projections/nationalMatrix?queryParams=51-4034&amp;ioType=o", "Projections for 51-4034")</f>
        <v>Projections for 51-4034</v>
      </c>
    </row>
    <row r="943" spans="1:4" x14ac:dyDescent="0.35">
      <c r="A943" s="3" t="s">
        <v>1898</v>
      </c>
      <c r="B943" s="3" t="s">
        <v>1899</v>
      </c>
      <c r="C943" s="3" t="s">
        <v>65</v>
      </c>
      <c r="D943" s="7" t="str">
        <f>HYPERLINK("https://data.bls.gov/projections/nationalMatrix?queryParams=51-4035&amp;ioType=o", "Projections for 51-4035")</f>
        <v>Projections for 51-4035</v>
      </c>
    </row>
    <row r="944" spans="1:4" x14ac:dyDescent="0.35">
      <c r="A944" s="3" t="s">
        <v>1900</v>
      </c>
      <c r="B944" s="3" t="s">
        <v>1901</v>
      </c>
      <c r="C944" s="3" t="s">
        <v>65</v>
      </c>
      <c r="D944" s="7" t="str">
        <f>HYPERLINK("https://data.bls.gov/projections/nationalMatrix?queryParams=51-4041&amp;ioType=o", "Projections for 51-4041")</f>
        <v>Projections for 51-4041</v>
      </c>
    </row>
    <row r="945" spans="1:4" x14ac:dyDescent="0.35">
      <c r="A945" s="3" t="s">
        <v>1902</v>
      </c>
      <c r="B945" s="3" t="s">
        <v>1903</v>
      </c>
      <c r="C945" s="3" t="s">
        <v>60</v>
      </c>
      <c r="D945" s="7" t="str">
        <f>HYPERLINK("https://data.bls.gov/projections/nationalMatrix?queryParams=51-4050&amp;ioType=o", "Projections for 51-4050")</f>
        <v>Projections for 51-4050</v>
      </c>
    </row>
    <row r="946" spans="1:4" x14ac:dyDescent="0.35">
      <c r="A946" s="3" t="s">
        <v>1904</v>
      </c>
      <c r="B946" s="3" t="s">
        <v>1905</v>
      </c>
      <c r="C946" s="3" t="s">
        <v>65</v>
      </c>
      <c r="D946" s="7" t="str">
        <f>HYPERLINK("https://data.bls.gov/projections/nationalMatrix?queryParams=51-4051&amp;ioType=o", "Projections for 51-4051")</f>
        <v>Projections for 51-4051</v>
      </c>
    </row>
    <row r="947" spans="1:4" x14ac:dyDescent="0.35">
      <c r="A947" s="3" t="s">
        <v>1906</v>
      </c>
      <c r="B947" s="3" t="s">
        <v>1907</v>
      </c>
      <c r="C947" s="3" t="s">
        <v>65</v>
      </c>
      <c r="D947" s="7" t="str">
        <f>HYPERLINK("https://data.bls.gov/projections/nationalMatrix?queryParams=51-4052&amp;ioType=o", "Projections for 51-4052")</f>
        <v>Projections for 51-4052</v>
      </c>
    </row>
    <row r="948" spans="1:4" x14ac:dyDescent="0.35">
      <c r="A948" s="3" t="s">
        <v>1908</v>
      </c>
      <c r="B948" s="3" t="s">
        <v>1909</v>
      </c>
      <c r="C948" s="3" t="s">
        <v>60</v>
      </c>
      <c r="D948" s="7" t="str">
        <f>HYPERLINK("https://data.bls.gov/projections/nationalMatrix?queryParams=51-4060&amp;ioType=o", "Projections for 51-4060")</f>
        <v>Projections for 51-4060</v>
      </c>
    </row>
    <row r="949" spans="1:4" x14ac:dyDescent="0.35">
      <c r="A949" s="3" t="s">
        <v>1910</v>
      </c>
      <c r="B949" s="3" t="s">
        <v>1911</v>
      </c>
      <c r="C949" s="3" t="s">
        <v>65</v>
      </c>
      <c r="D949" s="7" t="str">
        <f>HYPERLINK("https://data.bls.gov/projections/nationalMatrix?queryParams=51-4061&amp;ioType=o", "Projections for 51-4061")</f>
        <v>Projections for 51-4061</v>
      </c>
    </row>
    <row r="950" spans="1:4" x14ac:dyDescent="0.35">
      <c r="A950" s="3" t="s">
        <v>1912</v>
      </c>
      <c r="B950" s="3" t="s">
        <v>1913</v>
      </c>
      <c r="C950" s="3" t="s">
        <v>65</v>
      </c>
      <c r="D950" s="7" t="str">
        <f>HYPERLINK("https://data.bls.gov/projections/nationalMatrix?queryParams=51-4062&amp;ioType=o", "Projections for 51-4062")</f>
        <v>Projections for 51-4062</v>
      </c>
    </row>
    <row r="951" spans="1:4" x14ac:dyDescent="0.35">
      <c r="A951" s="3" t="s">
        <v>1914</v>
      </c>
      <c r="B951" s="3" t="s">
        <v>1915</v>
      </c>
      <c r="C951" s="3" t="s">
        <v>60</v>
      </c>
      <c r="D951" s="7" t="str">
        <f>HYPERLINK("https://data.bls.gov/projections/nationalMatrix?queryParams=51-4070&amp;ioType=o", "Projections for 51-4070")</f>
        <v>Projections for 51-4070</v>
      </c>
    </row>
    <row r="952" spans="1:4" x14ac:dyDescent="0.35">
      <c r="A952" s="3" t="s">
        <v>1916</v>
      </c>
      <c r="B952" s="3" t="s">
        <v>1917</v>
      </c>
      <c r="C952" s="3" t="s">
        <v>65</v>
      </c>
      <c r="D952" s="7" t="str">
        <f>HYPERLINK("https://data.bls.gov/projections/nationalMatrix?queryParams=51-4071&amp;ioType=o", "Projections for 51-4071")</f>
        <v>Projections for 51-4071</v>
      </c>
    </row>
    <row r="953" spans="1:4" x14ac:dyDescent="0.35">
      <c r="A953" s="3" t="s">
        <v>1918</v>
      </c>
      <c r="B953" s="3" t="s">
        <v>1919</v>
      </c>
      <c r="C953" s="3" t="s">
        <v>65</v>
      </c>
      <c r="D953" s="7" t="str">
        <f>HYPERLINK("https://data.bls.gov/projections/nationalMatrix?queryParams=51-4072&amp;ioType=o", "Projections for 51-4072")</f>
        <v>Projections for 51-4072</v>
      </c>
    </row>
    <row r="954" spans="1:4" x14ac:dyDescent="0.35">
      <c r="A954" s="3" t="s">
        <v>1920</v>
      </c>
      <c r="B954" s="3" t="s">
        <v>1921</v>
      </c>
      <c r="C954" s="3" t="s">
        <v>65</v>
      </c>
      <c r="D954" s="7" t="str">
        <f>HYPERLINK("https://data.bls.gov/projections/nationalMatrix?queryParams=51-4081&amp;ioType=o", "Projections for 51-4081")</f>
        <v>Projections for 51-4081</v>
      </c>
    </row>
    <row r="955" spans="1:4" x14ac:dyDescent="0.35">
      <c r="A955" s="3" t="s">
        <v>1922</v>
      </c>
      <c r="B955" s="3" t="s">
        <v>1923</v>
      </c>
      <c r="C955" s="3" t="s">
        <v>65</v>
      </c>
      <c r="D955" s="7" t="str">
        <f>HYPERLINK("https://data.bls.gov/projections/nationalMatrix?queryParams=51-4111&amp;ioType=o", "Projections for 51-4111")</f>
        <v>Projections for 51-4111</v>
      </c>
    </row>
    <row r="956" spans="1:4" x14ac:dyDescent="0.35">
      <c r="A956" s="3" t="s">
        <v>1924</v>
      </c>
      <c r="B956" s="3" t="s">
        <v>1925</v>
      </c>
      <c r="C956" s="3" t="s">
        <v>60</v>
      </c>
      <c r="D956" s="7" t="str">
        <f>HYPERLINK("https://data.bls.gov/projections/nationalMatrix?queryParams=51-4120&amp;ioType=o", "Projections for 51-4120")</f>
        <v>Projections for 51-4120</v>
      </c>
    </row>
    <row r="957" spans="1:4" x14ac:dyDescent="0.35">
      <c r="A957" s="3" t="s">
        <v>1926</v>
      </c>
      <c r="B957" s="3" t="s">
        <v>1927</v>
      </c>
      <c r="C957" s="3" t="s">
        <v>65</v>
      </c>
      <c r="D957" s="7" t="str">
        <f>HYPERLINK("https://data.bls.gov/projections/nationalMatrix?queryParams=51-4121&amp;ioType=o", "Projections for 51-4121")</f>
        <v>Projections for 51-4121</v>
      </c>
    </row>
    <row r="958" spans="1:4" x14ac:dyDescent="0.35">
      <c r="A958" s="3" t="s">
        <v>1928</v>
      </c>
      <c r="B958" s="3" t="s">
        <v>1929</v>
      </c>
      <c r="C958" s="3" t="s">
        <v>65</v>
      </c>
      <c r="D958" s="7" t="str">
        <f>HYPERLINK("https://data.bls.gov/projections/nationalMatrix?queryParams=51-4122&amp;ioType=o", "Projections for 51-4122")</f>
        <v>Projections for 51-4122</v>
      </c>
    </row>
    <row r="959" spans="1:4" x14ac:dyDescent="0.35">
      <c r="A959" s="3" t="s">
        <v>1930</v>
      </c>
      <c r="B959" s="3" t="s">
        <v>1931</v>
      </c>
      <c r="C959" s="3" t="s">
        <v>60</v>
      </c>
      <c r="D959" s="7" t="str">
        <f>HYPERLINK("https://data.bls.gov/projections/nationalMatrix?queryParams=51-4190&amp;ioType=o", "Projections for 51-4190")</f>
        <v>Projections for 51-4190</v>
      </c>
    </row>
    <row r="960" spans="1:4" x14ac:dyDescent="0.35">
      <c r="A960" s="3" t="s">
        <v>1932</v>
      </c>
      <c r="B960" s="3" t="s">
        <v>1933</v>
      </c>
      <c r="C960" s="3" t="s">
        <v>65</v>
      </c>
      <c r="D960" s="7" t="str">
        <f>HYPERLINK("https://data.bls.gov/projections/nationalMatrix?queryParams=51-4191&amp;ioType=o", "Projections for 51-4191")</f>
        <v>Projections for 51-4191</v>
      </c>
    </row>
    <row r="961" spans="1:4" x14ac:dyDescent="0.35">
      <c r="A961" s="3" t="s">
        <v>1934</v>
      </c>
      <c r="B961" s="3" t="s">
        <v>1935</v>
      </c>
      <c r="C961" s="3" t="s">
        <v>65</v>
      </c>
      <c r="D961" s="7" t="str">
        <f>HYPERLINK("https://data.bls.gov/projections/nationalMatrix?queryParams=51-4192&amp;ioType=o", "Projections for 51-4192")</f>
        <v>Projections for 51-4192</v>
      </c>
    </row>
    <row r="962" spans="1:4" x14ac:dyDescent="0.35">
      <c r="A962" s="3" t="s">
        <v>1936</v>
      </c>
      <c r="B962" s="3" t="s">
        <v>1937</v>
      </c>
      <c r="C962" s="3" t="s">
        <v>65</v>
      </c>
      <c r="D962" s="7" t="str">
        <f>HYPERLINK("https://data.bls.gov/projections/nationalMatrix?queryParams=51-4193&amp;ioType=o", "Projections for 51-4193")</f>
        <v>Projections for 51-4193</v>
      </c>
    </row>
    <row r="963" spans="1:4" x14ac:dyDescent="0.35">
      <c r="A963" s="3" t="s">
        <v>1938</v>
      </c>
      <c r="B963" s="3" t="s">
        <v>1939</v>
      </c>
      <c r="C963" s="3" t="s">
        <v>65</v>
      </c>
      <c r="D963" s="7" t="str">
        <f>HYPERLINK("https://data.bls.gov/projections/nationalMatrix?queryParams=51-4194&amp;ioType=o", "Projections for 51-4194")</f>
        <v>Projections for 51-4194</v>
      </c>
    </row>
    <row r="964" spans="1:4" x14ac:dyDescent="0.35">
      <c r="A964" s="3" t="s">
        <v>1940</v>
      </c>
      <c r="B964" s="3" t="s">
        <v>1941</v>
      </c>
      <c r="C964" s="3" t="s">
        <v>65</v>
      </c>
      <c r="D964" s="7" t="str">
        <f>HYPERLINK("https://data.bls.gov/projections/nationalMatrix?queryParams=51-4199&amp;ioType=o", "Projections for 51-4199")</f>
        <v>Projections for 51-4199</v>
      </c>
    </row>
    <row r="965" spans="1:4" x14ac:dyDescent="0.35">
      <c r="A965" s="3" t="s">
        <v>1942</v>
      </c>
      <c r="B965" s="3" t="s">
        <v>1943</v>
      </c>
      <c r="C965" s="3" t="s">
        <v>60</v>
      </c>
      <c r="D965" s="7" t="str">
        <f>HYPERLINK("https://data.bls.gov/projections/nationalMatrix?queryParams=51-5100&amp;ioType=o", "Projections for 51-5100")</f>
        <v>Projections for 51-5100</v>
      </c>
    </row>
    <row r="966" spans="1:4" x14ac:dyDescent="0.35">
      <c r="A966" s="3" t="s">
        <v>1944</v>
      </c>
      <c r="B966" s="3" t="s">
        <v>1945</v>
      </c>
      <c r="C966" s="3" t="s">
        <v>65</v>
      </c>
      <c r="D966" s="7" t="str">
        <f>HYPERLINK("https://data.bls.gov/projections/nationalMatrix?queryParams=51-5111&amp;ioType=o", "Projections for 51-5111")</f>
        <v>Projections for 51-5111</v>
      </c>
    </row>
    <row r="967" spans="1:4" x14ac:dyDescent="0.35">
      <c r="A967" s="3" t="s">
        <v>1946</v>
      </c>
      <c r="B967" s="3" t="s">
        <v>1947</v>
      </c>
      <c r="C967" s="3" t="s">
        <v>65</v>
      </c>
      <c r="D967" s="7" t="str">
        <f>HYPERLINK("https://data.bls.gov/projections/nationalMatrix?queryParams=51-5112&amp;ioType=o", "Projections for 51-5112")</f>
        <v>Projections for 51-5112</v>
      </c>
    </row>
    <row r="968" spans="1:4" x14ac:dyDescent="0.35">
      <c r="A968" s="3" t="s">
        <v>1948</v>
      </c>
      <c r="B968" s="3" t="s">
        <v>1949</v>
      </c>
      <c r="C968" s="3" t="s">
        <v>65</v>
      </c>
      <c r="D968" s="7" t="str">
        <f>HYPERLINK("https://data.bls.gov/projections/nationalMatrix?queryParams=51-5113&amp;ioType=o", "Projections for 51-5113")</f>
        <v>Projections for 51-5113</v>
      </c>
    </row>
    <row r="969" spans="1:4" x14ac:dyDescent="0.35">
      <c r="A969" s="3" t="s">
        <v>1950</v>
      </c>
      <c r="B969" s="3" t="s">
        <v>1951</v>
      </c>
      <c r="C969" s="3" t="s">
        <v>60</v>
      </c>
      <c r="D969" s="7" t="str">
        <f>HYPERLINK("https://data.bls.gov/projections/nationalMatrix?queryParams=51-6000&amp;ioType=o", "Projections for 51-6000")</f>
        <v>Projections for 51-6000</v>
      </c>
    </row>
    <row r="970" spans="1:4" x14ac:dyDescent="0.35">
      <c r="A970" s="3" t="s">
        <v>1952</v>
      </c>
      <c r="B970" s="3" t="s">
        <v>1953</v>
      </c>
      <c r="C970" s="3" t="s">
        <v>65</v>
      </c>
      <c r="D970" s="7" t="str">
        <f>HYPERLINK("https://data.bls.gov/projections/nationalMatrix?queryParams=51-6011&amp;ioType=o", "Projections for 51-6011")</f>
        <v>Projections for 51-6011</v>
      </c>
    </row>
    <row r="971" spans="1:4" x14ac:dyDescent="0.35">
      <c r="A971" s="3" t="s">
        <v>1954</v>
      </c>
      <c r="B971" s="3" t="s">
        <v>1955</v>
      </c>
      <c r="C971" s="3" t="s">
        <v>65</v>
      </c>
      <c r="D971" s="7" t="str">
        <f>HYPERLINK("https://data.bls.gov/projections/nationalMatrix?queryParams=51-6021&amp;ioType=o", "Projections for 51-6021")</f>
        <v>Projections for 51-6021</v>
      </c>
    </row>
    <row r="972" spans="1:4" x14ac:dyDescent="0.35">
      <c r="A972" s="3" t="s">
        <v>1956</v>
      </c>
      <c r="B972" s="3" t="s">
        <v>1957</v>
      </c>
      <c r="C972" s="3" t="s">
        <v>65</v>
      </c>
      <c r="D972" s="7" t="str">
        <f>HYPERLINK("https://data.bls.gov/projections/nationalMatrix?queryParams=51-6031&amp;ioType=o", "Projections for 51-6031")</f>
        <v>Projections for 51-6031</v>
      </c>
    </row>
    <row r="973" spans="1:4" x14ac:dyDescent="0.35">
      <c r="A973" s="3" t="s">
        <v>1958</v>
      </c>
      <c r="B973" s="3" t="s">
        <v>1959</v>
      </c>
      <c r="C973" s="3" t="s">
        <v>60</v>
      </c>
      <c r="D973" s="7" t="str">
        <f>HYPERLINK("https://data.bls.gov/projections/nationalMatrix?queryParams=51-6040&amp;ioType=o", "Projections for 51-6040")</f>
        <v>Projections for 51-6040</v>
      </c>
    </row>
    <row r="974" spans="1:4" x14ac:dyDescent="0.35">
      <c r="A974" s="3" t="s">
        <v>1960</v>
      </c>
      <c r="B974" s="3" t="s">
        <v>1961</v>
      </c>
      <c r="C974" s="3" t="s">
        <v>65</v>
      </c>
      <c r="D974" s="7" t="str">
        <f>HYPERLINK("https://data.bls.gov/projections/nationalMatrix?queryParams=51-6041&amp;ioType=o", "Projections for 51-6041")</f>
        <v>Projections for 51-6041</v>
      </c>
    </row>
    <row r="975" spans="1:4" x14ac:dyDescent="0.35">
      <c r="A975" s="3" t="s">
        <v>1962</v>
      </c>
      <c r="B975" s="3" t="s">
        <v>1963</v>
      </c>
      <c r="C975" s="3" t="s">
        <v>65</v>
      </c>
      <c r="D975" s="7" t="str">
        <f>HYPERLINK("https://data.bls.gov/projections/nationalMatrix?queryParams=51-6042&amp;ioType=o", "Projections for 51-6042")</f>
        <v>Projections for 51-6042</v>
      </c>
    </row>
    <row r="976" spans="1:4" x14ac:dyDescent="0.35">
      <c r="A976" s="3" t="s">
        <v>1964</v>
      </c>
      <c r="B976" s="3" t="s">
        <v>1965</v>
      </c>
      <c r="C976" s="3" t="s">
        <v>60</v>
      </c>
      <c r="D976" s="7" t="str">
        <f>HYPERLINK("https://data.bls.gov/projections/nationalMatrix?queryParams=51-6050&amp;ioType=o", "Projections for 51-6050")</f>
        <v>Projections for 51-6050</v>
      </c>
    </row>
    <row r="977" spans="1:4" x14ac:dyDescent="0.35">
      <c r="A977" s="3" t="s">
        <v>1966</v>
      </c>
      <c r="B977" s="3" t="s">
        <v>1967</v>
      </c>
      <c r="C977" s="3" t="s">
        <v>65</v>
      </c>
      <c r="D977" s="7" t="str">
        <f>HYPERLINK("https://data.bls.gov/projections/nationalMatrix?queryParams=51-6051&amp;ioType=o", "Projections for 51-6051")</f>
        <v>Projections for 51-6051</v>
      </c>
    </row>
    <row r="978" spans="1:4" x14ac:dyDescent="0.35">
      <c r="A978" s="3" t="s">
        <v>1968</v>
      </c>
      <c r="B978" s="3" t="s">
        <v>1969</v>
      </c>
      <c r="C978" s="3" t="s">
        <v>65</v>
      </c>
      <c r="D978" s="7" t="str">
        <f>HYPERLINK("https://data.bls.gov/projections/nationalMatrix?queryParams=51-6052&amp;ioType=o", "Projections for 51-6052")</f>
        <v>Projections for 51-6052</v>
      </c>
    </row>
    <row r="979" spans="1:4" x14ac:dyDescent="0.35">
      <c r="A979" s="3" t="s">
        <v>1970</v>
      </c>
      <c r="B979" s="3" t="s">
        <v>1971</v>
      </c>
      <c r="C979" s="3" t="s">
        <v>60</v>
      </c>
      <c r="D979" s="7" t="str">
        <f>HYPERLINK("https://data.bls.gov/projections/nationalMatrix?queryParams=51-6060&amp;ioType=o", "Projections for 51-6060")</f>
        <v>Projections for 51-6060</v>
      </c>
    </row>
    <row r="980" spans="1:4" x14ac:dyDescent="0.35">
      <c r="A980" s="3" t="s">
        <v>1972</v>
      </c>
      <c r="B980" s="3" t="s">
        <v>1973</v>
      </c>
      <c r="C980" s="3" t="s">
        <v>65</v>
      </c>
      <c r="D980" s="7" t="str">
        <f>HYPERLINK("https://data.bls.gov/projections/nationalMatrix?queryParams=51-6061&amp;ioType=o", "Projections for 51-6061")</f>
        <v>Projections for 51-6061</v>
      </c>
    </row>
    <row r="981" spans="1:4" x14ac:dyDescent="0.35">
      <c r="A981" s="3" t="s">
        <v>1974</v>
      </c>
      <c r="B981" s="3" t="s">
        <v>1975</v>
      </c>
      <c r="C981" s="3" t="s">
        <v>65</v>
      </c>
      <c r="D981" s="7" t="str">
        <f>HYPERLINK("https://data.bls.gov/projections/nationalMatrix?queryParams=51-6062&amp;ioType=o", "Projections for 51-6062")</f>
        <v>Projections for 51-6062</v>
      </c>
    </row>
    <row r="982" spans="1:4" x14ac:dyDescent="0.35">
      <c r="A982" s="3" t="s">
        <v>1976</v>
      </c>
      <c r="B982" s="3" t="s">
        <v>1977</v>
      </c>
      <c r="C982" s="3" t="s">
        <v>65</v>
      </c>
      <c r="D982" s="7" t="str">
        <f>HYPERLINK("https://data.bls.gov/projections/nationalMatrix?queryParams=51-6063&amp;ioType=o", "Projections for 51-6063")</f>
        <v>Projections for 51-6063</v>
      </c>
    </row>
    <row r="983" spans="1:4" x14ac:dyDescent="0.35">
      <c r="A983" s="3" t="s">
        <v>1978</v>
      </c>
      <c r="B983" s="3" t="s">
        <v>1979</v>
      </c>
      <c r="C983" s="3" t="s">
        <v>65</v>
      </c>
      <c r="D983" s="7" t="str">
        <f>HYPERLINK("https://data.bls.gov/projections/nationalMatrix?queryParams=51-6064&amp;ioType=o", "Projections for 51-6064")</f>
        <v>Projections for 51-6064</v>
      </c>
    </row>
    <row r="984" spans="1:4" x14ac:dyDescent="0.35">
      <c r="A984" s="3" t="s">
        <v>1980</v>
      </c>
      <c r="B984" s="3" t="s">
        <v>1981</v>
      </c>
      <c r="C984" s="3" t="s">
        <v>60</v>
      </c>
      <c r="D984" s="7" t="str">
        <f>HYPERLINK("https://data.bls.gov/projections/nationalMatrix?queryParams=51-6090&amp;ioType=o", "Projections for 51-6090")</f>
        <v>Projections for 51-6090</v>
      </c>
    </row>
    <row r="985" spans="1:4" x14ac:dyDescent="0.35">
      <c r="A985" s="3" t="s">
        <v>1982</v>
      </c>
      <c r="B985" s="3" t="s">
        <v>1983</v>
      </c>
      <c r="C985" s="3" t="s">
        <v>65</v>
      </c>
      <c r="D985" s="7" t="str">
        <f>HYPERLINK("https://data.bls.gov/projections/nationalMatrix?queryParams=51-6091&amp;ioType=o", "Projections for 51-6091")</f>
        <v>Projections for 51-6091</v>
      </c>
    </row>
    <row r="986" spans="1:4" x14ac:dyDescent="0.35">
      <c r="A986" s="3" t="s">
        <v>1984</v>
      </c>
      <c r="B986" s="3" t="s">
        <v>1985</v>
      </c>
      <c r="C986" s="3" t="s">
        <v>65</v>
      </c>
      <c r="D986" s="7" t="str">
        <f>HYPERLINK("https://data.bls.gov/projections/nationalMatrix?queryParams=51-6092&amp;ioType=o", "Projections for 51-6092")</f>
        <v>Projections for 51-6092</v>
      </c>
    </row>
    <row r="987" spans="1:4" x14ac:dyDescent="0.35">
      <c r="A987" s="3" t="s">
        <v>1986</v>
      </c>
      <c r="B987" s="3" t="s">
        <v>1987</v>
      </c>
      <c r="C987" s="3" t="s">
        <v>65</v>
      </c>
      <c r="D987" s="7" t="str">
        <f>HYPERLINK("https://data.bls.gov/projections/nationalMatrix?queryParams=51-6093&amp;ioType=o", "Projections for 51-6093")</f>
        <v>Projections for 51-6093</v>
      </c>
    </row>
    <row r="988" spans="1:4" x14ac:dyDescent="0.35">
      <c r="A988" s="3" t="s">
        <v>1988</v>
      </c>
      <c r="B988" s="3" t="s">
        <v>1989</v>
      </c>
      <c r="C988" s="3" t="s">
        <v>65</v>
      </c>
      <c r="D988" s="7" t="str">
        <f>HYPERLINK("https://data.bls.gov/projections/nationalMatrix?queryParams=51-6099&amp;ioType=o", "Projections for 51-6099")</f>
        <v>Projections for 51-6099</v>
      </c>
    </row>
    <row r="989" spans="1:4" x14ac:dyDescent="0.35">
      <c r="A989" s="3" t="s">
        <v>1990</v>
      </c>
      <c r="B989" s="3" t="s">
        <v>1991</v>
      </c>
      <c r="C989" s="3" t="s">
        <v>60</v>
      </c>
      <c r="D989" s="7" t="str">
        <f>HYPERLINK("https://data.bls.gov/projections/nationalMatrix?queryParams=51-7000&amp;ioType=o", "Projections for 51-7000")</f>
        <v>Projections for 51-7000</v>
      </c>
    </row>
    <row r="990" spans="1:4" x14ac:dyDescent="0.35">
      <c r="A990" s="3" t="s">
        <v>1992</v>
      </c>
      <c r="B990" s="3" t="s">
        <v>1993</v>
      </c>
      <c r="C990" s="3" t="s">
        <v>65</v>
      </c>
      <c r="D990" s="7" t="str">
        <f>HYPERLINK("https://data.bls.gov/projections/nationalMatrix?queryParams=51-7011&amp;ioType=o", "Projections for 51-7011")</f>
        <v>Projections for 51-7011</v>
      </c>
    </row>
    <row r="991" spans="1:4" x14ac:dyDescent="0.35">
      <c r="A991" s="3" t="s">
        <v>1994</v>
      </c>
      <c r="B991" s="3" t="s">
        <v>1995</v>
      </c>
      <c r="C991" s="3" t="s">
        <v>65</v>
      </c>
      <c r="D991" s="7" t="str">
        <f>HYPERLINK("https://data.bls.gov/projections/nationalMatrix?queryParams=51-7021&amp;ioType=o", "Projections for 51-7021")</f>
        <v>Projections for 51-7021</v>
      </c>
    </row>
    <row r="992" spans="1:4" x14ac:dyDescent="0.35">
      <c r="A992" s="3" t="s">
        <v>1996</v>
      </c>
      <c r="B992" s="3" t="s">
        <v>1997</v>
      </c>
      <c r="C992" s="3" t="s">
        <v>60</v>
      </c>
      <c r="D992" s="7" t="str">
        <f>HYPERLINK("https://data.bls.gov/projections/nationalMatrix?queryParams=51-7030&amp;ioType=o", "Projections for 51-7030")</f>
        <v>Projections for 51-7030</v>
      </c>
    </row>
    <row r="993" spans="1:4" x14ac:dyDescent="0.35">
      <c r="A993" s="3" t="s">
        <v>1998</v>
      </c>
      <c r="B993" s="3" t="s">
        <v>1999</v>
      </c>
      <c r="C993" s="3" t="s">
        <v>65</v>
      </c>
      <c r="D993" s="7" t="str">
        <f>HYPERLINK("https://data.bls.gov/projections/nationalMatrix?queryParams=51-7031&amp;ioType=o", "Projections for 51-7031")</f>
        <v>Projections for 51-7031</v>
      </c>
    </row>
    <row r="994" spans="1:4" x14ac:dyDescent="0.35">
      <c r="A994" s="3" t="s">
        <v>2000</v>
      </c>
      <c r="B994" s="3" t="s">
        <v>2001</v>
      </c>
      <c r="C994" s="3" t="s">
        <v>65</v>
      </c>
      <c r="D994" s="7" t="str">
        <f>HYPERLINK("https://data.bls.gov/projections/nationalMatrix?queryParams=51-7032&amp;ioType=o", "Projections for 51-7032")</f>
        <v>Projections for 51-7032</v>
      </c>
    </row>
    <row r="995" spans="1:4" x14ac:dyDescent="0.35">
      <c r="A995" s="3" t="s">
        <v>2002</v>
      </c>
      <c r="B995" s="3" t="s">
        <v>2003</v>
      </c>
      <c r="C995" s="3" t="s">
        <v>60</v>
      </c>
      <c r="D995" s="7" t="str">
        <f>HYPERLINK("https://data.bls.gov/projections/nationalMatrix?queryParams=51-7040&amp;ioType=o", "Projections for 51-7040")</f>
        <v>Projections for 51-7040</v>
      </c>
    </row>
    <row r="996" spans="1:4" x14ac:dyDescent="0.35">
      <c r="A996" s="3" t="s">
        <v>2004</v>
      </c>
      <c r="B996" s="3" t="s">
        <v>2005</v>
      </c>
      <c r="C996" s="3" t="s">
        <v>65</v>
      </c>
      <c r="D996" s="7" t="str">
        <f>HYPERLINK("https://data.bls.gov/projections/nationalMatrix?queryParams=51-7041&amp;ioType=o", "Projections for 51-7041")</f>
        <v>Projections for 51-7041</v>
      </c>
    </row>
    <row r="997" spans="1:4" x14ac:dyDescent="0.35">
      <c r="A997" s="3" t="s">
        <v>2006</v>
      </c>
      <c r="B997" s="3" t="s">
        <v>2007</v>
      </c>
      <c r="C997" s="3" t="s">
        <v>65</v>
      </c>
      <c r="D997" s="7" t="str">
        <f>HYPERLINK("https://data.bls.gov/projections/nationalMatrix?queryParams=51-7042&amp;ioType=o", "Projections for 51-7042")</f>
        <v>Projections for 51-7042</v>
      </c>
    </row>
    <row r="998" spans="1:4" x14ac:dyDescent="0.35">
      <c r="A998" s="3" t="s">
        <v>2008</v>
      </c>
      <c r="B998" s="3" t="s">
        <v>2009</v>
      </c>
      <c r="C998" s="3" t="s">
        <v>65</v>
      </c>
      <c r="D998" s="7" t="str">
        <f>HYPERLINK("https://data.bls.gov/projections/nationalMatrix?queryParams=51-7099&amp;ioType=o", "Projections for 51-7099")</f>
        <v>Projections for 51-7099</v>
      </c>
    </row>
    <row r="999" spans="1:4" x14ac:dyDescent="0.35">
      <c r="A999" s="3" t="s">
        <v>2010</v>
      </c>
      <c r="B999" s="3" t="s">
        <v>2011</v>
      </c>
      <c r="C999" s="3" t="s">
        <v>60</v>
      </c>
      <c r="D999" s="7" t="str">
        <f>HYPERLINK("https://data.bls.gov/projections/nationalMatrix?queryParams=51-8000&amp;ioType=o", "Projections for 51-8000")</f>
        <v>Projections for 51-8000</v>
      </c>
    </row>
    <row r="1000" spans="1:4" x14ac:dyDescent="0.35">
      <c r="A1000" s="3" t="s">
        <v>2012</v>
      </c>
      <c r="B1000" s="3" t="s">
        <v>2013</v>
      </c>
      <c r="C1000" s="3" t="s">
        <v>60</v>
      </c>
      <c r="D1000" s="7" t="str">
        <f>HYPERLINK("https://data.bls.gov/projections/nationalMatrix?queryParams=51-8010&amp;ioType=o", "Projections for 51-8010")</f>
        <v>Projections for 51-8010</v>
      </c>
    </row>
    <row r="1001" spans="1:4" x14ac:dyDescent="0.35">
      <c r="A1001" s="3" t="s">
        <v>2014</v>
      </c>
      <c r="B1001" s="3" t="s">
        <v>2015</v>
      </c>
      <c r="C1001" s="3" t="s">
        <v>65</v>
      </c>
      <c r="D1001" s="7" t="str">
        <f>HYPERLINK("https://data.bls.gov/projections/nationalMatrix?queryParams=51-8011&amp;ioType=o", "Projections for 51-8011")</f>
        <v>Projections for 51-8011</v>
      </c>
    </row>
    <row r="1002" spans="1:4" x14ac:dyDescent="0.35">
      <c r="A1002" s="3" t="s">
        <v>2016</v>
      </c>
      <c r="B1002" s="3" t="s">
        <v>2017</v>
      </c>
      <c r="C1002" s="3" t="s">
        <v>65</v>
      </c>
      <c r="D1002" s="7" t="str">
        <f>HYPERLINK("https://data.bls.gov/projections/nationalMatrix?queryParams=51-8012&amp;ioType=o", "Projections for 51-8012")</f>
        <v>Projections for 51-8012</v>
      </c>
    </row>
    <row r="1003" spans="1:4" x14ac:dyDescent="0.35">
      <c r="A1003" s="3" t="s">
        <v>2018</v>
      </c>
      <c r="B1003" s="3" t="s">
        <v>2019</v>
      </c>
      <c r="C1003" s="3" t="s">
        <v>65</v>
      </c>
      <c r="D1003" s="7" t="str">
        <f>HYPERLINK("https://data.bls.gov/projections/nationalMatrix?queryParams=51-8013&amp;ioType=o", "Projections for 51-8013")</f>
        <v>Projections for 51-8013</v>
      </c>
    </row>
    <row r="1004" spans="1:4" x14ac:dyDescent="0.35">
      <c r="A1004" s="3" t="s">
        <v>2020</v>
      </c>
      <c r="B1004" s="3" t="s">
        <v>2021</v>
      </c>
      <c r="C1004" s="3" t="s">
        <v>65</v>
      </c>
      <c r="D1004" s="7" t="str">
        <f>HYPERLINK("https://data.bls.gov/projections/nationalMatrix?queryParams=51-8021&amp;ioType=o", "Projections for 51-8021")</f>
        <v>Projections for 51-8021</v>
      </c>
    </row>
    <row r="1005" spans="1:4" x14ac:dyDescent="0.35">
      <c r="A1005" s="3" t="s">
        <v>2022</v>
      </c>
      <c r="B1005" s="3" t="s">
        <v>2023</v>
      </c>
      <c r="C1005" s="3" t="s">
        <v>65</v>
      </c>
      <c r="D1005" s="7" t="str">
        <f>HYPERLINK("https://data.bls.gov/projections/nationalMatrix?queryParams=51-8031&amp;ioType=o", "Projections for 51-8031")</f>
        <v>Projections for 51-8031</v>
      </c>
    </row>
    <row r="1006" spans="1:4" x14ac:dyDescent="0.35">
      <c r="A1006" s="3" t="s">
        <v>2024</v>
      </c>
      <c r="B1006" s="3" t="s">
        <v>2025</v>
      </c>
      <c r="C1006" s="3" t="s">
        <v>60</v>
      </c>
      <c r="D1006" s="7" t="str">
        <f>HYPERLINK("https://data.bls.gov/projections/nationalMatrix?queryParams=51-8090&amp;ioType=o", "Projections for 51-8090")</f>
        <v>Projections for 51-8090</v>
      </c>
    </row>
    <row r="1007" spans="1:4" x14ac:dyDescent="0.35">
      <c r="A1007" s="3" t="s">
        <v>2026</v>
      </c>
      <c r="B1007" s="3" t="s">
        <v>2027</v>
      </c>
      <c r="C1007" s="3" t="s">
        <v>65</v>
      </c>
      <c r="D1007" s="7" t="str">
        <f>HYPERLINK("https://data.bls.gov/projections/nationalMatrix?queryParams=51-8091&amp;ioType=o", "Projections for 51-8091")</f>
        <v>Projections for 51-8091</v>
      </c>
    </row>
    <row r="1008" spans="1:4" x14ac:dyDescent="0.35">
      <c r="A1008" s="3" t="s">
        <v>2028</v>
      </c>
      <c r="B1008" s="3" t="s">
        <v>2029</v>
      </c>
      <c r="C1008" s="3" t="s">
        <v>65</v>
      </c>
      <c r="D1008" s="7" t="str">
        <f>HYPERLINK("https://data.bls.gov/projections/nationalMatrix?queryParams=51-8092&amp;ioType=o", "Projections for 51-8092")</f>
        <v>Projections for 51-8092</v>
      </c>
    </row>
    <row r="1009" spans="1:4" x14ac:dyDescent="0.35">
      <c r="A1009" s="3" t="s">
        <v>2030</v>
      </c>
      <c r="B1009" s="3" t="s">
        <v>2031</v>
      </c>
      <c r="C1009" s="3" t="s">
        <v>65</v>
      </c>
      <c r="D1009" s="7" t="str">
        <f>HYPERLINK("https://data.bls.gov/projections/nationalMatrix?queryParams=51-8093&amp;ioType=o", "Projections for 51-8093")</f>
        <v>Projections for 51-8093</v>
      </c>
    </row>
    <row r="1010" spans="1:4" x14ac:dyDescent="0.35">
      <c r="A1010" s="3" t="s">
        <v>2032</v>
      </c>
      <c r="B1010" s="3" t="s">
        <v>2033</v>
      </c>
      <c r="C1010" s="3" t="s">
        <v>65</v>
      </c>
      <c r="D1010" s="7" t="str">
        <f>HYPERLINK("https://data.bls.gov/projections/nationalMatrix?queryParams=51-8099&amp;ioType=o", "Projections for 51-8099")</f>
        <v>Projections for 51-8099</v>
      </c>
    </row>
    <row r="1011" spans="1:4" x14ac:dyDescent="0.35">
      <c r="A1011" s="3" t="s">
        <v>2034</v>
      </c>
      <c r="B1011" s="3" t="s">
        <v>2035</v>
      </c>
      <c r="C1011" s="3" t="s">
        <v>60</v>
      </c>
      <c r="D1011" s="7" t="str">
        <f>HYPERLINK("https://data.bls.gov/projections/nationalMatrix?queryParams=51-9000&amp;ioType=o", "Projections for 51-9000")</f>
        <v>Projections for 51-9000</v>
      </c>
    </row>
    <row r="1012" spans="1:4" x14ac:dyDescent="0.35">
      <c r="A1012" s="3" t="s">
        <v>2036</v>
      </c>
      <c r="B1012" s="3" t="s">
        <v>2037</v>
      </c>
      <c r="C1012" s="3" t="s">
        <v>60</v>
      </c>
      <c r="D1012" s="7" t="str">
        <f>HYPERLINK("https://data.bls.gov/projections/nationalMatrix?queryParams=51-9010&amp;ioType=o", "Projections for 51-9010")</f>
        <v>Projections for 51-9010</v>
      </c>
    </row>
    <row r="1013" spans="1:4" x14ac:dyDescent="0.35">
      <c r="A1013" s="3" t="s">
        <v>2038</v>
      </c>
      <c r="B1013" s="3" t="s">
        <v>2039</v>
      </c>
      <c r="C1013" s="3" t="s">
        <v>65</v>
      </c>
      <c r="D1013" s="7" t="str">
        <f>HYPERLINK("https://data.bls.gov/projections/nationalMatrix?queryParams=51-9011&amp;ioType=o", "Projections for 51-9011")</f>
        <v>Projections for 51-9011</v>
      </c>
    </row>
    <row r="1014" spans="1:4" x14ac:dyDescent="0.35">
      <c r="A1014" s="3" t="s">
        <v>2040</v>
      </c>
      <c r="B1014" s="3" t="s">
        <v>2041</v>
      </c>
      <c r="C1014" s="3" t="s">
        <v>65</v>
      </c>
      <c r="D1014" s="7" t="str">
        <f>HYPERLINK("https://data.bls.gov/projections/nationalMatrix?queryParams=51-9012&amp;ioType=o", "Projections for 51-9012")</f>
        <v>Projections for 51-9012</v>
      </c>
    </row>
    <row r="1015" spans="1:4" x14ac:dyDescent="0.35">
      <c r="A1015" s="3" t="s">
        <v>2042</v>
      </c>
      <c r="B1015" s="3" t="s">
        <v>2043</v>
      </c>
      <c r="C1015" s="3" t="s">
        <v>60</v>
      </c>
      <c r="D1015" s="7" t="str">
        <f>HYPERLINK("https://data.bls.gov/projections/nationalMatrix?queryParams=51-9020&amp;ioType=o", "Projections for 51-9020")</f>
        <v>Projections for 51-9020</v>
      </c>
    </row>
    <row r="1016" spans="1:4" x14ac:dyDescent="0.35">
      <c r="A1016" s="3" t="s">
        <v>2044</v>
      </c>
      <c r="B1016" s="3" t="s">
        <v>2045</v>
      </c>
      <c r="C1016" s="3" t="s">
        <v>65</v>
      </c>
      <c r="D1016" s="7" t="str">
        <f>HYPERLINK("https://data.bls.gov/projections/nationalMatrix?queryParams=51-9021&amp;ioType=o", "Projections for 51-9021")</f>
        <v>Projections for 51-9021</v>
      </c>
    </row>
    <row r="1017" spans="1:4" x14ac:dyDescent="0.35">
      <c r="A1017" s="3" t="s">
        <v>2046</v>
      </c>
      <c r="B1017" s="3" t="s">
        <v>2047</v>
      </c>
      <c r="C1017" s="3" t="s">
        <v>65</v>
      </c>
      <c r="D1017" s="7" t="str">
        <f>HYPERLINK("https://data.bls.gov/projections/nationalMatrix?queryParams=51-9022&amp;ioType=o", "Projections for 51-9022")</f>
        <v>Projections for 51-9022</v>
      </c>
    </row>
    <row r="1018" spans="1:4" x14ac:dyDescent="0.35">
      <c r="A1018" s="3" t="s">
        <v>2048</v>
      </c>
      <c r="B1018" s="3" t="s">
        <v>2049</v>
      </c>
      <c r="C1018" s="3" t="s">
        <v>65</v>
      </c>
      <c r="D1018" s="7" t="str">
        <f>HYPERLINK("https://data.bls.gov/projections/nationalMatrix?queryParams=51-9023&amp;ioType=o", "Projections for 51-9023")</f>
        <v>Projections for 51-9023</v>
      </c>
    </row>
    <row r="1019" spans="1:4" x14ac:dyDescent="0.35">
      <c r="A1019" s="3" t="s">
        <v>2050</v>
      </c>
      <c r="B1019" s="3" t="s">
        <v>2051</v>
      </c>
      <c r="C1019" s="3" t="s">
        <v>60</v>
      </c>
      <c r="D1019" s="7" t="str">
        <f>HYPERLINK("https://data.bls.gov/projections/nationalMatrix?queryParams=51-9030&amp;ioType=o", "Projections for 51-9030")</f>
        <v>Projections for 51-9030</v>
      </c>
    </row>
    <row r="1020" spans="1:4" x14ac:dyDescent="0.35">
      <c r="A1020" s="3" t="s">
        <v>2052</v>
      </c>
      <c r="B1020" s="3" t="s">
        <v>2053</v>
      </c>
      <c r="C1020" s="3" t="s">
        <v>65</v>
      </c>
      <c r="D1020" s="7" t="str">
        <f>HYPERLINK("https://data.bls.gov/projections/nationalMatrix?queryParams=51-9031&amp;ioType=o", "Projections for 51-9031")</f>
        <v>Projections for 51-9031</v>
      </c>
    </row>
    <row r="1021" spans="1:4" x14ac:dyDescent="0.35">
      <c r="A1021" s="3" t="s">
        <v>2054</v>
      </c>
      <c r="B1021" s="3" t="s">
        <v>2055</v>
      </c>
      <c r="C1021" s="3" t="s">
        <v>65</v>
      </c>
      <c r="D1021" s="7" t="str">
        <f>HYPERLINK("https://data.bls.gov/projections/nationalMatrix?queryParams=51-9032&amp;ioType=o", "Projections for 51-9032")</f>
        <v>Projections for 51-9032</v>
      </c>
    </row>
    <row r="1022" spans="1:4" x14ac:dyDescent="0.35">
      <c r="A1022" s="3" t="s">
        <v>2056</v>
      </c>
      <c r="B1022" s="3" t="s">
        <v>2057</v>
      </c>
      <c r="C1022" s="3" t="s">
        <v>65</v>
      </c>
      <c r="D1022" s="7" t="str">
        <f>HYPERLINK("https://data.bls.gov/projections/nationalMatrix?queryParams=51-9041&amp;ioType=o", "Projections for 51-9041")</f>
        <v>Projections for 51-9041</v>
      </c>
    </row>
    <row r="1023" spans="1:4" x14ac:dyDescent="0.35">
      <c r="A1023" s="3" t="s">
        <v>2058</v>
      </c>
      <c r="B1023" s="3" t="s">
        <v>2059</v>
      </c>
      <c r="C1023" s="3" t="s">
        <v>65</v>
      </c>
      <c r="D1023" s="7" t="str">
        <f>HYPERLINK("https://data.bls.gov/projections/nationalMatrix?queryParams=51-9051&amp;ioType=o", "Projections for 51-9051")</f>
        <v>Projections for 51-9051</v>
      </c>
    </row>
    <row r="1024" spans="1:4" x14ac:dyDescent="0.35">
      <c r="A1024" s="3" t="s">
        <v>2060</v>
      </c>
      <c r="B1024" s="3" t="s">
        <v>2061</v>
      </c>
      <c r="C1024" s="3" t="s">
        <v>65</v>
      </c>
      <c r="D1024" s="7" t="str">
        <f>HYPERLINK("https://data.bls.gov/projections/nationalMatrix?queryParams=51-9061&amp;ioType=o", "Projections for 51-9061")</f>
        <v>Projections for 51-9061</v>
      </c>
    </row>
    <row r="1025" spans="1:4" x14ac:dyDescent="0.35">
      <c r="A1025" s="3" t="s">
        <v>2062</v>
      </c>
      <c r="B1025" s="3" t="s">
        <v>2063</v>
      </c>
      <c r="C1025" s="3" t="s">
        <v>65</v>
      </c>
      <c r="D1025" s="7" t="str">
        <f>HYPERLINK("https://data.bls.gov/projections/nationalMatrix?queryParams=51-9071&amp;ioType=o", "Projections for 51-9071")</f>
        <v>Projections for 51-9071</v>
      </c>
    </row>
    <row r="1026" spans="1:4" x14ac:dyDescent="0.35">
      <c r="A1026" s="3" t="s">
        <v>2064</v>
      </c>
      <c r="B1026" s="3" t="s">
        <v>2065</v>
      </c>
      <c r="C1026" s="3" t="s">
        <v>60</v>
      </c>
      <c r="D1026" s="7" t="str">
        <f>HYPERLINK("https://data.bls.gov/projections/nationalMatrix?queryParams=51-9080&amp;ioType=o", "Projections for 51-9080")</f>
        <v>Projections for 51-9080</v>
      </c>
    </row>
    <row r="1027" spans="1:4" x14ac:dyDescent="0.35">
      <c r="A1027" s="3" t="s">
        <v>2066</v>
      </c>
      <c r="B1027" s="3" t="s">
        <v>2067</v>
      </c>
      <c r="C1027" s="3" t="s">
        <v>65</v>
      </c>
      <c r="D1027" s="7" t="str">
        <f>HYPERLINK("https://data.bls.gov/projections/nationalMatrix?queryParams=51-9081&amp;ioType=o", "Projections for 51-9081")</f>
        <v>Projections for 51-9081</v>
      </c>
    </row>
    <row r="1028" spans="1:4" x14ac:dyDescent="0.35">
      <c r="A1028" s="3" t="s">
        <v>2068</v>
      </c>
      <c r="B1028" s="3" t="s">
        <v>2069</v>
      </c>
      <c r="C1028" s="3" t="s">
        <v>65</v>
      </c>
      <c r="D1028" s="7" t="str">
        <f>HYPERLINK("https://data.bls.gov/projections/nationalMatrix?queryParams=51-9082&amp;ioType=o", "Projections for 51-9082")</f>
        <v>Projections for 51-9082</v>
      </c>
    </row>
    <row r="1029" spans="1:4" x14ac:dyDescent="0.35">
      <c r="A1029" s="3" t="s">
        <v>2070</v>
      </c>
      <c r="B1029" s="3" t="s">
        <v>2071</v>
      </c>
      <c r="C1029" s="3" t="s">
        <v>65</v>
      </c>
      <c r="D1029" s="7" t="str">
        <f>HYPERLINK("https://data.bls.gov/projections/nationalMatrix?queryParams=51-9083&amp;ioType=o", "Projections for 51-9083")</f>
        <v>Projections for 51-9083</v>
      </c>
    </row>
    <row r="1030" spans="1:4" x14ac:dyDescent="0.35">
      <c r="A1030" s="3" t="s">
        <v>2072</v>
      </c>
      <c r="B1030" s="3" t="s">
        <v>2073</v>
      </c>
      <c r="C1030" s="3" t="s">
        <v>65</v>
      </c>
      <c r="D1030" s="7" t="str">
        <f>HYPERLINK("https://data.bls.gov/projections/nationalMatrix?queryParams=51-9111&amp;ioType=o", "Projections for 51-9111")</f>
        <v>Projections for 51-9111</v>
      </c>
    </row>
    <row r="1031" spans="1:4" x14ac:dyDescent="0.35">
      <c r="A1031" s="3" t="s">
        <v>2074</v>
      </c>
      <c r="B1031" s="3" t="s">
        <v>2075</v>
      </c>
      <c r="C1031" s="3" t="s">
        <v>60</v>
      </c>
      <c r="D1031" s="7" t="str">
        <f>HYPERLINK("https://data.bls.gov/projections/nationalMatrix?queryParams=51-9120&amp;ioType=o", "Projections for 51-9120")</f>
        <v>Projections for 51-9120</v>
      </c>
    </row>
    <row r="1032" spans="1:4" x14ac:dyDescent="0.35">
      <c r="A1032" s="3" t="s">
        <v>2076</v>
      </c>
      <c r="B1032" s="3" t="s">
        <v>2077</v>
      </c>
      <c r="C1032" s="3" t="s">
        <v>65</v>
      </c>
      <c r="D1032" s="7" t="str">
        <f>HYPERLINK("https://data.bls.gov/projections/nationalMatrix?queryParams=51-9123&amp;ioType=o", "Projections for 51-9123")</f>
        <v>Projections for 51-9123</v>
      </c>
    </row>
    <row r="1033" spans="1:4" x14ac:dyDescent="0.35">
      <c r="A1033" s="3" t="s">
        <v>2078</v>
      </c>
      <c r="B1033" s="3" t="s">
        <v>2079</v>
      </c>
      <c r="C1033" s="3" t="s">
        <v>65</v>
      </c>
      <c r="D1033" s="7" t="str">
        <f>HYPERLINK("https://data.bls.gov/projections/nationalMatrix?queryParams=51-9124&amp;ioType=o", "Projections for 51-9124")</f>
        <v>Projections for 51-9124</v>
      </c>
    </row>
    <row r="1034" spans="1:4" x14ac:dyDescent="0.35">
      <c r="A1034" s="3" t="s">
        <v>2080</v>
      </c>
      <c r="B1034" s="3" t="s">
        <v>2081</v>
      </c>
      <c r="C1034" s="3" t="s">
        <v>65</v>
      </c>
      <c r="D1034" s="7" t="str">
        <f>HYPERLINK("https://data.bls.gov/projections/nationalMatrix?queryParams=51-9141&amp;ioType=o", "Projections for 51-9141")</f>
        <v>Projections for 51-9141</v>
      </c>
    </row>
    <row r="1035" spans="1:4" x14ac:dyDescent="0.35">
      <c r="A1035" s="3" t="s">
        <v>2082</v>
      </c>
      <c r="B1035" s="3" t="s">
        <v>2083</v>
      </c>
      <c r="C1035" s="3" t="s">
        <v>65</v>
      </c>
      <c r="D1035" s="7" t="str">
        <f>HYPERLINK("https://data.bls.gov/projections/nationalMatrix?queryParams=51-9151&amp;ioType=o", "Projections for 51-9151")</f>
        <v>Projections for 51-9151</v>
      </c>
    </row>
    <row r="1036" spans="1:4" x14ac:dyDescent="0.35">
      <c r="A1036" s="3" t="s">
        <v>2084</v>
      </c>
      <c r="B1036" s="3" t="s">
        <v>2085</v>
      </c>
      <c r="C1036" s="3" t="s">
        <v>60</v>
      </c>
      <c r="D1036" s="7" t="str">
        <f>HYPERLINK("https://data.bls.gov/projections/nationalMatrix?queryParams=51-9160&amp;ioType=o", "Projections for 51-9160")</f>
        <v>Projections for 51-9160</v>
      </c>
    </row>
    <row r="1037" spans="1:4" x14ac:dyDescent="0.35">
      <c r="A1037" s="3" t="s">
        <v>2086</v>
      </c>
      <c r="B1037" s="3" t="s">
        <v>2087</v>
      </c>
      <c r="C1037" s="3" t="s">
        <v>65</v>
      </c>
      <c r="D1037" s="7" t="str">
        <f>HYPERLINK("https://data.bls.gov/projections/nationalMatrix?queryParams=51-9161&amp;ioType=o", "Projections for 51-9161")</f>
        <v>Projections for 51-9161</v>
      </c>
    </row>
    <row r="1038" spans="1:4" x14ac:dyDescent="0.35">
      <c r="A1038" s="3" t="s">
        <v>2088</v>
      </c>
      <c r="B1038" s="3" t="s">
        <v>2089</v>
      </c>
      <c r="C1038" s="3" t="s">
        <v>65</v>
      </c>
      <c r="D1038" s="7" t="str">
        <f>HYPERLINK("https://data.bls.gov/projections/nationalMatrix?queryParams=51-9162&amp;ioType=o", "Projections for 51-9162")</f>
        <v>Projections for 51-9162</v>
      </c>
    </row>
    <row r="1039" spans="1:4" x14ac:dyDescent="0.35">
      <c r="A1039" s="3" t="s">
        <v>2090</v>
      </c>
      <c r="B1039" s="3" t="s">
        <v>2091</v>
      </c>
      <c r="C1039" s="3" t="s">
        <v>60</v>
      </c>
      <c r="D1039" s="7" t="str">
        <f>HYPERLINK("https://data.bls.gov/projections/nationalMatrix?queryParams=51-9190&amp;ioType=o", "Projections for 51-9190")</f>
        <v>Projections for 51-9190</v>
      </c>
    </row>
    <row r="1040" spans="1:4" x14ac:dyDescent="0.35">
      <c r="A1040" s="3" t="s">
        <v>2092</v>
      </c>
      <c r="B1040" s="3" t="s">
        <v>2093</v>
      </c>
      <c r="C1040" s="3" t="s">
        <v>65</v>
      </c>
      <c r="D1040" s="7" t="str">
        <f>HYPERLINK("https://data.bls.gov/projections/nationalMatrix?queryParams=51-9191&amp;ioType=o", "Projections for 51-9191")</f>
        <v>Projections for 51-9191</v>
      </c>
    </row>
    <row r="1041" spans="1:4" x14ac:dyDescent="0.35">
      <c r="A1041" s="3" t="s">
        <v>2094</v>
      </c>
      <c r="B1041" s="3" t="s">
        <v>2095</v>
      </c>
      <c r="C1041" s="3" t="s">
        <v>65</v>
      </c>
      <c r="D1041" s="7" t="str">
        <f>HYPERLINK("https://data.bls.gov/projections/nationalMatrix?queryParams=51-9192&amp;ioType=o", "Projections for 51-9192")</f>
        <v>Projections for 51-9192</v>
      </c>
    </row>
    <row r="1042" spans="1:4" x14ac:dyDescent="0.35">
      <c r="A1042" s="3" t="s">
        <v>2096</v>
      </c>
      <c r="B1042" s="3" t="s">
        <v>2097</v>
      </c>
      <c r="C1042" s="3" t="s">
        <v>65</v>
      </c>
      <c r="D1042" s="7" t="str">
        <f>HYPERLINK("https://data.bls.gov/projections/nationalMatrix?queryParams=51-9193&amp;ioType=o", "Projections for 51-9193")</f>
        <v>Projections for 51-9193</v>
      </c>
    </row>
    <row r="1043" spans="1:4" x14ac:dyDescent="0.35">
      <c r="A1043" s="3" t="s">
        <v>2098</v>
      </c>
      <c r="B1043" s="3" t="s">
        <v>2099</v>
      </c>
      <c r="C1043" s="3" t="s">
        <v>65</v>
      </c>
      <c r="D1043" s="7" t="str">
        <f>HYPERLINK("https://data.bls.gov/projections/nationalMatrix?queryParams=51-9194&amp;ioType=o", "Projections for 51-9194")</f>
        <v>Projections for 51-9194</v>
      </c>
    </row>
    <row r="1044" spans="1:4" x14ac:dyDescent="0.35">
      <c r="A1044" s="3" t="s">
        <v>2100</v>
      </c>
      <c r="B1044" s="3" t="s">
        <v>2101</v>
      </c>
      <c r="C1044" s="3" t="s">
        <v>65</v>
      </c>
      <c r="D1044" s="7" t="str">
        <f>HYPERLINK("https://data.bls.gov/projections/nationalMatrix?queryParams=51-9195&amp;ioType=o", "Projections for 51-9195")</f>
        <v>Projections for 51-9195</v>
      </c>
    </row>
    <row r="1045" spans="1:4" x14ac:dyDescent="0.35">
      <c r="A1045" s="3" t="s">
        <v>2102</v>
      </c>
      <c r="B1045" s="3" t="s">
        <v>2103</v>
      </c>
      <c r="C1045" s="3" t="s">
        <v>65</v>
      </c>
      <c r="D1045" s="7" t="str">
        <f>HYPERLINK("https://data.bls.gov/projections/nationalMatrix?queryParams=51-9196&amp;ioType=o", "Projections for 51-9196")</f>
        <v>Projections for 51-9196</v>
      </c>
    </row>
    <row r="1046" spans="1:4" x14ac:dyDescent="0.35">
      <c r="A1046" s="3" t="s">
        <v>2104</v>
      </c>
      <c r="B1046" s="3" t="s">
        <v>2105</v>
      </c>
      <c r="C1046" s="3" t="s">
        <v>65</v>
      </c>
      <c r="D1046" s="7" t="str">
        <f>HYPERLINK("https://data.bls.gov/projections/nationalMatrix?queryParams=51-9197&amp;ioType=o", "Projections for 51-9197")</f>
        <v>Projections for 51-9197</v>
      </c>
    </row>
    <row r="1047" spans="1:4" x14ac:dyDescent="0.35">
      <c r="A1047" s="3" t="s">
        <v>2106</v>
      </c>
      <c r="B1047" s="3" t="s">
        <v>2107</v>
      </c>
      <c r="C1047" s="3" t="s">
        <v>65</v>
      </c>
      <c r="D1047" s="7" t="str">
        <f>HYPERLINK("https://data.bls.gov/projections/nationalMatrix?queryParams=51-9198&amp;ioType=o", "Projections for 51-9198")</f>
        <v>Projections for 51-9198</v>
      </c>
    </row>
    <row r="1048" spans="1:4" x14ac:dyDescent="0.35">
      <c r="A1048" s="3" t="s">
        <v>2108</v>
      </c>
      <c r="B1048" s="3" t="s">
        <v>2109</v>
      </c>
      <c r="C1048" s="3" t="s">
        <v>65</v>
      </c>
      <c r="D1048" s="7" t="str">
        <f>HYPERLINK("https://data.bls.gov/projections/nationalMatrix?queryParams=51-9199&amp;ioType=o", "Projections for 51-9199")</f>
        <v>Projections for 51-9199</v>
      </c>
    </row>
    <row r="1049" spans="1:4" x14ac:dyDescent="0.35">
      <c r="A1049" s="3" t="s">
        <v>50</v>
      </c>
      <c r="B1049" s="3" t="s">
        <v>51</v>
      </c>
      <c r="C1049" s="3" t="s">
        <v>60</v>
      </c>
      <c r="D1049" s="7" t="str">
        <f>HYPERLINK("https://data.bls.gov/projections/nationalMatrix?queryParams=53-0000&amp;ioType=o", "Projections for 53-0000")</f>
        <v>Projections for 53-0000</v>
      </c>
    </row>
    <row r="1050" spans="1:4" x14ac:dyDescent="0.35">
      <c r="A1050" s="3" t="s">
        <v>2110</v>
      </c>
      <c r="B1050" s="3" t="s">
        <v>2111</v>
      </c>
      <c r="C1050" s="3" t="s">
        <v>60</v>
      </c>
      <c r="D1050" s="7" t="str">
        <f>HYPERLINK("https://data.bls.gov/projections/nationalMatrix?queryParams=53-1000&amp;ioType=o", "Projections for 53-1000")</f>
        <v>Projections for 53-1000</v>
      </c>
    </row>
    <row r="1051" spans="1:4" x14ac:dyDescent="0.35">
      <c r="A1051" s="3" t="s">
        <v>2112</v>
      </c>
      <c r="B1051" s="3" t="s">
        <v>2113</v>
      </c>
      <c r="C1051" s="3" t="s">
        <v>65</v>
      </c>
      <c r="D1051" s="7" t="str">
        <f>HYPERLINK("https://data.bls.gov/projections/nationalMatrix?queryParams=53-1041&amp;ioType=o", "Projections for 53-1041")</f>
        <v>Projections for 53-1041</v>
      </c>
    </row>
    <row r="1052" spans="1:4" x14ac:dyDescent="0.35">
      <c r="A1052" s="3" t="s">
        <v>2114</v>
      </c>
      <c r="B1052" s="3" t="s">
        <v>2115</v>
      </c>
      <c r="C1052" s="3" t="s">
        <v>65</v>
      </c>
      <c r="D1052" s="7" t="str">
        <f>HYPERLINK("https://data.bls.gov/projections/nationalMatrix?queryParams=53-1047&amp;ioType=o", "Projections for 53-1047")</f>
        <v>Projections for 53-1047</v>
      </c>
    </row>
    <row r="1053" spans="1:4" x14ac:dyDescent="0.35">
      <c r="A1053" s="3" t="s">
        <v>2116</v>
      </c>
      <c r="B1053" s="3" t="s">
        <v>2117</v>
      </c>
      <c r="C1053" s="3" t="s">
        <v>60</v>
      </c>
      <c r="D1053" s="7" t="str">
        <f>HYPERLINK("https://data.bls.gov/projections/nationalMatrix?queryParams=53-2000&amp;ioType=o", "Projections for 53-2000")</f>
        <v>Projections for 53-2000</v>
      </c>
    </row>
    <row r="1054" spans="1:4" x14ac:dyDescent="0.35">
      <c r="A1054" s="3" t="s">
        <v>2118</v>
      </c>
      <c r="B1054" s="3" t="s">
        <v>2119</v>
      </c>
      <c r="C1054" s="3" t="s">
        <v>60</v>
      </c>
      <c r="D1054" s="7" t="str">
        <f>HYPERLINK("https://data.bls.gov/projections/nationalMatrix?queryParams=53-2010&amp;ioType=o", "Projections for 53-2010")</f>
        <v>Projections for 53-2010</v>
      </c>
    </row>
    <row r="1055" spans="1:4" x14ac:dyDescent="0.35">
      <c r="A1055" s="3" t="s">
        <v>2120</v>
      </c>
      <c r="B1055" s="3" t="s">
        <v>2121</v>
      </c>
      <c r="C1055" s="3" t="s">
        <v>65</v>
      </c>
      <c r="D1055" s="7" t="str">
        <f>HYPERLINK("https://data.bls.gov/projections/nationalMatrix?queryParams=53-2011&amp;ioType=o", "Projections for 53-2011")</f>
        <v>Projections for 53-2011</v>
      </c>
    </row>
    <row r="1056" spans="1:4" x14ac:dyDescent="0.35">
      <c r="A1056" s="3" t="s">
        <v>2122</v>
      </c>
      <c r="B1056" s="3" t="s">
        <v>2123</v>
      </c>
      <c r="C1056" s="3" t="s">
        <v>65</v>
      </c>
      <c r="D1056" s="7" t="str">
        <f>HYPERLINK("https://data.bls.gov/projections/nationalMatrix?queryParams=53-2012&amp;ioType=o", "Projections for 53-2012")</f>
        <v>Projections for 53-2012</v>
      </c>
    </row>
    <row r="1057" spans="1:4" x14ac:dyDescent="0.35">
      <c r="A1057" s="3" t="s">
        <v>2124</v>
      </c>
      <c r="B1057" s="3" t="s">
        <v>2125</v>
      </c>
      <c r="C1057" s="3" t="s">
        <v>60</v>
      </c>
      <c r="D1057" s="7" t="str">
        <f>HYPERLINK("https://data.bls.gov/projections/nationalMatrix?queryParams=53-2020&amp;ioType=o", "Projections for 53-2020")</f>
        <v>Projections for 53-2020</v>
      </c>
    </row>
    <row r="1058" spans="1:4" x14ac:dyDescent="0.35">
      <c r="A1058" s="3" t="s">
        <v>2126</v>
      </c>
      <c r="B1058" s="3" t="s">
        <v>2127</v>
      </c>
      <c r="C1058" s="3" t="s">
        <v>65</v>
      </c>
      <c r="D1058" s="7" t="str">
        <f>HYPERLINK("https://data.bls.gov/projections/nationalMatrix?queryParams=53-2021&amp;ioType=o", "Projections for 53-2021")</f>
        <v>Projections for 53-2021</v>
      </c>
    </row>
    <row r="1059" spans="1:4" x14ac:dyDescent="0.35">
      <c r="A1059" s="3" t="s">
        <v>2128</v>
      </c>
      <c r="B1059" s="3" t="s">
        <v>2129</v>
      </c>
      <c r="C1059" s="3" t="s">
        <v>65</v>
      </c>
      <c r="D1059" s="7" t="str">
        <f>HYPERLINK("https://data.bls.gov/projections/nationalMatrix?queryParams=53-2022&amp;ioType=o", "Projections for 53-2022")</f>
        <v>Projections for 53-2022</v>
      </c>
    </row>
    <row r="1060" spans="1:4" x14ac:dyDescent="0.35">
      <c r="A1060" s="3" t="s">
        <v>2130</v>
      </c>
      <c r="B1060" s="3" t="s">
        <v>2131</v>
      </c>
      <c r="C1060" s="3" t="s">
        <v>65</v>
      </c>
      <c r="D1060" s="7" t="str">
        <f>HYPERLINK("https://data.bls.gov/projections/nationalMatrix?queryParams=53-2031&amp;ioType=o", "Projections for 53-2031")</f>
        <v>Projections for 53-2031</v>
      </c>
    </row>
    <row r="1061" spans="1:4" x14ac:dyDescent="0.35">
      <c r="A1061" s="3" t="s">
        <v>2132</v>
      </c>
      <c r="B1061" s="3" t="s">
        <v>2133</v>
      </c>
      <c r="C1061" s="3" t="s">
        <v>60</v>
      </c>
      <c r="D1061" s="7" t="str">
        <f>HYPERLINK("https://data.bls.gov/projections/nationalMatrix?queryParams=53-3000&amp;ioType=o", "Projections for 53-3000")</f>
        <v>Projections for 53-3000</v>
      </c>
    </row>
    <row r="1062" spans="1:4" x14ac:dyDescent="0.35">
      <c r="A1062" s="3" t="s">
        <v>2134</v>
      </c>
      <c r="B1062" s="3" t="s">
        <v>2135</v>
      </c>
      <c r="C1062" s="3" t="s">
        <v>65</v>
      </c>
      <c r="D1062" s="7" t="str">
        <f>HYPERLINK("https://data.bls.gov/projections/nationalMatrix?queryParams=53-3011&amp;ioType=o", "Projections for 53-3011")</f>
        <v>Projections for 53-3011</v>
      </c>
    </row>
    <row r="1063" spans="1:4" x14ac:dyDescent="0.35">
      <c r="A1063" s="3" t="s">
        <v>2136</v>
      </c>
      <c r="B1063" s="3" t="s">
        <v>2137</v>
      </c>
      <c r="C1063" s="3" t="s">
        <v>60</v>
      </c>
      <c r="D1063" s="7" t="str">
        <f>HYPERLINK("https://data.bls.gov/projections/nationalMatrix?queryParams=53-3030&amp;ioType=o", "Projections for 53-3030")</f>
        <v>Projections for 53-3030</v>
      </c>
    </row>
    <row r="1064" spans="1:4" x14ac:dyDescent="0.35">
      <c r="A1064" s="3" t="s">
        <v>2138</v>
      </c>
      <c r="B1064" s="3" t="s">
        <v>2139</v>
      </c>
      <c r="C1064" s="3" t="s">
        <v>65</v>
      </c>
      <c r="D1064" s="7" t="str">
        <f>HYPERLINK("https://data.bls.gov/projections/nationalMatrix?queryParams=53-3031&amp;ioType=o", "Projections for 53-3031")</f>
        <v>Projections for 53-3031</v>
      </c>
    </row>
    <row r="1065" spans="1:4" x14ac:dyDescent="0.35">
      <c r="A1065" s="3" t="s">
        <v>2140</v>
      </c>
      <c r="B1065" s="3" t="s">
        <v>2141</v>
      </c>
      <c r="C1065" s="3" t="s">
        <v>65</v>
      </c>
      <c r="D1065" s="7" t="str">
        <f>HYPERLINK("https://data.bls.gov/projections/nationalMatrix?queryParams=53-3032&amp;ioType=o", "Projections for 53-3032")</f>
        <v>Projections for 53-3032</v>
      </c>
    </row>
    <row r="1066" spans="1:4" x14ac:dyDescent="0.35">
      <c r="A1066" s="3" t="s">
        <v>2142</v>
      </c>
      <c r="B1066" s="3" t="s">
        <v>2143</v>
      </c>
      <c r="C1066" s="3" t="s">
        <v>65</v>
      </c>
      <c r="D1066" s="7" t="str">
        <f>HYPERLINK("https://data.bls.gov/projections/nationalMatrix?queryParams=53-3033&amp;ioType=o", "Projections for 53-3033")</f>
        <v>Projections for 53-3033</v>
      </c>
    </row>
    <row r="1067" spans="1:4" x14ac:dyDescent="0.35">
      <c r="A1067" s="3" t="s">
        <v>2144</v>
      </c>
      <c r="B1067" s="3" t="s">
        <v>2145</v>
      </c>
      <c r="C1067" s="3" t="s">
        <v>60</v>
      </c>
      <c r="D1067" s="7" t="str">
        <f>HYPERLINK("https://data.bls.gov/projections/nationalMatrix?queryParams=53-3050&amp;ioType=o", "Projections for 53-3050")</f>
        <v>Projections for 53-3050</v>
      </c>
    </row>
    <row r="1068" spans="1:4" x14ac:dyDescent="0.35">
      <c r="A1068" s="3" t="s">
        <v>2146</v>
      </c>
      <c r="B1068" s="3" t="s">
        <v>2147</v>
      </c>
      <c r="C1068" s="3" t="s">
        <v>65</v>
      </c>
      <c r="D1068" s="7" t="str">
        <f>HYPERLINK("https://data.bls.gov/projections/nationalMatrix?queryParams=53-3051&amp;ioType=o", "Projections for 53-3051")</f>
        <v>Projections for 53-3051</v>
      </c>
    </row>
    <row r="1069" spans="1:4" x14ac:dyDescent="0.35">
      <c r="A1069" s="3" t="s">
        <v>2148</v>
      </c>
      <c r="B1069" s="3" t="s">
        <v>2149</v>
      </c>
      <c r="C1069" s="3" t="s">
        <v>65</v>
      </c>
      <c r="D1069" s="7" t="str">
        <f>HYPERLINK("https://data.bls.gov/projections/nationalMatrix?queryParams=53-3052&amp;ioType=o", "Projections for 53-3052")</f>
        <v>Projections for 53-3052</v>
      </c>
    </row>
    <row r="1070" spans="1:4" x14ac:dyDescent="0.35">
      <c r="A1070" s="3" t="s">
        <v>2150</v>
      </c>
      <c r="B1070" s="3" t="s">
        <v>2151</v>
      </c>
      <c r="C1070" s="3" t="s">
        <v>65</v>
      </c>
      <c r="D1070" s="7" t="str">
        <f>HYPERLINK("https://data.bls.gov/projections/nationalMatrix?queryParams=53-3053&amp;ioType=o", "Projections for 53-3053")</f>
        <v>Projections for 53-3053</v>
      </c>
    </row>
    <row r="1071" spans="1:4" x14ac:dyDescent="0.35">
      <c r="A1071" s="3" t="s">
        <v>2152</v>
      </c>
      <c r="B1071" s="3" t="s">
        <v>2153</v>
      </c>
      <c r="C1071" s="3" t="s">
        <v>65</v>
      </c>
      <c r="D1071" s="7" t="str">
        <f>HYPERLINK("https://data.bls.gov/projections/nationalMatrix?queryParams=53-3054&amp;ioType=o", "Projections for 53-3054")</f>
        <v>Projections for 53-3054</v>
      </c>
    </row>
    <row r="1072" spans="1:4" x14ac:dyDescent="0.35">
      <c r="A1072" s="3" t="s">
        <v>2154</v>
      </c>
      <c r="B1072" s="3" t="s">
        <v>2155</v>
      </c>
      <c r="C1072" s="3" t="s">
        <v>65</v>
      </c>
      <c r="D1072" s="7" t="str">
        <f>HYPERLINK("https://data.bls.gov/projections/nationalMatrix?queryParams=53-3099&amp;ioType=o", "Projections for 53-3099")</f>
        <v>Projections for 53-3099</v>
      </c>
    </row>
    <row r="1073" spans="1:4" x14ac:dyDescent="0.35">
      <c r="A1073" s="3" t="s">
        <v>2156</v>
      </c>
      <c r="B1073" s="3" t="s">
        <v>2157</v>
      </c>
      <c r="C1073" s="3" t="s">
        <v>60</v>
      </c>
      <c r="D1073" s="7" t="str">
        <f>HYPERLINK("https://data.bls.gov/projections/nationalMatrix?queryParams=53-4000&amp;ioType=o", "Projections for 53-4000")</f>
        <v>Projections for 53-4000</v>
      </c>
    </row>
    <row r="1074" spans="1:4" x14ac:dyDescent="0.35">
      <c r="A1074" s="3" t="s">
        <v>2158</v>
      </c>
      <c r="B1074" s="3" t="s">
        <v>2159</v>
      </c>
      <c r="C1074" s="3" t="s">
        <v>60</v>
      </c>
      <c r="D1074" s="7" t="str">
        <f>HYPERLINK("https://data.bls.gov/projections/nationalMatrix?queryParams=53-4010&amp;ioType=o", "Projections for 53-4010")</f>
        <v>Projections for 53-4010</v>
      </c>
    </row>
    <row r="1075" spans="1:4" x14ac:dyDescent="0.35">
      <c r="A1075" s="3" t="s">
        <v>2160</v>
      </c>
      <c r="B1075" s="3" t="s">
        <v>2161</v>
      </c>
      <c r="C1075" s="3" t="s">
        <v>65</v>
      </c>
      <c r="D1075" s="7" t="str">
        <f>HYPERLINK("https://data.bls.gov/projections/nationalMatrix?queryParams=53-4011&amp;ioType=o", "Projections for 53-4011")</f>
        <v>Projections for 53-4011</v>
      </c>
    </row>
    <row r="1076" spans="1:4" x14ac:dyDescent="0.35">
      <c r="A1076" s="3" t="s">
        <v>2162</v>
      </c>
      <c r="B1076" s="3" t="s">
        <v>2163</v>
      </c>
      <c r="C1076" s="3" t="s">
        <v>65</v>
      </c>
      <c r="D1076" s="7" t="str">
        <f>HYPERLINK("https://data.bls.gov/projections/nationalMatrix?queryParams=53-4013&amp;ioType=o", "Projections for 53-4013")</f>
        <v>Projections for 53-4013</v>
      </c>
    </row>
    <row r="1077" spans="1:4" x14ac:dyDescent="0.35">
      <c r="A1077" s="3" t="s">
        <v>2164</v>
      </c>
      <c r="B1077" s="3" t="s">
        <v>2165</v>
      </c>
      <c r="C1077" s="3" t="s">
        <v>65</v>
      </c>
      <c r="D1077" s="7" t="str">
        <f>HYPERLINK("https://data.bls.gov/projections/nationalMatrix?queryParams=53-4022&amp;ioType=o", "Projections for 53-4022")</f>
        <v>Projections for 53-4022</v>
      </c>
    </row>
    <row r="1078" spans="1:4" x14ac:dyDescent="0.35">
      <c r="A1078" s="3" t="s">
        <v>2166</v>
      </c>
      <c r="B1078" s="3" t="s">
        <v>2167</v>
      </c>
      <c r="C1078" s="3" t="s">
        <v>65</v>
      </c>
      <c r="D1078" s="7" t="str">
        <f>HYPERLINK("https://data.bls.gov/projections/nationalMatrix?queryParams=53-4031&amp;ioType=o", "Projections for 53-4031")</f>
        <v>Projections for 53-4031</v>
      </c>
    </row>
    <row r="1079" spans="1:4" x14ac:dyDescent="0.35">
      <c r="A1079" s="3" t="s">
        <v>2168</v>
      </c>
      <c r="B1079" s="3" t="s">
        <v>2169</v>
      </c>
      <c r="C1079" s="3" t="s">
        <v>65</v>
      </c>
      <c r="D1079" s="7" t="str">
        <f>HYPERLINK("https://data.bls.gov/projections/nationalMatrix?queryParams=53-4041&amp;ioType=o", "Projections for 53-4041")</f>
        <v>Projections for 53-4041</v>
      </c>
    </row>
    <row r="1080" spans="1:4" x14ac:dyDescent="0.35">
      <c r="A1080" s="3" t="s">
        <v>2170</v>
      </c>
      <c r="B1080" s="3" t="s">
        <v>2171</v>
      </c>
      <c r="C1080" s="3" t="s">
        <v>65</v>
      </c>
      <c r="D1080" s="7" t="str">
        <f>HYPERLINK("https://data.bls.gov/projections/nationalMatrix?queryParams=53-4099&amp;ioType=o", "Projections for 53-4099")</f>
        <v>Projections for 53-4099</v>
      </c>
    </row>
    <row r="1081" spans="1:4" x14ac:dyDescent="0.35">
      <c r="A1081" s="3" t="s">
        <v>2172</v>
      </c>
      <c r="B1081" s="3" t="s">
        <v>2173</v>
      </c>
      <c r="C1081" s="3" t="s">
        <v>60</v>
      </c>
      <c r="D1081" s="7" t="str">
        <f>HYPERLINK("https://data.bls.gov/projections/nationalMatrix?queryParams=53-5000&amp;ioType=o", "Projections for 53-5000")</f>
        <v>Projections for 53-5000</v>
      </c>
    </row>
    <row r="1082" spans="1:4" x14ac:dyDescent="0.35">
      <c r="A1082" s="3" t="s">
        <v>2174</v>
      </c>
      <c r="B1082" s="3" t="s">
        <v>2175</v>
      </c>
      <c r="C1082" s="3" t="s">
        <v>65</v>
      </c>
      <c r="D1082" s="7" t="str">
        <f>HYPERLINK("https://data.bls.gov/projections/nationalMatrix?queryParams=53-5011&amp;ioType=o", "Projections for 53-5011")</f>
        <v>Projections for 53-5011</v>
      </c>
    </row>
    <row r="1083" spans="1:4" x14ac:dyDescent="0.35">
      <c r="A1083" s="3" t="s">
        <v>2176</v>
      </c>
      <c r="B1083" s="3" t="s">
        <v>2177</v>
      </c>
      <c r="C1083" s="3" t="s">
        <v>60</v>
      </c>
      <c r="D1083" s="7" t="str">
        <f>HYPERLINK("https://data.bls.gov/projections/nationalMatrix?queryParams=53-5020&amp;ioType=o", "Projections for 53-5020")</f>
        <v>Projections for 53-5020</v>
      </c>
    </row>
    <row r="1084" spans="1:4" x14ac:dyDescent="0.35">
      <c r="A1084" s="3" t="s">
        <v>2178</v>
      </c>
      <c r="B1084" s="3" t="s">
        <v>2179</v>
      </c>
      <c r="C1084" s="3" t="s">
        <v>65</v>
      </c>
      <c r="D1084" s="7" t="str">
        <f>HYPERLINK("https://data.bls.gov/projections/nationalMatrix?queryParams=53-5021&amp;ioType=o", "Projections for 53-5021")</f>
        <v>Projections for 53-5021</v>
      </c>
    </row>
    <row r="1085" spans="1:4" x14ac:dyDescent="0.35">
      <c r="A1085" s="3" t="s">
        <v>2180</v>
      </c>
      <c r="B1085" s="3" t="s">
        <v>2181</v>
      </c>
      <c r="C1085" s="3" t="s">
        <v>65</v>
      </c>
      <c r="D1085" s="7" t="str">
        <f>HYPERLINK("https://data.bls.gov/projections/nationalMatrix?queryParams=53-5022&amp;ioType=o", "Projections for 53-5022")</f>
        <v>Projections for 53-5022</v>
      </c>
    </row>
    <row r="1086" spans="1:4" x14ac:dyDescent="0.35">
      <c r="A1086" s="3" t="s">
        <v>2182</v>
      </c>
      <c r="B1086" s="3" t="s">
        <v>2183</v>
      </c>
      <c r="C1086" s="3" t="s">
        <v>65</v>
      </c>
      <c r="D1086" s="7" t="str">
        <f>HYPERLINK("https://data.bls.gov/projections/nationalMatrix?queryParams=53-5031&amp;ioType=o", "Projections for 53-5031")</f>
        <v>Projections for 53-5031</v>
      </c>
    </row>
    <row r="1087" spans="1:4" x14ac:dyDescent="0.35">
      <c r="A1087" s="3" t="s">
        <v>2184</v>
      </c>
      <c r="B1087" s="3" t="s">
        <v>2185</v>
      </c>
      <c r="C1087" s="3" t="s">
        <v>60</v>
      </c>
      <c r="D1087" s="7" t="str">
        <f>HYPERLINK("https://data.bls.gov/projections/nationalMatrix?queryParams=53-6000&amp;ioType=o", "Projections for 53-6000")</f>
        <v>Projections for 53-6000</v>
      </c>
    </row>
    <row r="1088" spans="1:4" x14ac:dyDescent="0.35">
      <c r="A1088" s="3" t="s">
        <v>2186</v>
      </c>
      <c r="B1088" s="3" t="s">
        <v>2187</v>
      </c>
      <c r="C1088" s="3" t="s">
        <v>65</v>
      </c>
      <c r="D1088" s="7" t="str">
        <f>HYPERLINK("https://data.bls.gov/projections/nationalMatrix?queryParams=53-6011&amp;ioType=o", "Projections for 53-6011")</f>
        <v>Projections for 53-6011</v>
      </c>
    </row>
    <row r="1089" spans="1:4" x14ac:dyDescent="0.35">
      <c r="A1089" s="3" t="s">
        <v>2188</v>
      </c>
      <c r="B1089" s="3" t="s">
        <v>2189</v>
      </c>
      <c r="C1089" s="3" t="s">
        <v>65</v>
      </c>
      <c r="D1089" s="7" t="str">
        <f>HYPERLINK("https://data.bls.gov/projections/nationalMatrix?queryParams=53-6021&amp;ioType=o", "Projections for 53-6021")</f>
        <v>Projections for 53-6021</v>
      </c>
    </row>
    <row r="1090" spans="1:4" x14ac:dyDescent="0.35">
      <c r="A1090" s="3" t="s">
        <v>2190</v>
      </c>
      <c r="B1090" s="3" t="s">
        <v>2191</v>
      </c>
      <c r="C1090" s="3" t="s">
        <v>60</v>
      </c>
      <c r="D1090" s="7" t="str">
        <f>HYPERLINK("https://data.bls.gov/projections/nationalMatrix?queryParams=53-6030&amp;ioType=o", "Projections for 53-6030")</f>
        <v>Projections for 53-6030</v>
      </c>
    </row>
    <row r="1091" spans="1:4" x14ac:dyDescent="0.35">
      <c r="A1091" s="3" t="s">
        <v>2192</v>
      </c>
      <c r="B1091" s="3" t="s">
        <v>2193</v>
      </c>
      <c r="C1091" s="3" t="s">
        <v>65</v>
      </c>
      <c r="D1091" s="7" t="str">
        <f>HYPERLINK("https://data.bls.gov/projections/nationalMatrix?queryParams=53-6031&amp;ioType=o", "Projections for 53-6031")</f>
        <v>Projections for 53-6031</v>
      </c>
    </row>
    <row r="1092" spans="1:4" x14ac:dyDescent="0.35">
      <c r="A1092" s="3" t="s">
        <v>2194</v>
      </c>
      <c r="B1092" s="3" t="s">
        <v>2195</v>
      </c>
      <c r="C1092" s="3" t="s">
        <v>65</v>
      </c>
      <c r="D1092" s="7" t="str">
        <f>HYPERLINK("https://data.bls.gov/projections/nationalMatrix?queryParams=53-6032&amp;ioType=o", "Projections for 53-6032")</f>
        <v>Projections for 53-6032</v>
      </c>
    </row>
    <row r="1093" spans="1:4" x14ac:dyDescent="0.35">
      <c r="A1093" s="3" t="s">
        <v>2196</v>
      </c>
      <c r="B1093" s="3" t="s">
        <v>2197</v>
      </c>
      <c r="C1093" s="3" t="s">
        <v>65</v>
      </c>
      <c r="D1093" s="7" t="str">
        <f>HYPERLINK("https://data.bls.gov/projections/nationalMatrix?queryParams=53-6041&amp;ioType=o", "Projections for 53-6041")</f>
        <v>Projections for 53-6041</v>
      </c>
    </row>
    <row r="1094" spans="1:4" x14ac:dyDescent="0.35">
      <c r="A1094" s="3" t="s">
        <v>2198</v>
      </c>
      <c r="B1094" s="3" t="s">
        <v>2199</v>
      </c>
      <c r="C1094" s="3" t="s">
        <v>65</v>
      </c>
      <c r="D1094" s="7" t="str">
        <f>HYPERLINK("https://data.bls.gov/projections/nationalMatrix?queryParams=53-6051&amp;ioType=o", "Projections for 53-6051")</f>
        <v>Projections for 53-6051</v>
      </c>
    </row>
    <row r="1095" spans="1:4" x14ac:dyDescent="0.35">
      <c r="A1095" s="3" t="s">
        <v>2200</v>
      </c>
      <c r="B1095" s="3" t="s">
        <v>2201</v>
      </c>
      <c r="C1095" s="3" t="s">
        <v>65</v>
      </c>
      <c r="D1095" s="7" t="str">
        <f>HYPERLINK("https://data.bls.gov/projections/nationalMatrix?queryParams=53-6061&amp;ioType=o", "Projections for 53-6061")</f>
        <v>Projections for 53-6061</v>
      </c>
    </row>
    <row r="1096" spans="1:4" x14ac:dyDescent="0.35">
      <c r="A1096" s="3" t="s">
        <v>2202</v>
      </c>
      <c r="B1096" s="3" t="s">
        <v>2203</v>
      </c>
      <c r="C1096" s="3" t="s">
        <v>65</v>
      </c>
      <c r="D1096" s="7" t="str">
        <f>HYPERLINK("https://data.bls.gov/projections/nationalMatrix?queryParams=53-6099&amp;ioType=o", "Projections for 53-6099")</f>
        <v>Projections for 53-6099</v>
      </c>
    </row>
    <row r="1097" spans="1:4" x14ac:dyDescent="0.35">
      <c r="A1097" s="3" t="s">
        <v>2204</v>
      </c>
      <c r="B1097" s="3" t="s">
        <v>2205</v>
      </c>
      <c r="C1097" s="3" t="s">
        <v>60</v>
      </c>
      <c r="D1097" s="7" t="str">
        <f>HYPERLINK("https://data.bls.gov/projections/nationalMatrix?queryParams=53-7000&amp;ioType=o", "Projections for 53-7000")</f>
        <v>Projections for 53-7000</v>
      </c>
    </row>
    <row r="1098" spans="1:4" x14ac:dyDescent="0.35">
      <c r="A1098" s="3" t="s">
        <v>2206</v>
      </c>
      <c r="B1098" s="3" t="s">
        <v>2207</v>
      </c>
      <c r="C1098" s="3" t="s">
        <v>65</v>
      </c>
      <c r="D1098" s="7" t="str">
        <f>HYPERLINK("https://data.bls.gov/projections/nationalMatrix?queryParams=53-7011&amp;ioType=o", "Projections for 53-7011")</f>
        <v>Projections for 53-7011</v>
      </c>
    </row>
    <row r="1099" spans="1:4" x14ac:dyDescent="0.35">
      <c r="A1099" s="3" t="s">
        <v>2208</v>
      </c>
      <c r="B1099" s="3" t="s">
        <v>2209</v>
      </c>
      <c r="C1099" s="3" t="s">
        <v>65</v>
      </c>
      <c r="D1099" s="7" t="str">
        <f>HYPERLINK("https://data.bls.gov/projections/nationalMatrix?queryParams=53-7021&amp;ioType=o", "Projections for 53-7021")</f>
        <v>Projections for 53-7021</v>
      </c>
    </row>
    <row r="1100" spans="1:4" x14ac:dyDescent="0.35">
      <c r="A1100" s="3" t="s">
        <v>2210</v>
      </c>
      <c r="B1100" s="3" t="s">
        <v>2211</v>
      </c>
      <c r="C1100" s="3" t="s">
        <v>65</v>
      </c>
      <c r="D1100" s="7" t="str">
        <f>HYPERLINK("https://data.bls.gov/projections/nationalMatrix?queryParams=53-7031&amp;ioType=o", "Projections for 53-7031")</f>
        <v>Projections for 53-7031</v>
      </c>
    </row>
    <row r="1101" spans="1:4" x14ac:dyDescent="0.35">
      <c r="A1101" s="3" t="s">
        <v>2212</v>
      </c>
      <c r="B1101" s="3" t="s">
        <v>2213</v>
      </c>
      <c r="C1101" s="3" t="s">
        <v>65</v>
      </c>
      <c r="D1101" s="7" t="str">
        <f>HYPERLINK("https://data.bls.gov/projections/nationalMatrix?queryParams=53-7041&amp;ioType=o", "Projections for 53-7041")</f>
        <v>Projections for 53-7041</v>
      </c>
    </row>
    <row r="1102" spans="1:4" x14ac:dyDescent="0.35">
      <c r="A1102" s="3" t="s">
        <v>2214</v>
      </c>
      <c r="B1102" s="3" t="s">
        <v>2215</v>
      </c>
      <c r="C1102" s="3" t="s">
        <v>65</v>
      </c>
      <c r="D1102" s="7" t="str">
        <f>HYPERLINK("https://data.bls.gov/projections/nationalMatrix?queryParams=53-7051&amp;ioType=o", "Projections for 53-7051")</f>
        <v>Projections for 53-7051</v>
      </c>
    </row>
    <row r="1103" spans="1:4" x14ac:dyDescent="0.35">
      <c r="A1103" s="3" t="s">
        <v>2216</v>
      </c>
      <c r="B1103" s="3" t="s">
        <v>2217</v>
      </c>
      <c r="C1103" s="3" t="s">
        <v>60</v>
      </c>
      <c r="D1103" s="7" t="str">
        <f>HYPERLINK("https://data.bls.gov/projections/nationalMatrix?queryParams=53-7060&amp;ioType=o", "Projections for 53-7060")</f>
        <v>Projections for 53-7060</v>
      </c>
    </row>
    <row r="1104" spans="1:4" x14ac:dyDescent="0.35">
      <c r="A1104" s="3" t="s">
        <v>2218</v>
      </c>
      <c r="B1104" s="3" t="s">
        <v>2219</v>
      </c>
      <c r="C1104" s="3" t="s">
        <v>65</v>
      </c>
      <c r="D1104" s="7" t="str">
        <f>HYPERLINK("https://data.bls.gov/projections/nationalMatrix?queryParams=53-7061&amp;ioType=o", "Projections for 53-7061")</f>
        <v>Projections for 53-7061</v>
      </c>
    </row>
    <row r="1105" spans="1:4" x14ac:dyDescent="0.35">
      <c r="A1105" s="3" t="s">
        <v>2220</v>
      </c>
      <c r="B1105" s="3" t="s">
        <v>2221</v>
      </c>
      <c r="C1105" s="3" t="s">
        <v>65</v>
      </c>
      <c r="D1105" s="7" t="str">
        <f>HYPERLINK("https://data.bls.gov/projections/nationalMatrix?queryParams=53-7062&amp;ioType=o", "Projections for 53-7062")</f>
        <v>Projections for 53-7062</v>
      </c>
    </row>
    <row r="1106" spans="1:4" x14ac:dyDescent="0.35">
      <c r="A1106" s="3" t="s">
        <v>2222</v>
      </c>
      <c r="B1106" s="3" t="s">
        <v>2223</v>
      </c>
      <c r="C1106" s="3" t="s">
        <v>65</v>
      </c>
      <c r="D1106" s="7" t="str">
        <f>HYPERLINK("https://data.bls.gov/projections/nationalMatrix?queryParams=53-7063&amp;ioType=o", "Projections for 53-7063")</f>
        <v>Projections for 53-7063</v>
      </c>
    </row>
    <row r="1107" spans="1:4" x14ac:dyDescent="0.35">
      <c r="A1107" s="3" t="s">
        <v>2224</v>
      </c>
      <c r="B1107" s="3" t="s">
        <v>2225</v>
      </c>
      <c r="C1107" s="3" t="s">
        <v>65</v>
      </c>
      <c r="D1107" s="7" t="str">
        <f>HYPERLINK("https://data.bls.gov/projections/nationalMatrix?queryParams=53-7064&amp;ioType=o", "Projections for 53-7064")</f>
        <v>Projections for 53-7064</v>
      </c>
    </row>
    <row r="1108" spans="1:4" x14ac:dyDescent="0.35">
      <c r="A1108" s="3" t="s">
        <v>2226</v>
      </c>
      <c r="B1108" s="3" t="s">
        <v>2227</v>
      </c>
      <c r="C1108" s="3" t="s">
        <v>65</v>
      </c>
      <c r="D1108" s="7" t="str">
        <f>HYPERLINK("https://data.bls.gov/projections/nationalMatrix?queryParams=53-7065&amp;ioType=o", "Projections for 53-7065")</f>
        <v>Projections for 53-7065</v>
      </c>
    </row>
    <row r="1109" spans="1:4" x14ac:dyDescent="0.35">
      <c r="A1109" s="3" t="s">
        <v>2228</v>
      </c>
      <c r="B1109" s="3" t="s">
        <v>2229</v>
      </c>
      <c r="C1109" s="3" t="s">
        <v>60</v>
      </c>
      <c r="D1109" s="7" t="str">
        <f>HYPERLINK("https://data.bls.gov/projections/nationalMatrix?queryParams=53-7070&amp;ioType=o", "Projections for 53-7070")</f>
        <v>Projections for 53-7070</v>
      </c>
    </row>
    <row r="1110" spans="1:4" x14ac:dyDescent="0.35">
      <c r="A1110" s="3" t="s">
        <v>2230</v>
      </c>
      <c r="B1110" s="3" t="s">
        <v>2231</v>
      </c>
      <c r="C1110" s="3" t="s">
        <v>65</v>
      </c>
      <c r="D1110" s="7" t="str">
        <f>HYPERLINK("https://data.bls.gov/projections/nationalMatrix?queryParams=53-7071&amp;ioType=o", "Projections for 53-7071")</f>
        <v>Projections for 53-7071</v>
      </c>
    </row>
    <row r="1111" spans="1:4" x14ac:dyDescent="0.35">
      <c r="A1111" s="3" t="s">
        <v>2232</v>
      </c>
      <c r="B1111" s="3" t="s">
        <v>2233</v>
      </c>
      <c r="C1111" s="3" t="s">
        <v>65</v>
      </c>
      <c r="D1111" s="7" t="str">
        <f>HYPERLINK("https://data.bls.gov/projections/nationalMatrix?queryParams=53-7072&amp;ioType=o", "Projections for 53-7072")</f>
        <v>Projections for 53-7072</v>
      </c>
    </row>
    <row r="1112" spans="1:4" x14ac:dyDescent="0.35">
      <c r="A1112" s="3" t="s">
        <v>2234</v>
      </c>
      <c r="B1112" s="3" t="s">
        <v>2235</v>
      </c>
      <c r="C1112" s="3" t="s">
        <v>65</v>
      </c>
      <c r="D1112" s="7" t="str">
        <f>HYPERLINK("https://data.bls.gov/projections/nationalMatrix?queryParams=53-7073&amp;ioType=o", "Projections for 53-7073")</f>
        <v>Projections for 53-7073</v>
      </c>
    </row>
    <row r="1113" spans="1:4" x14ac:dyDescent="0.35">
      <c r="A1113" s="3" t="s">
        <v>2236</v>
      </c>
      <c r="B1113" s="3" t="s">
        <v>2237</v>
      </c>
      <c r="C1113" s="3" t="s">
        <v>65</v>
      </c>
      <c r="D1113" s="7" t="str">
        <f>HYPERLINK("https://data.bls.gov/projections/nationalMatrix?queryParams=53-7081&amp;ioType=o", "Projections for 53-7081")</f>
        <v>Projections for 53-7081</v>
      </c>
    </row>
    <row r="1114" spans="1:4" x14ac:dyDescent="0.35">
      <c r="A1114" s="3" t="s">
        <v>2238</v>
      </c>
      <c r="B1114" s="3" t="s">
        <v>2239</v>
      </c>
      <c r="C1114" s="3" t="s">
        <v>65</v>
      </c>
      <c r="D1114" s="7" t="str">
        <f>HYPERLINK("https://data.bls.gov/projections/nationalMatrix?queryParams=53-7121&amp;ioType=o", "Projections for 53-7121")</f>
        <v>Projections for 53-7121</v>
      </c>
    </row>
    <row r="1115" spans="1:4" x14ac:dyDescent="0.35">
      <c r="A1115" s="3" t="s">
        <v>2240</v>
      </c>
      <c r="B1115" s="3" t="s">
        <v>2241</v>
      </c>
      <c r="C1115" s="3" t="s">
        <v>65</v>
      </c>
      <c r="D1115" s="7" t="str">
        <f>HYPERLINK("https://data.bls.gov/projections/nationalMatrix?queryParams=53-7199&amp;ioType=o", "Projections for 53-7199")</f>
        <v>Projections for 53-7199</v>
      </c>
    </row>
    <row r="1116" spans="1:4" x14ac:dyDescent="0.35">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cp:lastModifiedBy>Vinaya Kusuma</cp:lastModifiedBy>
  <dcterms:created xsi:type="dcterms:W3CDTF">2023-07-28T19:14:54Z</dcterms:created>
  <dcterms:modified xsi:type="dcterms:W3CDTF">2023-10-14T05:51:06Z</dcterms:modified>
</cp:coreProperties>
</file>