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20" activeTab="2"/>
  </bookViews>
  <sheets>
    <sheet name="Assumptions" sheetId="8" r:id="rId1"/>
    <sheet name="cashflow" sheetId="7" r:id="rId2"/>
    <sheet name="ratios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7" l="1"/>
  <c r="D20" i="7"/>
  <c r="J20" i="7"/>
  <c r="K20" i="7"/>
  <c r="L20" i="7"/>
  <c r="S10" i="8"/>
  <c r="S9" i="8"/>
  <c r="S8" i="8"/>
  <c r="S24" i="8"/>
  <c r="T24" i="8" s="1"/>
  <c r="S18" i="8"/>
  <c r="S19" i="8" s="1"/>
  <c r="T18" i="8"/>
  <c r="T17" i="8"/>
  <c r="S17" i="8"/>
  <c r="T16" i="8"/>
  <c r="S25" i="8" l="1"/>
  <c r="T25" i="8" s="1"/>
  <c r="T19" i="8"/>
  <c r="S20" i="8" s="1"/>
  <c r="M36" i="8"/>
  <c r="M32" i="8"/>
  <c r="M31" i="8"/>
  <c r="M33" i="8" s="1"/>
  <c r="F30" i="6"/>
  <c r="E10" i="6"/>
  <c r="E9" i="6"/>
  <c r="E8" i="6"/>
  <c r="E7" i="6"/>
  <c r="E6" i="6"/>
  <c r="E5" i="6"/>
  <c r="E4" i="6"/>
  <c r="T20" i="8" l="1"/>
  <c r="S21" i="8" s="1"/>
  <c r="D7" i="7"/>
  <c r="D8" i="7" s="1"/>
  <c r="E7" i="7"/>
  <c r="E8" i="7" s="1"/>
  <c r="F7" i="7"/>
  <c r="F8" i="7" s="1"/>
  <c r="G7" i="7"/>
  <c r="G8" i="7" s="1"/>
  <c r="H7" i="7"/>
  <c r="H8" i="7" s="1"/>
  <c r="I7" i="7"/>
  <c r="I8" i="7" s="1"/>
  <c r="J7" i="7"/>
  <c r="J8" i="7" s="1"/>
  <c r="K7" i="7"/>
  <c r="K8" i="7" s="1"/>
  <c r="L7" i="7"/>
  <c r="L8" i="7" s="1"/>
  <c r="C7" i="7"/>
  <c r="C8" i="7" s="1"/>
  <c r="D6" i="7"/>
  <c r="E6" i="7"/>
  <c r="F6" i="7"/>
  <c r="G6" i="7"/>
  <c r="H6" i="7"/>
  <c r="I6" i="7"/>
  <c r="J6" i="7"/>
  <c r="K6" i="7"/>
  <c r="L6" i="7"/>
  <c r="C6" i="7"/>
  <c r="T21" i="8" l="1"/>
  <c r="S22" i="8" s="1"/>
  <c r="C36" i="8"/>
  <c r="D30" i="6"/>
  <c r="F12" i="7"/>
  <c r="F20" i="7" s="1"/>
  <c r="G12" i="7"/>
  <c r="G20" i="7" s="1"/>
  <c r="H12" i="7"/>
  <c r="H20" i="7" s="1"/>
  <c r="I12" i="7"/>
  <c r="I20" i="7" s="1"/>
  <c r="E12" i="7"/>
  <c r="E20" i="7" s="1"/>
  <c r="C30" i="8"/>
  <c r="D30" i="8"/>
  <c r="E30" i="8"/>
  <c r="B30" i="8"/>
  <c r="C26" i="8"/>
  <c r="B26" i="8" s="1"/>
  <c r="D26" i="8" s="1"/>
  <c r="C25" i="8"/>
  <c r="B25" i="8" s="1"/>
  <c r="D25" i="8" s="1"/>
  <c r="C24" i="8"/>
  <c r="B24" i="8" s="1"/>
  <c r="D24" i="8" s="1"/>
  <c r="C23" i="8"/>
  <c r="B23" i="8" s="1"/>
  <c r="D23" i="8" s="1"/>
  <c r="D19" i="8"/>
  <c r="D20" i="8"/>
  <c r="D21" i="8"/>
  <c r="D22" i="8"/>
  <c r="D18" i="8"/>
  <c r="C20" i="8"/>
  <c r="C21" i="8"/>
  <c r="C22" i="8"/>
  <c r="C19" i="8"/>
  <c r="O27" i="8"/>
  <c r="O26" i="8"/>
  <c r="O28" i="8" s="1"/>
  <c r="O24" i="8"/>
  <c r="P24" i="8" s="1"/>
  <c r="N22" i="8"/>
  <c r="O22" i="8"/>
  <c r="P18" i="8"/>
  <c r="P19" i="8"/>
  <c r="P20" i="8"/>
  <c r="P21" i="8"/>
  <c r="P17" i="8"/>
  <c r="T22" i="8" l="1"/>
  <c r="S23" i="8" s="1"/>
  <c r="T23" i="8" s="1"/>
  <c r="P22" i="8"/>
  <c r="F39" i="6"/>
  <c r="F38" i="6"/>
  <c r="F37" i="6"/>
  <c r="F36" i="6"/>
  <c r="F35" i="6"/>
  <c r="F34" i="6"/>
  <c r="F33" i="6"/>
  <c r="F32" i="6"/>
  <c r="F31" i="6"/>
  <c r="D39" i="6"/>
  <c r="D38" i="6"/>
  <c r="D37" i="6"/>
  <c r="D36" i="6"/>
  <c r="D35" i="6"/>
  <c r="D34" i="6"/>
  <c r="D32" i="6"/>
  <c r="D33" i="6"/>
  <c r="D31" i="6"/>
  <c r="F40" i="6" l="1"/>
  <c r="D40" i="6"/>
  <c r="E41" i="6" s="1"/>
  <c r="J20" i="6" l="1"/>
  <c r="J22" i="6" s="1"/>
  <c r="K20" i="6"/>
  <c r="K22" i="6" s="1"/>
  <c r="L20" i="6"/>
  <c r="L22" i="6" s="1"/>
  <c r="N14" i="8"/>
  <c r="J30" i="7"/>
  <c r="K30" i="7"/>
  <c r="L30" i="7"/>
  <c r="C20" i="6" l="1"/>
  <c r="C22" i="6" s="1"/>
  <c r="D20" i="6"/>
  <c r="D22" i="6" s="1"/>
  <c r="E20" i="6"/>
  <c r="E22" i="6" s="1"/>
  <c r="F20" i="6"/>
  <c r="F22" i="6" s="1"/>
  <c r="G20" i="6"/>
  <c r="G22" i="6" s="1"/>
  <c r="H20" i="6"/>
  <c r="H22" i="6" s="1"/>
  <c r="I20" i="6"/>
  <c r="I22" i="6" s="1"/>
  <c r="I30" i="7"/>
  <c r="H30" i="7"/>
  <c r="G30" i="7"/>
  <c r="F30" i="7"/>
  <c r="E30" i="7"/>
  <c r="D30" i="7"/>
  <c r="C30" i="7"/>
  <c r="C26" i="6" l="1"/>
  <c r="C24" i="6"/>
  <c r="C31" i="7" l="1"/>
  <c r="K31" i="7"/>
  <c r="J31" i="7"/>
  <c r="G31" i="7"/>
  <c r="E31" i="7"/>
  <c r="H31" i="7"/>
  <c r="L31" i="7"/>
  <c r="F31" i="7"/>
  <c r="I31" i="7"/>
  <c r="D31" i="7"/>
</calcChain>
</file>

<file path=xl/sharedStrings.xml><?xml version="1.0" encoding="utf-8"?>
<sst xmlns="http://schemas.openxmlformats.org/spreadsheetml/2006/main" count="132" uniqueCount="129">
  <si>
    <t>Sl.No.</t>
  </si>
  <si>
    <t>Particulars</t>
  </si>
  <si>
    <t>Capacity ( MT )</t>
  </si>
  <si>
    <t>A. INCOME</t>
  </si>
  <si>
    <t>Total</t>
  </si>
  <si>
    <t>B. EXPENDITURE</t>
  </si>
  <si>
    <t>SUB TOTAL</t>
  </si>
  <si>
    <t>Major commodities</t>
  </si>
  <si>
    <t>Soybean</t>
  </si>
  <si>
    <t>20% capacity shal be used for storage of own produce</t>
  </si>
  <si>
    <t>Chana</t>
  </si>
  <si>
    <t>Tur</t>
  </si>
  <si>
    <t>Black gram</t>
  </si>
  <si>
    <t>Green gram</t>
  </si>
  <si>
    <t>maximum storage for 10 months</t>
  </si>
  <si>
    <t xml:space="preserve">financial analysis considered for different crops like soybean, chana, tur </t>
  </si>
  <si>
    <t>cost of construction 1.2 cr</t>
  </si>
  <si>
    <t xml:space="preserve">seed capital </t>
  </si>
  <si>
    <t>FPO</t>
  </si>
  <si>
    <t>loan</t>
  </si>
  <si>
    <t xml:space="preserve">interest rate </t>
  </si>
  <si>
    <t>Cash Flow Statement for for 1000 MT godown</t>
  </si>
  <si>
    <t>Sr no.</t>
  </si>
  <si>
    <t>Benefits</t>
  </si>
  <si>
    <t>IRR</t>
  </si>
  <si>
    <t>BCR</t>
  </si>
  <si>
    <t>: 1</t>
  </si>
  <si>
    <t>CALCULATION OF IRR, BCR, NPW - 1000 MT CAPACITY GRAIN STORAGE GODOWN</t>
  </si>
  <si>
    <t>Capital Cost</t>
  </si>
  <si>
    <t>Recurring Cost</t>
  </si>
  <si>
    <t>Discounting Factor</t>
  </si>
  <si>
    <t>loan repayment</t>
  </si>
  <si>
    <t>Capacity Utilization (MT)</t>
  </si>
  <si>
    <t>C. GROSS SURPLUS</t>
  </si>
  <si>
    <t>fumigation</t>
  </si>
  <si>
    <t>Prophylactic treatment (spraying of insecticide)</t>
  </si>
  <si>
    <t>Curative treatment (fumigation)</t>
  </si>
  <si>
    <t>samplers, moisture meter, physical analysis kits, weighing balances, hectolitre weight apparatus, sieve sets, magnifying glass, measuring cylinder, vernier calliper, sample bags, enamel plates</t>
  </si>
  <si>
    <t>Rodent control measures</t>
  </si>
  <si>
    <t>Fire-fighting arrangements</t>
  </si>
  <si>
    <t>Insurance expenses</t>
  </si>
  <si>
    <t>Salaries</t>
  </si>
  <si>
    <t>total</t>
  </si>
  <si>
    <t xml:space="preserve">fire extinguisher </t>
  </si>
  <si>
    <t>fire bucket stand</t>
  </si>
  <si>
    <t>cost</t>
  </si>
  <si>
    <t>frequency</t>
  </si>
  <si>
    <t>total cost</t>
  </si>
  <si>
    <t>chick pea</t>
  </si>
  <si>
    <t>cotton bales</t>
  </si>
  <si>
    <t>rent from storage</t>
  </si>
  <si>
    <t>Years</t>
  </si>
  <si>
    <t>Total Cost (cash outflow)</t>
  </si>
  <si>
    <t>Income from weighbridge</t>
  </si>
  <si>
    <t>income from packing (2/- per bag)</t>
  </si>
  <si>
    <t>income from loading and unloading (1/- per bag)</t>
  </si>
  <si>
    <t>from other services (1.5% commission through trade)</t>
  </si>
  <si>
    <t>NPV</t>
  </si>
  <si>
    <t>Smallvehicles</t>
  </si>
  <si>
    <t>Small trucks and tempo</t>
  </si>
  <si>
    <t>Roadside trucks for weighing</t>
  </si>
  <si>
    <t>total income</t>
  </si>
  <si>
    <t>Truck (10MT)</t>
  </si>
  <si>
    <t>Truck (250MT)</t>
  </si>
  <si>
    <t>Sl.NO</t>
  </si>
  <si>
    <t>Particluars</t>
  </si>
  <si>
    <t>charges</t>
  </si>
  <si>
    <t>No of vehicles</t>
  </si>
  <si>
    <t>Total value</t>
  </si>
  <si>
    <t>500MT/year</t>
  </si>
  <si>
    <t>Cleaning charges (30/q)</t>
  </si>
  <si>
    <t>Security</t>
  </si>
  <si>
    <t>Supevisor</t>
  </si>
  <si>
    <t>Rental Charges (18Rs./quintal)</t>
  </si>
  <si>
    <t>pledge finance income</t>
  </si>
  <si>
    <t>income from cleaning machines (30 per quintal)@500MT</t>
  </si>
  <si>
    <t>packing</t>
  </si>
  <si>
    <t>loading and unloading</t>
  </si>
  <si>
    <t xml:space="preserve">commission through trade </t>
  </si>
  <si>
    <t>at</t>
  </si>
  <si>
    <t xml:space="preserve"> =</t>
  </si>
  <si>
    <t>commission/year</t>
  </si>
  <si>
    <t>LEAN</t>
  </si>
  <si>
    <t>PERIOD</t>
  </si>
  <si>
    <t>1BAG=50KG</t>
  </si>
  <si>
    <t xml:space="preserve">WEIGHBRIDGE </t>
  </si>
  <si>
    <t>Rent Charges (Rs/Q)</t>
  </si>
  <si>
    <t xml:space="preserve">Rent per Q per month = Rs18 </t>
  </si>
  <si>
    <t>5000 Rs/quintal</t>
  </si>
  <si>
    <t>1.5% - 1000 MT/year</t>
  </si>
  <si>
    <t>10000 quintal</t>
  </si>
  <si>
    <t>Capacity (No of bags)</t>
  </si>
  <si>
    <t>Capacity Utilization - (in percent)</t>
  </si>
  <si>
    <t>YEAR</t>
  </si>
  <si>
    <t>OPENING BALANCE</t>
  </si>
  <si>
    <t>INTEREST PAID YEARLY</t>
  </si>
  <si>
    <t xml:space="preserve">PRINCIPLE PAID </t>
  </si>
  <si>
    <t xml:space="preserve">TOTAL PAID </t>
  </si>
  <si>
    <t>CLOSING BALANCE</t>
  </si>
  <si>
    <t>Net cash flow</t>
  </si>
  <si>
    <t>Maximum</t>
  </si>
  <si>
    <t>Medium</t>
  </si>
  <si>
    <t>Low</t>
  </si>
  <si>
    <t>Lean or empty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</si>
  <si>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</si>
  <si>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</si>
  <si>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</si>
  <si>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</si>
  <si>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</si>
  <si>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</si>
  <si>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</si>
  <si>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</si>
  <si>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</si>
  <si>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</si>
  <si>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</si>
  <si>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</si>
  <si>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Capacity load</t>
  </si>
  <si>
    <t>Qty in Q</t>
  </si>
  <si>
    <t>No of bags</t>
  </si>
  <si>
    <t xml:space="preserve">YEARs </t>
  </si>
  <si>
    <t>Cash inflow</t>
  </si>
  <si>
    <t>Discounted cashinflow</t>
  </si>
  <si>
    <t>Cashoutflow</t>
  </si>
  <si>
    <t>Discounted cashoutflow</t>
  </si>
  <si>
    <t>income from input shop</t>
  </si>
  <si>
    <t>income</t>
  </si>
  <si>
    <t>Working capital</t>
  </si>
  <si>
    <t>Interest on working capital</t>
  </si>
  <si>
    <t>from registration and maintenance (200Farmers@500/-)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</si>
</sst>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₹&quot;\ #,##0.00;[Red]&quot;₹&quot;\ \-#,##0.00"/>
    <numFmt numFmtId="43" formatCode="_ * #,##0.00_ ;_ * \-#,##0.00_ ;_ * &quot;-&quot;??_ ;_ @_ "/>
    <numFmt numFmtId="164" formatCode="&quot;₹&quot;\ #,##0.00"/>
    <numFmt numFmtId="165" formatCode="_ * #,##0_ ;_ * \-#,##0_ ;_ * &quot;-&quot;??_ ;_ @_ 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9EF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104">
    <xf numFmtId="0" fontId="0" fillId="0" borderId="0" xfId="0"/>
    <xf numFmtId="9" fontId="0" fillId="0" borderId="0" xfId="0" applyNumberFormat="1"/>
    <xf numFmtId="0" fontId="2" fillId="0" borderId="0" xfId="0" applyFont="1"/>
    <xf numFmtId="0" fontId="2" fillId="0" borderId="0" xfId="0" applyFont="1" applyAlignment="1"/>
    <xf numFmtId="0" fontId="3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horizontal="left" vertical="center"/>
    </xf>
    <xf numFmtId="0" fontId="2" fillId="3" borderId="1" xfId="0" applyFont="1" applyFill="1" applyBorder="1"/>
    <xf numFmtId="0" fontId="3" fillId="3" borderId="1" xfId="0" applyFont="1" applyFill="1" applyBorder="1" applyAlignment="1">
      <alignment horizontal="right" vertical="center" wrapText="1"/>
    </xf>
    <xf numFmtId="9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right" vertical="center"/>
    </xf>
    <xf numFmtId="10" fontId="4" fillId="3" borderId="1" xfId="0" applyNumberFormat="1" applyFont="1" applyFill="1" applyBorder="1" applyAlignment="1">
      <alignment horizontal="right" vertical="center"/>
    </xf>
    <xf numFmtId="8" fontId="4" fillId="3" borderId="1" xfId="0" applyNumberFormat="1" applyFont="1" applyFill="1" applyBorder="1" applyAlignment="1">
      <alignment horizontal="righ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2" fillId="0" borderId="1" xfId="0" applyFont="1" applyBorder="1"/>
    <xf numFmtId="0" fontId="1" fillId="0" borderId="1" xfId="0" applyFont="1" applyBorder="1"/>
    <xf numFmtId="0" fontId="0" fillId="0" borderId="1" xfId="0" applyBorder="1"/>
    <xf numFmtId="0" fontId="1" fillId="0" borderId="0" xfId="0" applyFont="1" applyFill="1" applyBorder="1"/>
    <xf numFmtId="0" fontId="1" fillId="0" borderId="1" xfId="0" applyFont="1" applyFill="1" applyBorder="1"/>
    <xf numFmtId="0" fontId="2" fillId="4" borderId="1" xfId="0" applyFont="1" applyFill="1" applyBorder="1"/>
    <xf numFmtId="0" fontId="2" fillId="4" borderId="1" xfId="0" applyFont="1" applyFill="1" applyBorder="1" applyAlignment="1"/>
    <xf numFmtId="0" fontId="0" fillId="4" borderId="1" xfId="0" applyFill="1" applyBorder="1"/>
    <xf numFmtId="0" fontId="2" fillId="5" borderId="1" xfId="0" applyFont="1" applyFill="1" applyBorder="1"/>
    <xf numFmtId="0" fontId="2" fillId="5" borderId="1" xfId="0" applyFont="1" applyFill="1" applyBorder="1" applyAlignment="1"/>
    <xf numFmtId="0" fontId="0" fillId="5" borderId="1" xfId="0" applyFill="1" applyBorder="1"/>
    <xf numFmtId="0" fontId="2" fillId="6" borderId="1" xfId="0" applyFont="1" applyFill="1" applyBorder="1"/>
    <xf numFmtId="0" fontId="2" fillId="6" borderId="1" xfId="0" applyFont="1" applyFill="1" applyBorder="1" applyAlignment="1"/>
    <xf numFmtId="0" fontId="0" fillId="6" borderId="1" xfId="0" applyFill="1" applyBorder="1"/>
    <xf numFmtId="0" fontId="1" fillId="4" borderId="1" xfId="0" applyFont="1" applyFill="1" applyBorder="1"/>
    <xf numFmtId="0" fontId="1" fillId="6" borderId="1" xfId="0" applyFont="1" applyFill="1" applyBorder="1"/>
    <xf numFmtId="0" fontId="3" fillId="3" borderId="1" xfId="0" applyFont="1" applyFill="1" applyBorder="1"/>
    <xf numFmtId="0" fontId="3" fillId="0" borderId="1" xfId="0" applyFont="1" applyBorder="1"/>
    <xf numFmtId="0" fontId="5" fillId="0" borderId="1" xfId="0" applyFont="1" applyBorder="1"/>
    <xf numFmtId="8" fontId="0" fillId="0" borderId="0" xfId="0" applyNumberFormat="1"/>
    <xf numFmtId="0" fontId="3" fillId="3" borderId="0" xfId="0" applyFont="1" applyFill="1" applyBorder="1" applyAlignment="1">
      <alignment horizontal="right" vertical="center" wrapText="1"/>
    </xf>
    <xf numFmtId="0" fontId="2" fillId="7" borderId="1" xfId="0" applyFont="1" applyFill="1" applyBorder="1"/>
    <xf numFmtId="0" fontId="2" fillId="7" borderId="1" xfId="0" applyFont="1" applyFill="1" applyBorder="1" applyAlignment="1"/>
    <xf numFmtId="0" fontId="1" fillId="7" borderId="1" xfId="0" applyFont="1" applyFill="1" applyBorder="1" applyAlignment="1"/>
    <xf numFmtId="0" fontId="0" fillId="7" borderId="1" xfId="0" applyFill="1" applyBorder="1"/>
    <xf numFmtId="0" fontId="2" fillId="0" borderId="0" xfId="0" applyFont="1" applyBorder="1"/>
    <xf numFmtId="0" fontId="0" fillId="0" borderId="0" xfId="0" applyBorder="1"/>
    <xf numFmtId="0" fontId="6" fillId="0" borderId="1" xfId="0" applyFont="1" applyBorder="1"/>
    <xf numFmtId="0" fontId="1" fillId="8" borderId="1" xfId="0" applyFont="1" applyFill="1" applyBorder="1"/>
    <xf numFmtId="0" fontId="2" fillId="8" borderId="1" xfId="0" applyFont="1" applyFill="1" applyBorder="1"/>
    <xf numFmtId="0" fontId="2" fillId="8" borderId="1" xfId="0" applyFont="1" applyFill="1" applyBorder="1" applyAlignment="1"/>
    <xf numFmtId="0" fontId="0" fillId="8" borderId="1" xfId="0" applyFill="1" applyBorder="1"/>
    <xf numFmtId="0" fontId="7" fillId="3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right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right" vertical="center"/>
    </xf>
    <xf numFmtId="0" fontId="8" fillId="3" borderId="1" xfId="0" applyFont="1" applyFill="1" applyBorder="1" applyAlignment="1">
      <alignment vertical="center"/>
    </xf>
    <xf numFmtId="0" fontId="9" fillId="0" borderId="1" xfId="0" applyFont="1" applyBorder="1"/>
    <xf numFmtId="0" fontId="7" fillId="3" borderId="1" xfId="0" applyFont="1" applyFill="1" applyBorder="1" applyAlignment="1">
      <alignment vertical="center"/>
    </xf>
    <xf numFmtId="9" fontId="0" fillId="0" borderId="1" xfId="0" applyNumberFormat="1" applyBorder="1"/>
    <xf numFmtId="0" fontId="1" fillId="3" borderId="1" xfId="0" applyFont="1" applyFill="1" applyBorder="1"/>
    <xf numFmtId="0" fontId="1" fillId="4" borderId="2" xfId="0" applyFont="1" applyFill="1" applyBorder="1"/>
    <xf numFmtId="0" fontId="1" fillId="5" borderId="3" xfId="0" applyFont="1" applyFill="1" applyBorder="1"/>
    <xf numFmtId="0" fontId="6" fillId="7" borderId="1" xfId="0" applyFon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4" xfId="0" applyBorder="1"/>
    <xf numFmtId="164" fontId="0" fillId="7" borderId="12" xfId="0" applyNumberFormat="1" applyFill="1" applyBorder="1"/>
    <xf numFmtId="0" fontId="6" fillId="0" borderId="0" xfId="0" applyFont="1"/>
    <xf numFmtId="0" fontId="6" fillId="0" borderId="6" xfId="0" applyFont="1" applyBorder="1"/>
    <xf numFmtId="0" fontId="6" fillId="0" borderId="7" xfId="0" applyFont="1" applyBorder="1"/>
    <xf numFmtId="9" fontId="6" fillId="0" borderId="1" xfId="0" applyNumberFormat="1" applyFont="1" applyBorder="1"/>
    <xf numFmtId="164" fontId="0" fillId="0" borderId="10" xfId="0" applyNumberFormat="1" applyBorder="1"/>
    <xf numFmtId="165" fontId="0" fillId="0" borderId="0" xfId="1" applyNumberFormat="1" applyFont="1"/>
    <xf numFmtId="165" fontId="7" fillId="3" borderId="1" xfId="1" applyNumberFormat="1" applyFont="1" applyFill="1" applyBorder="1" applyAlignment="1">
      <alignment horizontal="center" vertical="center" wrapText="1"/>
    </xf>
    <xf numFmtId="165" fontId="8" fillId="3" borderId="1" xfId="1" applyNumberFormat="1" applyFont="1" applyFill="1" applyBorder="1" applyAlignment="1">
      <alignment horizontal="right" vertical="center" wrapText="1"/>
    </xf>
    <xf numFmtId="165" fontId="8" fillId="3" borderId="1" xfId="1" applyNumberFormat="1" applyFont="1" applyFill="1" applyBorder="1" applyAlignment="1">
      <alignment vertical="center"/>
    </xf>
    <xf numFmtId="165" fontId="0" fillId="0" borderId="1" xfId="1" applyNumberFormat="1" applyFont="1" applyBorder="1"/>
    <xf numFmtId="165" fontId="9" fillId="0" borderId="1" xfId="1" applyNumberFormat="1" applyFont="1" applyBorder="1"/>
    <xf numFmtId="165" fontId="7" fillId="3" borderId="1" xfId="1" applyNumberFormat="1" applyFont="1" applyFill="1" applyBorder="1" applyAlignment="1">
      <alignment vertical="center"/>
    </xf>
    <xf numFmtId="9" fontId="8" fillId="3" borderId="1" xfId="2" applyFont="1" applyFill="1" applyBorder="1" applyAlignment="1">
      <alignment horizontal="right" vertical="center"/>
    </xf>
    <xf numFmtId="164" fontId="2" fillId="3" borderId="1" xfId="0" applyNumberFormat="1" applyFont="1" applyFill="1" applyBorder="1" applyAlignment="1">
      <alignment horizontal="right"/>
    </xf>
    <xf numFmtId="164" fontId="2" fillId="3" borderId="1" xfId="0" applyNumberFormat="1" applyFont="1" applyFill="1" applyBorder="1"/>
    <xf numFmtId="0" fontId="9" fillId="4" borderId="1" xfId="0" applyFont="1" applyFill="1" applyBorder="1"/>
    <xf numFmtId="0" fontId="9" fillId="6" borderId="1" xfId="0" applyFont="1" applyFill="1" applyBorder="1"/>
    <xf numFmtId="0" fontId="9" fillId="5" borderId="1" xfId="0" applyFont="1" applyFill="1" applyBorder="1"/>
    <xf numFmtId="0" fontId="9" fillId="8" borderId="1" xfId="0" applyFont="1" applyFill="1" applyBorder="1"/>
    <xf numFmtId="0" fontId="10" fillId="0" borderId="1" xfId="0" applyFont="1" applyBorder="1"/>
    <xf numFmtId="0" fontId="1" fillId="3" borderId="3" xfId="0" applyNumberFormat="1" applyFont="1" applyFill="1" applyBorder="1"/>
    <xf numFmtId="0" fontId="2" fillId="3" borderId="3" xfId="0" applyNumberFormat="1" applyFont="1" applyFill="1" applyBorder="1" applyAlignment="1">
      <alignment horizontal="right"/>
    </xf>
    <xf numFmtId="164" fontId="2" fillId="0" borderId="0" xfId="0" applyNumberFormat="1" applyFont="1" applyBorder="1"/>
    <xf numFmtId="0" fontId="4" fillId="7" borderId="1" xfId="0" applyFont="1" applyFill="1" applyBorder="1"/>
    <xf numFmtId="165" fontId="7" fillId="3" borderId="1" xfId="1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vertical="center"/>
    </xf>
    <xf numFmtId="0" fontId="8" fillId="3" borderId="13" xfId="0" applyFont="1" applyFill="1" applyBorder="1" applyAlignment="1">
      <alignment horizontal="left" vertical="center"/>
    </xf>
    <xf numFmtId="0" fontId="9" fillId="0" borderId="13" xfId="0" applyFont="1" applyFill="1" applyBorder="1"/>
    <xf numFmtId="0" fontId="8" fillId="3" borderId="13" xfId="0" applyFont="1" applyFill="1" applyBorder="1" applyAlignment="1">
      <alignment horizontal="right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grpSp>
      <xdr:nvGrpSpPr>
        <xdr:cNvPr id="2" name="docshapegroup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>
          <a:grpSpLocks/>
        </xdr:cNvGrpSpPr>
      </xdr:nvGrpSpPr>
      <xdr:grpSpPr bwMode="auto">
        <a:xfrm>
          <a:off x="0" y="0"/>
          <a:ext cx="9525" cy="9525"/>
          <a:chOff x="0" y="0"/>
          <a:chExt cx="12" cy="12"/>
        </a:xfrm>
      </xdr:grpSpPr>
      <xdr:sp macro="" textlink="">
        <xdr:nvSpPr>
          <xdr:cNvPr id="3" name="docshape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2" cy="12"/>
          </a:xfrm>
          <a:custGeom>
            <a:avLst/>
            <a:gdLst>
              <a:gd name="T0" fmla="*/ 0 w 12"/>
              <a:gd name="T1" fmla="*/ 6 h 12"/>
              <a:gd name="T2" fmla="*/ 2 w 12"/>
              <a:gd name="T3" fmla="*/ 2 h 12"/>
              <a:gd name="T4" fmla="*/ 6 w 12"/>
              <a:gd name="T5" fmla="*/ 0 h 12"/>
              <a:gd name="T6" fmla="*/ 10 w 12"/>
              <a:gd name="T7" fmla="*/ 2 h 12"/>
              <a:gd name="T8" fmla="*/ 11 w 12"/>
              <a:gd name="T9" fmla="*/ 6 h 12"/>
              <a:gd name="T10" fmla="*/ 10 w 12"/>
              <a:gd name="T11" fmla="*/ 10 h 12"/>
              <a:gd name="T12" fmla="*/ 6 w 12"/>
              <a:gd name="T13" fmla="*/ 11 h 12"/>
              <a:gd name="T14" fmla="*/ 2 w 12"/>
              <a:gd name="T15" fmla="*/ 10 h 12"/>
              <a:gd name="T16" fmla="*/ 0 w 12"/>
              <a:gd name="T17" fmla="*/ 6 h 1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12" h="12">
                <a:moveTo>
                  <a:pt x="0" y="6"/>
                </a:moveTo>
                <a:lnTo>
                  <a:pt x="2" y="2"/>
                </a:lnTo>
                <a:lnTo>
                  <a:pt x="6" y="0"/>
                </a:lnTo>
                <a:lnTo>
                  <a:pt x="10" y="2"/>
                </a:lnTo>
                <a:lnTo>
                  <a:pt x="11" y="6"/>
                </a:lnTo>
                <a:lnTo>
                  <a:pt x="10" y="10"/>
                </a:lnTo>
                <a:lnTo>
                  <a:pt x="6" y="11"/>
                </a:lnTo>
                <a:lnTo>
                  <a:pt x="2" y="10"/>
                </a:lnTo>
                <a:lnTo>
                  <a:pt x="0" y="6"/>
                </a:lnTo>
                <a:close/>
              </a:path>
            </a:pathLst>
          </a:custGeom>
          <a:solidFill>
            <a:srgbClr val="D3D3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grpSp>
      <xdr:nvGrpSpPr>
        <xdr:cNvPr id="4" name="docshapegroup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>
          <a:grpSpLocks/>
        </xdr:cNvGrpSpPr>
      </xdr:nvGrpSpPr>
      <xdr:grpSpPr bwMode="auto">
        <a:xfrm>
          <a:off x="0" y="0"/>
          <a:ext cx="9525" cy="9525"/>
          <a:chOff x="0" y="0"/>
          <a:chExt cx="12" cy="12"/>
        </a:xfrm>
      </xdr:grpSpPr>
      <xdr:sp macro="" textlink="">
        <xdr:nvSpPr>
          <xdr:cNvPr id="5" name="docshape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2" cy="12"/>
          </a:xfrm>
          <a:custGeom>
            <a:avLst/>
            <a:gdLst>
              <a:gd name="T0" fmla="*/ 0 w 12"/>
              <a:gd name="T1" fmla="*/ 6 h 12"/>
              <a:gd name="T2" fmla="*/ 2 w 12"/>
              <a:gd name="T3" fmla="*/ 2 h 12"/>
              <a:gd name="T4" fmla="*/ 6 w 12"/>
              <a:gd name="T5" fmla="*/ 0 h 12"/>
              <a:gd name="T6" fmla="*/ 10 w 12"/>
              <a:gd name="T7" fmla="*/ 2 h 12"/>
              <a:gd name="T8" fmla="*/ 11 w 12"/>
              <a:gd name="T9" fmla="*/ 6 h 12"/>
              <a:gd name="T10" fmla="*/ 10 w 12"/>
              <a:gd name="T11" fmla="*/ 10 h 12"/>
              <a:gd name="T12" fmla="*/ 6 w 12"/>
              <a:gd name="T13" fmla="*/ 11 h 12"/>
              <a:gd name="T14" fmla="*/ 2 w 12"/>
              <a:gd name="T15" fmla="*/ 10 h 12"/>
              <a:gd name="T16" fmla="*/ 0 w 12"/>
              <a:gd name="T17" fmla="*/ 6 h 1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12" h="12">
                <a:moveTo>
                  <a:pt x="0" y="6"/>
                </a:moveTo>
                <a:lnTo>
                  <a:pt x="2" y="2"/>
                </a:lnTo>
                <a:lnTo>
                  <a:pt x="6" y="0"/>
                </a:lnTo>
                <a:lnTo>
                  <a:pt x="10" y="2"/>
                </a:lnTo>
                <a:lnTo>
                  <a:pt x="11" y="6"/>
                </a:lnTo>
                <a:lnTo>
                  <a:pt x="10" y="10"/>
                </a:lnTo>
                <a:lnTo>
                  <a:pt x="6" y="11"/>
                </a:lnTo>
                <a:lnTo>
                  <a:pt x="2" y="10"/>
                </a:lnTo>
                <a:lnTo>
                  <a:pt x="0" y="6"/>
                </a:lnTo>
                <a:close/>
              </a:path>
            </a:pathLst>
          </a:custGeom>
          <a:solidFill>
            <a:srgbClr val="D3D3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grpSp>
      <xdr:nvGrpSpPr>
        <xdr:cNvPr id="6" name="docshapegroup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pSpPr>
          <a:grpSpLocks/>
        </xdr:cNvGrpSpPr>
      </xdr:nvGrpSpPr>
      <xdr:grpSpPr bwMode="auto">
        <a:xfrm>
          <a:off x="0" y="0"/>
          <a:ext cx="9525" cy="9525"/>
          <a:chOff x="0" y="0"/>
          <a:chExt cx="12" cy="12"/>
        </a:xfrm>
      </xdr:grpSpPr>
      <xdr:sp macro="" textlink="">
        <xdr:nvSpPr>
          <xdr:cNvPr id="7" name="docshape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2" cy="12"/>
          </a:xfrm>
          <a:custGeom>
            <a:avLst/>
            <a:gdLst>
              <a:gd name="T0" fmla="*/ 0 w 12"/>
              <a:gd name="T1" fmla="*/ 6 h 12"/>
              <a:gd name="T2" fmla="*/ 2 w 12"/>
              <a:gd name="T3" fmla="*/ 2 h 12"/>
              <a:gd name="T4" fmla="*/ 6 w 12"/>
              <a:gd name="T5" fmla="*/ 0 h 12"/>
              <a:gd name="T6" fmla="*/ 10 w 12"/>
              <a:gd name="T7" fmla="*/ 2 h 12"/>
              <a:gd name="T8" fmla="*/ 11 w 12"/>
              <a:gd name="T9" fmla="*/ 6 h 12"/>
              <a:gd name="T10" fmla="*/ 10 w 12"/>
              <a:gd name="T11" fmla="*/ 10 h 12"/>
              <a:gd name="T12" fmla="*/ 6 w 12"/>
              <a:gd name="T13" fmla="*/ 11 h 12"/>
              <a:gd name="T14" fmla="*/ 2 w 12"/>
              <a:gd name="T15" fmla="*/ 10 h 12"/>
              <a:gd name="T16" fmla="*/ 0 w 12"/>
              <a:gd name="T17" fmla="*/ 6 h 1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12" h="12">
                <a:moveTo>
                  <a:pt x="0" y="6"/>
                </a:moveTo>
                <a:lnTo>
                  <a:pt x="2" y="2"/>
                </a:lnTo>
                <a:lnTo>
                  <a:pt x="6" y="0"/>
                </a:lnTo>
                <a:lnTo>
                  <a:pt x="10" y="2"/>
                </a:lnTo>
                <a:lnTo>
                  <a:pt x="11" y="6"/>
                </a:lnTo>
                <a:lnTo>
                  <a:pt x="10" y="10"/>
                </a:lnTo>
                <a:lnTo>
                  <a:pt x="6" y="11"/>
                </a:lnTo>
                <a:lnTo>
                  <a:pt x="2" y="10"/>
                </a:lnTo>
                <a:lnTo>
                  <a:pt x="0" y="6"/>
                </a:lnTo>
                <a:close/>
              </a:path>
            </a:pathLst>
          </a:custGeom>
          <a:solidFill>
            <a:srgbClr val="D3D3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grpSp>
      <xdr:nvGrpSpPr>
        <xdr:cNvPr id="8" name="docshapegroup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pSpPr>
          <a:grpSpLocks/>
        </xdr:cNvGrpSpPr>
      </xdr:nvGrpSpPr>
      <xdr:grpSpPr bwMode="auto">
        <a:xfrm>
          <a:off x="0" y="0"/>
          <a:ext cx="9525" cy="9525"/>
          <a:chOff x="0" y="0"/>
          <a:chExt cx="12" cy="12"/>
        </a:xfrm>
      </xdr:grpSpPr>
      <xdr:sp macro="" textlink="">
        <xdr:nvSpPr>
          <xdr:cNvPr id="9" name="docshape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2" cy="12"/>
          </a:xfrm>
          <a:custGeom>
            <a:avLst/>
            <a:gdLst>
              <a:gd name="T0" fmla="*/ 0 w 12"/>
              <a:gd name="T1" fmla="*/ 6 h 12"/>
              <a:gd name="T2" fmla="*/ 2 w 12"/>
              <a:gd name="T3" fmla="*/ 2 h 12"/>
              <a:gd name="T4" fmla="*/ 6 w 12"/>
              <a:gd name="T5" fmla="*/ 0 h 12"/>
              <a:gd name="T6" fmla="*/ 10 w 12"/>
              <a:gd name="T7" fmla="*/ 2 h 12"/>
              <a:gd name="T8" fmla="*/ 11 w 12"/>
              <a:gd name="T9" fmla="*/ 6 h 12"/>
              <a:gd name="T10" fmla="*/ 10 w 12"/>
              <a:gd name="T11" fmla="*/ 10 h 12"/>
              <a:gd name="T12" fmla="*/ 6 w 12"/>
              <a:gd name="T13" fmla="*/ 11 h 12"/>
              <a:gd name="T14" fmla="*/ 2 w 12"/>
              <a:gd name="T15" fmla="*/ 10 h 12"/>
              <a:gd name="T16" fmla="*/ 0 w 12"/>
              <a:gd name="T17" fmla="*/ 6 h 1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12" h="12">
                <a:moveTo>
                  <a:pt x="0" y="6"/>
                </a:moveTo>
                <a:lnTo>
                  <a:pt x="2" y="2"/>
                </a:lnTo>
                <a:lnTo>
                  <a:pt x="6" y="0"/>
                </a:lnTo>
                <a:lnTo>
                  <a:pt x="10" y="2"/>
                </a:lnTo>
                <a:lnTo>
                  <a:pt x="11" y="6"/>
                </a:lnTo>
                <a:lnTo>
                  <a:pt x="10" y="10"/>
                </a:lnTo>
                <a:lnTo>
                  <a:pt x="6" y="11"/>
                </a:lnTo>
                <a:lnTo>
                  <a:pt x="2" y="10"/>
                </a:lnTo>
                <a:lnTo>
                  <a:pt x="0" y="6"/>
                </a:lnTo>
                <a:close/>
              </a:path>
            </a:pathLst>
          </a:custGeom>
          <a:solidFill>
            <a:srgbClr val="D3D3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grpSp>
      <xdr:nvGrpSpPr>
        <xdr:cNvPr id="10" name="docshapegroup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pSpPr>
          <a:grpSpLocks/>
        </xdr:cNvGrpSpPr>
      </xdr:nvGrpSpPr>
      <xdr:grpSpPr bwMode="auto">
        <a:xfrm>
          <a:off x="0" y="0"/>
          <a:ext cx="9525" cy="9525"/>
          <a:chOff x="0" y="0"/>
          <a:chExt cx="12" cy="12"/>
        </a:xfrm>
      </xdr:grpSpPr>
      <xdr:sp macro="" textlink="">
        <xdr:nvSpPr>
          <xdr:cNvPr id="11" name="docshape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2" cy="12"/>
          </a:xfrm>
          <a:custGeom>
            <a:avLst/>
            <a:gdLst>
              <a:gd name="T0" fmla="*/ 0 w 12"/>
              <a:gd name="T1" fmla="*/ 6 h 12"/>
              <a:gd name="T2" fmla="*/ 2 w 12"/>
              <a:gd name="T3" fmla="*/ 2 h 12"/>
              <a:gd name="T4" fmla="*/ 6 w 12"/>
              <a:gd name="T5" fmla="*/ 0 h 12"/>
              <a:gd name="T6" fmla="*/ 10 w 12"/>
              <a:gd name="T7" fmla="*/ 2 h 12"/>
              <a:gd name="T8" fmla="*/ 11 w 12"/>
              <a:gd name="T9" fmla="*/ 6 h 12"/>
              <a:gd name="T10" fmla="*/ 10 w 12"/>
              <a:gd name="T11" fmla="*/ 10 h 12"/>
              <a:gd name="T12" fmla="*/ 6 w 12"/>
              <a:gd name="T13" fmla="*/ 11 h 12"/>
              <a:gd name="T14" fmla="*/ 2 w 12"/>
              <a:gd name="T15" fmla="*/ 10 h 12"/>
              <a:gd name="T16" fmla="*/ 0 w 12"/>
              <a:gd name="T17" fmla="*/ 6 h 1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12" h="12">
                <a:moveTo>
                  <a:pt x="0" y="6"/>
                </a:moveTo>
                <a:lnTo>
                  <a:pt x="2" y="2"/>
                </a:lnTo>
                <a:lnTo>
                  <a:pt x="6" y="0"/>
                </a:lnTo>
                <a:lnTo>
                  <a:pt x="10" y="2"/>
                </a:lnTo>
                <a:lnTo>
                  <a:pt x="11" y="6"/>
                </a:lnTo>
                <a:lnTo>
                  <a:pt x="10" y="10"/>
                </a:lnTo>
                <a:lnTo>
                  <a:pt x="6" y="11"/>
                </a:lnTo>
                <a:lnTo>
                  <a:pt x="2" y="10"/>
                </a:lnTo>
                <a:lnTo>
                  <a:pt x="0" y="6"/>
                </a:lnTo>
                <a:close/>
              </a:path>
            </a:pathLst>
          </a:custGeom>
          <a:solidFill>
            <a:srgbClr val="D3D3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grpSp>
      <xdr:nvGrpSpPr>
        <xdr:cNvPr id="12" name="docshapegroup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pSpPr>
          <a:grpSpLocks/>
        </xdr:cNvGrpSpPr>
      </xdr:nvGrpSpPr>
      <xdr:grpSpPr bwMode="auto">
        <a:xfrm>
          <a:off x="0" y="0"/>
          <a:ext cx="9525" cy="9525"/>
          <a:chOff x="0" y="0"/>
          <a:chExt cx="12" cy="12"/>
        </a:xfrm>
      </xdr:grpSpPr>
      <xdr:sp macro="" textlink="">
        <xdr:nvSpPr>
          <xdr:cNvPr id="13" name="docshape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2" cy="12"/>
          </a:xfrm>
          <a:custGeom>
            <a:avLst/>
            <a:gdLst>
              <a:gd name="T0" fmla="*/ 0 w 12"/>
              <a:gd name="T1" fmla="*/ 6 h 12"/>
              <a:gd name="T2" fmla="*/ 2 w 12"/>
              <a:gd name="T3" fmla="*/ 2 h 12"/>
              <a:gd name="T4" fmla="*/ 6 w 12"/>
              <a:gd name="T5" fmla="*/ 0 h 12"/>
              <a:gd name="T6" fmla="*/ 10 w 12"/>
              <a:gd name="T7" fmla="*/ 2 h 12"/>
              <a:gd name="T8" fmla="*/ 11 w 12"/>
              <a:gd name="T9" fmla="*/ 6 h 12"/>
              <a:gd name="T10" fmla="*/ 10 w 12"/>
              <a:gd name="T11" fmla="*/ 10 h 12"/>
              <a:gd name="T12" fmla="*/ 6 w 12"/>
              <a:gd name="T13" fmla="*/ 11 h 12"/>
              <a:gd name="T14" fmla="*/ 2 w 12"/>
              <a:gd name="T15" fmla="*/ 10 h 12"/>
              <a:gd name="T16" fmla="*/ 0 w 12"/>
              <a:gd name="T17" fmla="*/ 6 h 1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12" h="12">
                <a:moveTo>
                  <a:pt x="0" y="6"/>
                </a:moveTo>
                <a:lnTo>
                  <a:pt x="2" y="2"/>
                </a:lnTo>
                <a:lnTo>
                  <a:pt x="6" y="0"/>
                </a:lnTo>
                <a:lnTo>
                  <a:pt x="10" y="2"/>
                </a:lnTo>
                <a:lnTo>
                  <a:pt x="11" y="6"/>
                </a:lnTo>
                <a:lnTo>
                  <a:pt x="10" y="10"/>
                </a:lnTo>
                <a:lnTo>
                  <a:pt x="6" y="11"/>
                </a:lnTo>
                <a:lnTo>
                  <a:pt x="2" y="10"/>
                </a:lnTo>
                <a:lnTo>
                  <a:pt x="0" y="6"/>
                </a:lnTo>
                <a:close/>
              </a:path>
            </a:pathLst>
          </a:custGeom>
          <a:solidFill>
            <a:srgbClr val="D3D3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grpSp>
      <xdr:nvGrpSpPr>
        <xdr:cNvPr id="14" name="docshapegroup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pSpPr>
          <a:grpSpLocks/>
        </xdr:cNvGrpSpPr>
      </xdr:nvGrpSpPr>
      <xdr:grpSpPr bwMode="auto">
        <a:xfrm>
          <a:off x="0" y="0"/>
          <a:ext cx="9525" cy="9525"/>
          <a:chOff x="0" y="0"/>
          <a:chExt cx="12" cy="12"/>
        </a:xfrm>
      </xdr:grpSpPr>
      <xdr:sp macro="" textlink="">
        <xdr:nvSpPr>
          <xdr:cNvPr id="15" name="docshape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2" cy="12"/>
          </a:xfrm>
          <a:custGeom>
            <a:avLst/>
            <a:gdLst>
              <a:gd name="T0" fmla="*/ 0 w 12"/>
              <a:gd name="T1" fmla="*/ 6 h 12"/>
              <a:gd name="T2" fmla="*/ 2 w 12"/>
              <a:gd name="T3" fmla="*/ 2 h 12"/>
              <a:gd name="T4" fmla="*/ 6 w 12"/>
              <a:gd name="T5" fmla="*/ 0 h 12"/>
              <a:gd name="T6" fmla="*/ 10 w 12"/>
              <a:gd name="T7" fmla="*/ 2 h 12"/>
              <a:gd name="T8" fmla="*/ 11 w 12"/>
              <a:gd name="T9" fmla="*/ 6 h 12"/>
              <a:gd name="T10" fmla="*/ 10 w 12"/>
              <a:gd name="T11" fmla="*/ 10 h 12"/>
              <a:gd name="T12" fmla="*/ 6 w 12"/>
              <a:gd name="T13" fmla="*/ 11 h 12"/>
              <a:gd name="T14" fmla="*/ 2 w 12"/>
              <a:gd name="T15" fmla="*/ 10 h 12"/>
              <a:gd name="T16" fmla="*/ 0 w 12"/>
              <a:gd name="T17" fmla="*/ 6 h 1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12" h="12">
                <a:moveTo>
                  <a:pt x="0" y="6"/>
                </a:moveTo>
                <a:lnTo>
                  <a:pt x="2" y="2"/>
                </a:lnTo>
                <a:lnTo>
                  <a:pt x="6" y="0"/>
                </a:lnTo>
                <a:lnTo>
                  <a:pt x="10" y="2"/>
                </a:lnTo>
                <a:lnTo>
                  <a:pt x="11" y="6"/>
                </a:lnTo>
                <a:lnTo>
                  <a:pt x="10" y="10"/>
                </a:lnTo>
                <a:lnTo>
                  <a:pt x="6" y="11"/>
                </a:lnTo>
                <a:lnTo>
                  <a:pt x="2" y="10"/>
                </a:lnTo>
                <a:lnTo>
                  <a:pt x="0" y="6"/>
                </a:lnTo>
                <a:close/>
              </a:path>
            </a:pathLst>
          </a:custGeom>
          <a:solidFill>
            <a:srgbClr val="D3D3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grpSp>
      <xdr:nvGrpSpPr>
        <xdr:cNvPr id="16" name="docshapegroup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pSpPr>
          <a:grpSpLocks/>
        </xdr:cNvGrpSpPr>
      </xdr:nvGrpSpPr>
      <xdr:grpSpPr bwMode="auto">
        <a:xfrm>
          <a:off x="0" y="0"/>
          <a:ext cx="9525" cy="9525"/>
          <a:chOff x="0" y="0"/>
          <a:chExt cx="12" cy="12"/>
        </a:xfrm>
      </xdr:grpSpPr>
      <xdr:sp macro="" textlink="">
        <xdr:nvSpPr>
          <xdr:cNvPr id="17" name="docshape16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2" cy="12"/>
          </a:xfrm>
          <a:custGeom>
            <a:avLst/>
            <a:gdLst>
              <a:gd name="T0" fmla="*/ 0 w 12"/>
              <a:gd name="T1" fmla="*/ 6 h 12"/>
              <a:gd name="T2" fmla="*/ 2 w 12"/>
              <a:gd name="T3" fmla="*/ 2 h 12"/>
              <a:gd name="T4" fmla="*/ 6 w 12"/>
              <a:gd name="T5" fmla="*/ 0 h 12"/>
              <a:gd name="T6" fmla="*/ 10 w 12"/>
              <a:gd name="T7" fmla="*/ 2 h 12"/>
              <a:gd name="T8" fmla="*/ 11 w 12"/>
              <a:gd name="T9" fmla="*/ 6 h 12"/>
              <a:gd name="T10" fmla="*/ 10 w 12"/>
              <a:gd name="T11" fmla="*/ 10 h 12"/>
              <a:gd name="T12" fmla="*/ 6 w 12"/>
              <a:gd name="T13" fmla="*/ 11 h 12"/>
              <a:gd name="T14" fmla="*/ 2 w 12"/>
              <a:gd name="T15" fmla="*/ 10 h 12"/>
              <a:gd name="T16" fmla="*/ 0 w 12"/>
              <a:gd name="T17" fmla="*/ 6 h 1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12" h="12">
                <a:moveTo>
                  <a:pt x="0" y="6"/>
                </a:moveTo>
                <a:lnTo>
                  <a:pt x="2" y="2"/>
                </a:lnTo>
                <a:lnTo>
                  <a:pt x="6" y="0"/>
                </a:lnTo>
                <a:lnTo>
                  <a:pt x="10" y="2"/>
                </a:lnTo>
                <a:lnTo>
                  <a:pt x="11" y="6"/>
                </a:lnTo>
                <a:lnTo>
                  <a:pt x="10" y="10"/>
                </a:lnTo>
                <a:lnTo>
                  <a:pt x="6" y="11"/>
                </a:lnTo>
                <a:lnTo>
                  <a:pt x="2" y="10"/>
                </a:lnTo>
                <a:lnTo>
                  <a:pt x="0" y="6"/>
                </a:lnTo>
                <a:close/>
              </a:path>
            </a:pathLst>
          </a:custGeom>
          <a:solidFill>
            <a:srgbClr val="D3D3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grpSp>
      <xdr:nvGrpSpPr>
        <xdr:cNvPr id="18" name="docshapegroup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pSpPr>
          <a:grpSpLocks/>
        </xdr:cNvGrpSpPr>
      </xdr:nvGrpSpPr>
      <xdr:grpSpPr bwMode="auto">
        <a:xfrm>
          <a:off x="0" y="0"/>
          <a:ext cx="9525" cy="9525"/>
          <a:chOff x="0" y="0"/>
          <a:chExt cx="12" cy="12"/>
        </a:xfrm>
      </xdr:grpSpPr>
      <xdr:sp macro="" textlink="">
        <xdr:nvSpPr>
          <xdr:cNvPr id="19" name="docshape18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2" cy="12"/>
          </a:xfrm>
          <a:custGeom>
            <a:avLst/>
            <a:gdLst>
              <a:gd name="T0" fmla="*/ 0 w 12"/>
              <a:gd name="T1" fmla="*/ 6 h 12"/>
              <a:gd name="T2" fmla="*/ 2 w 12"/>
              <a:gd name="T3" fmla="*/ 2 h 12"/>
              <a:gd name="T4" fmla="*/ 6 w 12"/>
              <a:gd name="T5" fmla="*/ 0 h 12"/>
              <a:gd name="T6" fmla="*/ 10 w 12"/>
              <a:gd name="T7" fmla="*/ 2 h 12"/>
              <a:gd name="T8" fmla="*/ 11 w 12"/>
              <a:gd name="T9" fmla="*/ 6 h 12"/>
              <a:gd name="T10" fmla="*/ 10 w 12"/>
              <a:gd name="T11" fmla="*/ 10 h 12"/>
              <a:gd name="T12" fmla="*/ 6 w 12"/>
              <a:gd name="T13" fmla="*/ 11 h 12"/>
              <a:gd name="T14" fmla="*/ 2 w 12"/>
              <a:gd name="T15" fmla="*/ 10 h 12"/>
              <a:gd name="T16" fmla="*/ 0 w 12"/>
              <a:gd name="T17" fmla="*/ 6 h 1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12" h="12">
                <a:moveTo>
                  <a:pt x="0" y="6"/>
                </a:moveTo>
                <a:lnTo>
                  <a:pt x="2" y="2"/>
                </a:lnTo>
                <a:lnTo>
                  <a:pt x="6" y="0"/>
                </a:lnTo>
                <a:lnTo>
                  <a:pt x="10" y="2"/>
                </a:lnTo>
                <a:lnTo>
                  <a:pt x="11" y="6"/>
                </a:lnTo>
                <a:lnTo>
                  <a:pt x="10" y="10"/>
                </a:lnTo>
                <a:lnTo>
                  <a:pt x="6" y="11"/>
                </a:lnTo>
                <a:lnTo>
                  <a:pt x="2" y="10"/>
                </a:lnTo>
                <a:lnTo>
                  <a:pt x="0" y="6"/>
                </a:lnTo>
                <a:close/>
              </a:path>
            </a:pathLst>
          </a:custGeom>
          <a:solidFill>
            <a:srgbClr val="D3D3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grpSp>
      <xdr:nvGrpSpPr>
        <xdr:cNvPr id="20" name="docshapegroup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pSpPr>
          <a:grpSpLocks/>
        </xdr:cNvGrpSpPr>
      </xdr:nvGrpSpPr>
      <xdr:grpSpPr bwMode="auto">
        <a:xfrm>
          <a:off x="0" y="0"/>
          <a:ext cx="9525" cy="9525"/>
          <a:chOff x="0" y="0"/>
          <a:chExt cx="12" cy="12"/>
        </a:xfrm>
      </xdr:grpSpPr>
      <xdr:sp macro="" textlink="">
        <xdr:nvSpPr>
          <xdr:cNvPr id="21" name="docshape20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2" cy="12"/>
          </a:xfrm>
          <a:custGeom>
            <a:avLst/>
            <a:gdLst>
              <a:gd name="T0" fmla="*/ 0 w 12"/>
              <a:gd name="T1" fmla="*/ 6 h 12"/>
              <a:gd name="T2" fmla="*/ 2 w 12"/>
              <a:gd name="T3" fmla="*/ 2 h 12"/>
              <a:gd name="T4" fmla="*/ 6 w 12"/>
              <a:gd name="T5" fmla="*/ 0 h 12"/>
              <a:gd name="T6" fmla="*/ 10 w 12"/>
              <a:gd name="T7" fmla="*/ 2 h 12"/>
              <a:gd name="T8" fmla="*/ 11 w 12"/>
              <a:gd name="T9" fmla="*/ 6 h 12"/>
              <a:gd name="T10" fmla="*/ 10 w 12"/>
              <a:gd name="T11" fmla="*/ 10 h 12"/>
              <a:gd name="T12" fmla="*/ 6 w 12"/>
              <a:gd name="T13" fmla="*/ 11 h 12"/>
              <a:gd name="T14" fmla="*/ 2 w 12"/>
              <a:gd name="T15" fmla="*/ 10 h 12"/>
              <a:gd name="T16" fmla="*/ 0 w 12"/>
              <a:gd name="T17" fmla="*/ 6 h 1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12" h="12">
                <a:moveTo>
                  <a:pt x="0" y="6"/>
                </a:moveTo>
                <a:lnTo>
                  <a:pt x="2" y="2"/>
                </a:lnTo>
                <a:lnTo>
                  <a:pt x="6" y="0"/>
                </a:lnTo>
                <a:lnTo>
                  <a:pt x="10" y="2"/>
                </a:lnTo>
                <a:lnTo>
                  <a:pt x="11" y="6"/>
                </a:lnTo>
                <a:lnTo>
                  <a:pt x="10" y="10"/>
                </a:lnTo>
                <a:lnTo>
                  <a:pt x="6" y="11"/>
                </a:lnTo>
                <a:lnTo>
                  <a:pt x="2" y="10"/>
                </a:lnTo>
                <a:lnTo>
                  <a:pt x="0" y="6"/>
                </a:lnTo>
                <a:close/>
              </a:path>
            </a:pathLst>
          </a:custGeom>
          <a:solidFill>
            <a:srgbClr val="D3D3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grpSp>
      <xdr:nvGrpSpPr>
        <xdr:cNvPr id="22" name="docshapegroup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pSpPr>
          <a:grpSpLocks/>
        </xdr:cNvGrpSpPr>
      </xdr:nvGrpSpPr>
      <xdr:grpSpPr bwMode="auto">
        <a:xfrm>
          <a:off x="0" y="0"/>
          <a:ext cx="9525" cy="9525"/>
          <a:chOff x="0" y="0"/>
          <a:chExt cx="12" cy="12"/>
        </a:xfrm>
      </xdr:grpSpPr>
      <xdr:sp macro="" textlink="">
        <xdr:nvSpPr>
          <xdr:cNvPr id="23" name="docshape22">
            <a:extLst>
              <a:ext uri="{FF2B5EF4-FFF2-40B4-BE49-F238E27FC236}">
                <a16:creationId xmlns:a16="http://schemas.microsoft.com/office/drawing/2014/main" id="{00000000-0008-0000-0100-000017000000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2" cy="12"/>
          </a:xfrm>
          <a:custGeom>
            <a:avLst/>
            <a:gdLst>
              <a:gd name="T0" fmla="*/ 0 w 12"/>
              <a:gd name="T1" fmla="*/ 6 h 12"/>
              <a:gd name="T2" fmla="*/ 2 w 12"/>
              <a:gd name="T3" fmla="*/ 2 h 12"/>
              <a:gd name="T4" fmla="*/ 6 w 12"/>
              <a:gd name="T5" fmla="*/ 0 h 12"/>
              <a:gd name="T6" fmla="*/ 10 w 12"/>
              <a:gd name="T7" fmla="*/ 2 h 12"/>
              <a:gd name="T8" fmla="*/ 11 w 12"/>
              <a:gd name="T9" fmla="*/ 6 h 12"/>
              <a:gd name="T10" fmla="*/ 10 w 12"/>
              <a:gd name="T11" fmla="*/ 10 h 12"/>
              <a:gd name="T12" fmla="*/ 6 w 12"/>
              <a:gd name="T13" fmla="*/ 11 h 12"/>
              <a:gd name="T14" fmla="*/ 2 w 12"/>
              <a:gd name="T15" fmla="*/ 10 h 12"/>
              <a:gd name="T16" fmla="*/ 0 w 12"/>
              <a:gd name="T17" fmla="*/ 6 h 1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12" h="12">
                <a:moveTo>
                  <a:pt x="0" y="6"/>
                </a:moveTo>
                <a:lnTo>
                  <a:pt x="2" y="2"/>
                </a:lnTo>
                <a:lnTo>
                  <a:pt x="6" y="0"/>
                </a:lnTo>
                <a:lnTo>
                  <a:pt x="10" y="2"/>
                </a:lnTo>
                <a:lnTo>
                  <a:pt x="11" y="6"/>
                </a:lnTo>
                <a:lnTo>
                  <a:pt x="10" y="10"/>
                </a:lnTo>
                <a:lnTo>
                  <a:pt x="6" y="11"/>
                </a:lnTo>
                <a:lnTo>
                  <a:pt x="2" y="10"/>
                </a:lnTo>
                <a:lnTo>
                  <a:pt x="0" y="6"/>
                </a:lnTo>
                <a:close/>
              </a:path>
            </a:pathLst>
          </a:custGeom>
          <a:solidFill>
            <a:srgbClr val="D3D3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39"/>
  <sheetViews>
    <sheetView topLeftCell="D4" workbookViewId="0">
      <selection activeCell="P11" sqref="P11"/>
    </sheetView>
  </sheetViews>
  <sheetFormatPr defaultRowHeight="15" x14ac:dyDescent="0.25"/>
  <cols>
    <col min="1" max="1" width="18.42578125" bestFit="1" customWidth="1"/>
    <col min="2" max="2" width="10.42578125" bestFit="1" customWidth="1"/>
    <col min="3" max="3" width="14.42578125" bestFit="1" customWidth="1"/>
    <col min="8" max="8" width="13.7109375" bestFit="1" customWidth="1"/>
    <col min="13" max="13" width="27" bestFit="1" customWidth="1"/>
  </cols>
  <sheetData>
    <row r="3" spans="1:20" x14ac:dyDescent="0.25">
      <c r="A3" s="20"/>
      <c r="E3" t="s">
        <v>84</v>
      </c>
      <c r="S3" t="s">
        <v>9</v>
      </c>
    </row>
    <row r="4" spans="1:20" x14ac:dyDescent="0.25">
      <c r="A4" s="20"/>
      <c r="B4" s="55" t="s">
        <v>100</v>
      </c>
      <c r="C4" s="83"/>
      <c r="D4" s="55" t="s">
        <v>101</v>
      </c>
      <c r="E4" s="84"/>
      <c r="F4" s="55" t="s">
        <v>102</v>
      </c>
      <c r="G4" s="85"/>
      <c r="H4" s="55" t="s">
        <v>103</v>
      </c>
      <c r="I4" s="86"/>
    </row>
    <row r="5" spans="1:20" x14ac:dyDescent="0.25">
      <c r="P5" t="s">
        <v>14</v>
      </c>
    </row>
    <row r="6" spans="1:20" x14ac:dyDescent="0.25">
      <c r="A6" s="18" t="s">
        <v>7</v>
      </c>
      <c r="B6" s="18" t="s">
        <v>104</v>
      </c>
      <c r="C6" s="18" t="s">
        <v>105</v>
      </c>
      <c r="D6" s="18" t="s">
        <v>106</v>
      </c>
      <c r="E6" s="18" t="s">
        <v>107</v>
      </c>
      <c r="F6" s="18" t="s">
        <v>108</v>
      </c>
      <c r="G6" s="18" t="s">
        <v>109</v>
      </c>
      <c r="H6" s="18" t="s">
        <v>110</v>
      </c>
      <c r="I6" s="18" t="s">
        <v>111</v>
      </c>
      <c r="J6" s="18" t="s">
        <v>112</v>
      </c>
      <c r="K6" s="18" t="s">
        <v>113</v>
      </c>
      <c r="L6" s="18" t="s">
        <v>114</v>
      </c>
      <c r="M6" s="18" t="s">
        <v>115</v>
      </c>
      <c r="P6" t="s">
        <v>15</v>
      </c>
    </row>
    <row r="7" spans="1:20" x14ac:dyDescent="0.25">
      <c r="A7" s="18" t="s">
        <v>8</v>
      </c>
      <c r="B7" s="22"/>
      <c r="C7" s="22"/>
      <c r="D7" s="22"/>
      <c r="E7" s="22"/>
      <c r="F7" s="46"/>
      <c r="G7" s="46"/>
      <c r="H7" s="38"/>
      <c r="I7" s="38"/>
      <c r="J7" s="39"/>
      <c r="K7" s="39"/>
      <c r="L7" s="39"/>
      <c r="M7" s="39"/>
      <c r="P7" t="s">
        <v>16</v>
      </c>
      <c r="S7">
        <v>15883600</v>
      </c>
    </row>
    <row r="8" spans="1:20" x14ac:dyDescent="0.25">
      <c r="A8" s="18" t="s">
        <v>11</v>
      </c>
      <c r="B8" s="39"/>
      <c r="C8" s="39"/>
      <c r="D8" s="39"/>
      <c r="E8" s="22"/>
      <c r="F8" s="46"/>
      <c r="G8" s="46"/>
      <c r="H8" s="25"/>
      <c r="I8" s="28"/>
      <c r="J8" s="28"/>
      <c r="K8" s="28"/>
      <c r="L8" s="38"/>
      <c r="M8" s="38"/>
      <c r="P8" s="19" t="s">
        <v>17</v>
      </c>
      <c r="Q8" s="19" t="s">
        <v>18</v>
      </c>
      <c r="R8" s="57">
        <v>0.2</v>
      </c>
      <c r="S8" s="19">
        <f>S7*20/100</f>
        <v>3176720</v>
      </c>
    </row>
    <row r="9" spans="1:20" x14ac:dyDescent="0.25">
      <c r="A9" s="18" t="s">
        <v>10</v>
      </c>
      <c r="B9" s="40"/>
      <c r="C9" s="40"/>
      <c r="D9" s="40"/>
      <c r="E9" s="40"/>
      <c r="F9" s="46"/>
      <c r="G9" s="46"/>
      <c r="H9" s="25"/>
      <c r="I9" s="28"/>
      <c r="J9" s="28"/>
      <c r="K9" s="28"/>
      <c r="L9" s="28"/>
      <c r="M9" s="38"/>
      <c r="P9" s="19"/>
      <c r="Q9" s="19" t="s">
        <v>19</v>
      </c>
      <c r="R9" s="57">
        <v>0.8</v>
      </c>
      <c r="S9" s="19">
        <f>S7*80/100</f>
        <v>12706880</v>
      </c>
      <c r="T9">
        <v>61640.77</v>
      </c>
    </row>
    <row r="10" spans="1:20" x14ac:dyDescent="0.25">
      <c r="A10" s="18" t="s">
        <v>12</v>
      </c>
      <c r="B10" s="22"/>
      <c r="C10" s="22"/>
      <c r="D10" s="22"/>
      <c r="E10" s="23"/>
      <c r="F10" s="47"/>
      <c r="G10" s="47"/>
      <c r="H10" s="26"/>
      <c r="I10" s="28"/>
      <c r="J10" s="28"/>
      <c r="K10" s="28"/>
      <c r="L10" s="28"/>
      <c r="M10" s="22"/>
      <c r="P10" s="19"/>
      <c r="Q10" s="19"/>
      <c r="R10" s="57"/>
      <c r="S10" s="19">
        <f>SUM(S8:S9)</f>
        <v>15883600</v>
      </c>
    </row>
    <row r="11" spans="1:20" x14ac:dyDescent="0.25">
      <c r="A11" s="18" t="s">
        <v>13</v>
      </c>
      <c r="B11" s="22"/>
      <c r="C11" s="22"/>
      <c r="D11" s="22"/>
      <c r="E11" s="22"/>
      <c r="F11" s="47"/>
      <c r="G11" s="47"/>
      <c r="H11" s="26"/>
      <c r="I11" s="29"/>
      <c r="J11" s="28"/>
      <c r="K11" s="28"/>
      <c r="L11" s="28"/>
      <c r="M11" s="22"/>
      <c r="P11" t="s">
        <v>20</v>
      </c>
      <c r="Q11" s="1">
        <v>0.11</v>
      </c>
    </row>
    <row r="12" spans="1:20" x14ac:dyDescent="0.25">
      <c r="A12" s="21" t="s">
        <v>48</v>
      </c>
      <c r="B12" s="24"/>
      <c r="C12" s="24"/>
      <c r="D12" s="24"/>
      <c r="E12" s="24"/>
      <c r="F12" s="48"/>
      <c r="G12" s="48"/>
      <c r="H12" s="27"/>
      <c r="I12" s="30"/>
      <c r="J12" s="30"/>
      <c r="K12" s="30"/>
      <c r="L12" s="30"/>
      <c r="M12" s="24"/>
    </row>
    <row r="13" spans="1:20" x14ac:dyDescent="0.25">
      <c r="A13" s="21" t="s">
        <v>49</v>
      </c>
      <c r="B13" s="24"/>
      <c r="C13" s="24"/>
      <c r="D13" s="24"/>
      <c r="E13" s="24"/>
      <c r="F13" s="48"/>
      <c r="G13" s="48"/>
      <c r="H13" s="27"/>
      <c r="I13" s="41"/>
      <c r="J13" s="41"/>
      <c r="K13" s="41"/>
      <c r="L13" s="41"/>
      <c r="M13" s="24"/>
    </row>
    <row r="14" spans="1:20" x14ac:dyDescent="0.25">
      <c r="A14" s="21" t="s">
        <v>42</v>
      </c>
      <c r="B14" s="31">
        <v>14000</v>
      </c>
      <c r="C14" s="31">
        <v>16000</v>
      </c>
      <c r="D14" s="31">
        <v>18000</v>
      </c>
      <c r="E14" s="59">
        <v>14000</v>
      </c>
      <c r="F14" s="48"/>
      <c r="G14" s="48"/>
      <c r="H14" s="60">
        <v>500</v>
      </c>
      <c r="I14" s="32">
        <v>7500</v>
      </c>
      <c r="J14" s="32">
        <v>10000</v>
      </c>
      <c r="K14" s="32">
        <v>12000</v>
      </c>
      <c r="L14" s="32">
        <v>12000</v>
      </c>
      <c r="M14" s="31">
        <v>14000</v>
      </c>
      <c r="N14" s="61">
        <f>SUM(B14:M14)</f>
        <v>118000</v>
      </c>
    </row>
    <row r="15" spans="1:20" x14ac:dyDescent="0.25">
      <c r="F15" s="45" t="s">
        <v>82</v>
      </c>
      <c r="G15" s="45" t="s">
        <v>83</v>
      </c>
      <c r="S15" t="s">
        <v>125</v>
      </c>
      <c r="T15" s="1">
        <v>0.2</v>
      </c>
    </row>
    <row r="16" spans="1:20" x14ac:dyDescent="0.25">
      <c r="B16" t="s">
        <v>87</v>
      </c>
      <c r="F16" s="43"/>
      <c r="G16" s="43"/>
      <c r="H16" s="43"/>
      <c r="I16" s="43"/>
      <c r="J16" s="43"/>
      <c r="L16" s="44" t="s">
        <v>64</v>
      </c>
      <c r="M16" s="44" t="s">
        <v>65</v>
      </c>
      <c r="N16" s="44" t="s">
        <v>66</v>
      </c>
      <c r="O16" s="44" t="s">
        <v>67</v>
      </c>
      <c r="P16" s="44" t="s">
        <v>68</v>
      </c>
      <c r="S16">
        <v>300000</v>
      </c>
      <c r="T16">
        <f>20*S16/100</f>
        <v>60000</v>
      </c>
    </row>
    <row r="17" spans="1:20" x14ac:dyDescent="0.25">
      <c r="A17" s="19" t="s">
        <v>116</v>
      </c>
      <c r="B17" s="19" t="s">
        <v>117</v>
      </c>
      <c r="C17" s="19" t="s">
        <v>118</v>
      </c>
      <c r="D17" s="71" t="s">
        <v>86</v>
      </c>
      <c r="E17" s="1"/>
      <c r="F17" s="43"/>
      <c r="G17" s="43"/>
      <c r="H17" s="43"/>
      <c r="I17" s="43"/>
      <c r="J17" s="43"/>
      <c r="L17" s="19">
        <v>1</v>
      </c>
      <c r="M17" s="17" t="s">
        <v>58</v>
      </c>
      <c r="N17" s="17">
        <v>30</v>
      </c>
      <c r="O17" s="17">
        <v>400</v>
      </c>
      <c r="P17" s="17">
        <f>N17*O17</f>
        <v>12000</v>
      </c>
      <c r="Q17" s="42"/>
      <c r="S17">
        <f>S16+T16</f>
        <v>360000</v>
      </c>
      <c r="T17">
        <f>20*S17/100</f>
        <v>72000</v>
      </c>
    </row>
    <row r="18" spans="1:20" x14ac:dyDescent="0.25">
      <c r="A18" s="19">
        <v>100</v>
      </c>
      <c r="B18" s="19">
        <v>59000</v>
      </c>
      <c r="C18" s="19">
        <v>118000</v>
      </c>
      <c r="D18" s="19">
        <f>B18*18</f>
        <v>1062000</v>
      </c>
      <c r="I18" s="68" t="s">
        <v>85</v>
      </c>
      <c r="J18" s="43"/>
      <c r="L18" s="19">
        <v>2</v>
      </c>
      <c r="M18" s="19" t="s">
        <v>59</v>
      </c>
      <c r="N18" s="19">
        <v>60</v>
      </c>
      <c r="O18" s="19">
        <v>300</v>
      </c>
      <c r="P18" s="17">
        <f t="shared" ref="P18:P21" si="0">N18*O18</f>
        <v>18000</v>
      </c>
      <c r="S18">
        <f t="shared" ref="S18:S23" si="1">S17+T17</f>
        <v>432000</v>
      </c>
      <c r="T18">
        <f t="shared" ref="T18:T25" si="2">20*S18/100</f>
        <v>86400</v>
      </c>
    </row>
    <row r="19" spans="1:20" x14ac:dyDescent="0.25">
      <c r="A19" s="19">
        <v>65</v>
      </c>
      <c r="B19" s="19">
        <v>38350</v>
      </c>
      <c r="C19" s="19">
        <f t="shared" ref="C19:C26" si="3">A19*$C$18/$A$18</f>
        <v>76700</v>
      </c>
      <c r="D19" s="19">
        <f t="shared" ref="D19:D26" si="4">B19*18</f>
        <v>690300</v>
      </c>
      <c r="J19" s="43"/>
      <c r="L19" s="19">
        <v>3</v>
      </c>
      <c r="M19" s="19" t="s">
        <v>62</v>
      </c>
      <c r="N19" s="19">
        <v>150</v>
      </c>
      <c r="O19" s="19">
        <v>150</v>
      </c>
      <c r="P19" s="17">
        <f t="shared" si="0"/>
        <v>22500</v>
      </c>
      <c r="S19">
        <f t="shared" si="1"/>
        <v>518400</v>
      </c>
      <c r="T19">
        <f t="shared" si="2"/>
        <v>103680</v>
      </c>
    </row>
    <row r="20" spans="1:20" x14ac:dyDescent="0.25">
      <c r="A20" s="19">
        <v>80</v>
      </c>
      <c r="B20" s="19">
        <v>47200</v>
      </c>
      <c r="C20" s="19">
        <f t="shared" si="3"/>
        <v>94400</v>
      </c>
      <c r="D20" s="19">
        <f t="shared" si="4"/>
        <v>849600</v>
      </c>
      <c r="J20" s="43"/>
      <c r="L20" s="19">
        <v>4</v>
      </c>
      <c r="M20" s="19" t="s">
        <v>63</v>
      </c>
      <c r="N20" s="19">
        <v>250</v>
      </c>
      <c r="O20" s="19">
        <v>100</v>
      </c>
      <c r="P20" s="17">
        <f t="shared" si="0"/>
        <v>25000</v>
      </c>
      <c r="S20">
        <f t="shared" si="1"/>
        <v>622080</v>
      </c>
      <c r="T20">
        <f t="shared" si="2"/>
        <v>124416</v>
      </c>
    </row>
    <row r="21" spans="1:20" x14ac:dyDescent="0.25">
      <c r="A21" s="19">
        <v>100</v>
      </c>
      <c r="B21" s="19">
        <v>59000</v>
      </c>
      <c r="C21" s="19">
        <f t="shared" si="3"/>
        <v>118000</v>
      </c>
      <c r="D21" s="19">
        <f t="shared" si="4"/>
        <v>1062000</v>
      </c>
      <c r="F21" s="43"/>
      <c r="G21" s="43"/>
      <c r="H21" s="43"/>
      <c r="I21" s="43"/>
      <c r="J21" s="43"/>
      <c r="L21" s="19">
        <v>5</v>
      </c>
      <c r="M21" s="19" t="s">
        <v>60</v>
      </c>
      <c r="N21" s="19">
        <v>500</v>
      </c>
      <c r="O21" s="19">
        <v>150</v>
      </c>
      <c r="P21" s="17">
        <f t="shared" si="0"/>
        <v>75000</v>
      </c>
      <c r="S21">
        <f t="shared" si="1"/>
        <v>746496</v>
      </c>
      <c r="T21">
        <f t="shared" si="2"/>
        <v>149299.20000000001</v>
      </c>
    </row>
    <row r="22" spans="1:20" x14ac:dyDescent="0.25">
      <c r="A22" s="19">
        <v>110</v>
      </c>
      <c r="B22" s="19">
        <v>64900</v>
      </c>
      <c r="C22" s="19">
        <f t="shared" si="3"/>
        <v>129800</v>
      </c>
      <c r="D22" s="19">
        <f t="shared" si="4"/>
        <v>1168200</v>
      </c>
      <c r="F22" s="43"/>
      <c r="G22" s="43"/>
      <c r="H22" s="43"/>
      <c r="I22" s="43"/>
      <c r="J22" s="43"/>
      <c r="L22" s="19">
        <v>6</v>
      </c>
      <c r="M22" s="19" t="s">
        <v>61</v>
      </c>
      <c r="N22" s="17">
        <f t="shared" ref="N22:O22" si="5">SUM(N17:N21)</f>
        <v>990</v>
      </c>
      <c r="O22" s="17">
        <f t="shared" si="5"/>
        <v>1100</v>
      </c>
      <c r="P22" s="38">
        <f>SUM(P17:P21)</f>
        <v>152500</v>
      </c>
      <c r="S22">
        <f t="shared" si="1"/>
        <v>895795.19999999995</v>
      </c>
      <c r="T22">
        <f t="shared" si="2"/>
        <v>179159.04000000001</v>
      </c>
    </row>
    <row r="23" spans="1:20" x14ac:dyDescent="0.25">
      <c r="A23" s="19">
        <v>20</v>
      </c>
      <c r="B23" s="19">
        <f>C23*50/100</f>
        <v>11800</v>
      </c>
      <c r="C23" s="19">
        <f t="shared" si="3"/>
        <v>23600</v>
      </c>
      <c r="D23" s="19">
        <f t="shared" si="4"/>
        <v>212400</v>
      </c>
      <c r="F23" s="43"/>
      <c r="G23" s="43"/>
      <c r="H23" s="43"/>
      <c r="I23" s="43"/>
      <c r="J23" s="43"/>
      <c r="S23">
        <f t="shared" si="1"/>
        <v>1074954.24</v>
      </c>
      <c r="T23">
        <f t="shared" si="2"/>
        <v>214990.848</v>
      </c>
    </row>
    <row r="24" spans="1:20" x14ac:dyDescent="0.25">
      <c r="A24" s="19">
        <v>45</v>
      </c>
      <c r="B24" s="19">
        <f t="shared" ref="B24:B26" si="6">C24*50/100</f>
        <v>26550</v>
      </c>
      <c r="C24" s="19">
        <f t="shared" si="3"/>
        <v>53100</v>
      </c>
      <c r="D24" s="19">
        <f t="shared" si="4"/>
        <v>477900</v>
      </c>
      <c r="F24" s="43"/>
      <c r="G24" s="43"/>
      <c r="H24" s="43"/>
      <c r="I24" s="43"/>
      <c r="J24" s="43"/>
      <c r="L24" s="19">
        <v>1</v>
      </c>
      <c r="M24" s="19" t="s">
        <v>70</v>
      </c>
      <c r="N24" s="19" t="s">
        <v>69</v>
      </c>
      <c r="O24" s="19">
        <f>500*10</f>
        <v>5000</v>
      </c>
      <c r="P24" s="41">
        <f>30*O24</f>
        <v>150000</v>
      </c>
      <c r="S24">
        <f t="shared" ref="S24:S25" si="7">S23+T23</f>
        <v>1289945.088</v>
      </c>
      <c r="T24">
        <f t="shared" si="2"/>
        <v>257989.01759999999</v>
      </c>
    </row>
    <row r="25" spans="1:20" x14ac:dyDescent="0.25">
      <c r="A25" s="19">
        <v>60</v>
      </c>
      <c r="B25" s="19">
        <f t="shared" si="6"/>
        <v>35400</v>
      </c>
      <c r="C25" s="19">
        <f t="shared" si="3"/>
        <v>70800</v>
      </c>
      <c r="D25" s="19">
        <f t="shared" si="4"/>
        <v>637200</v>
      </c>
      <c r="F25" s="43"/>
      <c r="G25" s="43"/>
      <c r="H25" s="43"/>
      <c r="I25" s="43"/>
      <c r="J25" s="43"/>
      <c r="S25">
        <f t="shared" si="7"/>
        <v>1547934.1055999999</v>
      </c>
      <c r="T25">
        <f t="shared" si="2"/>
        <v>309586.82111999998</v>
      </c>
    </row>
    <row r="26" spans="1:20" x14ac:dyDescent="0.25">
      <c r="A26" s="19">
        <v>90</v>
      </c>
      <c r="B26" s="19">
        <f t="shared" si="6"/>
        <v>53100</v>
      </c>
      <c r="C26" s="19">
        <f t="shared" si="3"/>
        <v>106200</v>
      </c>
      <c r="D26" s="19">
        <f t="shared" si="4"/>
        <v>955800</v>
      </c>
      <c r="F26" s="43"/>
      <c r="G26" s="43"/>
      <c r="H26" s="43"/>
      <c r="I26" s="43"/>
      <c r="J26" s="43"/>
      <c r="L26" s="19">
        <v>1</v>
      </c>
      <c r="M26" s="19" t="s">
        <v>71</v>
      </c>
      <c r="N26" s="19">
        <v>6000</v>
      </c>
      <c r="O26" s="19">
        <f>N26*12</f>
        <v>72000</v>
      </c>
    </row>
    <row r="27" spans="1:20" x14ac:dyDescent="0.25">
      <c r="L27" s="19">
        <v>2</v>
      </c>
      <c r="M27" s="19" t="s">
        <v>72</v>
      </c>
      <c r="N27" s="19">
        <v>8000</v>
      </c>
      <c r="O27" s="19">
        <f>N27*12</f>
        <v>96000</v>
      </c>
    </row>
    <row r="28" spans="1:20" x14ac:dyDescent="0.25">
      <c r="A28" s="19"/>
      <c r="B28" s="57">
        <v>0.65</v>
      </c>
      <c r="C28" s="57">
        <v>0.8</v>
      </c>
      <c r="D28" s="57">
        <v>1</v>
      </c>
      <c r="E28" s="57">
        <v>1.1000000000000001</v>
      </c>
      <c r="L28" s="19"/>
      <c r="M28" s="19"/>
      <c r="N28" s="19"/>
      <c r="O28" s="41">
        <f>SUM(O26:O27)</f>
        <v>168000</v>
      </c>
    </row>
    <row r="29" spans="1:20" x14ac:dyDescent="0.25">
      <c r="A29" s="87" t="s">
        <v>77</v>
      </c>
      <c r="B29" s="19">
        <v>76700</v>
      </c>
      <c r="C29" s="19">
        <v>94400</v>
      </c>
      <c r="D29" s="19">
        <v>118000</v>
      </c>
      <c r="E29" s="19">
        <v>129800</v>
      </c>
      <c r="F29" s="42"/>
      <c r="G29" s="42"/>
      <c r="H29" s="42"/>
      <c r="I29" s="42"/>
      <c r="J29" s="42"/>
      <c r="K29" s="42"/>
      <c r="L29" s="42"/>
      <c r="M29" s="42"/>
      <c r="N29" s="42"/>
      <c r="O29" s="42"/>
    </row>
    <row r="30" spans="1:20" x14ac:dyDescent="0.25">
      <c r="A30" s="87" t="s">
        <v>76</v>
      </c>
      <c r="B30" s="19">
        <f>B29*2</f>
        <v>153400</v>
      </c>
      <c r="C30" s="19">
        <f>C29*2</f>
        <v>188800</v>
      </c>
      <c r="D30" s="19">
        <f>D29*2</f>
        <v>236000</v>
      </c>
      <c r="E30" s="19">
        <f>E29*2</f>
        <v>259600</v>
      </c>
      <c r="F30" s="42"/>
      <c r="G30" s="42"/>
      <c r="H30" s="42"/>
      <c r="J30" s="73"/>
      <c r="K30" s="73"/>
      <c r="L30" s="73"/>
      <c r="M30" s="73"/>
      <c r="N30" s="73"/>
      <c r="O30" s="42"/>
    </row>
    <row r="31" spans="1:20" x14ac:dyDescent="0.25">
      <c r="E31" s="42"/>
      <c r="F31" s="42"/>
      <c r="G31" s="42"/>
      <c r="H31" s="42"/>
      <c r="J31" s="77" t="s">
        <v>43</v>
      </c>
      <c r="K31" s="77">
        <v>3</v>
      </c>
      <c r="L31" s="77">
        <v>1785</v>
      </c>
      <c r="M31" s="77">
        <f>L31*K31</f>
        <v>5355</v>
      </c>
      <c r="N31" s="73"/>
      <c r="O31" s="42"/>
    </row>
    <row r="32" spans="1:20" x14ac:dyDescent="0.25">
      <c r="A32" s="69" t="s">
        <v>78</v>
      </c>
      <c r="B32" s="70"/>
      <c r="C32" s="62"/>
      <c r="E32" s="42"/>
      <c r="F32" s="42"/>
      <c r="G32" s="42"/>
      <c r="H32" s="42"/>
      <c r="J32" s="77" t="s">
        <v>44</v>
      </c>
      <c r="K32" s="77">
        <v>5</v>
      </c>
      <c r="L32" s="77">
        <v>2025</v>
      </c>
      <c r="M32" s="77">
        <f>L32*K32</f>
        <v>10125</v>
      </c>
      <c r="N32" s="73"/>
      <c r="O32" s="42"/>
    </row>
    <row r="33" spans="1:15" x14ac:dyDescent="0.25">
      <c r="A33" s="63" t="s">
        <v>89</v>
      </c>
      <c r="B33" s="43" t="s">
        <v>79</v>
      </c>
      <c r="C33" s="64" t="s">
        <v>88</v>
      </c>
      <c r="E33" s="42"/>
      <c r="F33" s="42"/>
      <c r="G33" s="42"/>
      <c r="H33" s="42"/>
      <c r="J33" s="77"/>
      <c r="K33" s="77"/>
      <c r="L33" s="77"/>
      <c r="M33" s="77">
        <f>SUM(M31:M32)</f>
        <v>15480</v>
      </c>
      <c r="N33" s="73"/>
      <c r="O33" s="42"/>
    </row>
    <row r="34" spans="1:15" x14ac:dyDescent="0.25">
      <c r="A34" s="63"/>
      <c r="B34" s="43"/>
      <c r="C34" s="64"/>
      <c r="E34" s="42"/>
      <c r="F34" s="42"/>
      <c r="G34" s="42"/>
      <c r="H34" s="42"/>
      <c r="J34" s="73"/>
      <c r="K34" s="73"/>
      <c r="L34" s="73"/>
      <c r="M34" s="73"/>
      <c r="N34" s="73"/>
      <c r="O34" s="42"/>
    </row>
    <row r="35" spans="1:15" x14ac:dyDescent="0.25">
      <c r="A35" s="63" t="s">
        <v>90</v>
      </c>
      <c r="B35" s="43" t="s">
        <v>80</v>
      </c>
      <c r="C35" s="72">
        <v>50000000</v>
      </c>
      <c r="E35" s="42"/>
      <c r="F35" s="42"/>
      <c r="G35" s="42"/>
      <c r="H35" s="42"/>
      <c r="J35" s="73"/>
      <c r="K35" s="73" t="s">
        <v>45</v>
      </c>
      <c r="L35" s="73" t="s">
        <v>46</v>
      </c>
      <c r="M35" s="73" t="s">
        <v>47</v>
      </c>
      <c r="N35" s="73"/>
      <c r="O35" s="42"/>
    </row>
    <row r="36" spans="1:15" x14ac:dyDescent="0.25">
      <c r="A36" s="65" t="s">
        <v>81</v>
      </c>
      <c r="B36" s="66"/>
      <c r="C36" s="67">
        <f>C35*1.5/100</f>
        <v>750000</v>
      </c>
      <c r="E36" s="42"/>
      <c r="F36" s="42"/>
      <c r="G36" s="42"/>
      <c r="H36" s="42"/>
      <c r="J36" s="77" t="s">
        <v>34</v>
      </c>
      <c r="K36" s="77">
        <v>1500</v>
      </c>
      <c r="L36" s="77">
        <v>2</v>
      </c>
      <c r="M36" s="77">
        <f>K36*L36</f>
        <v>3000</v>
      </c>
      <c r="N36" s="73"/>
      <c r="O36" s="42"/>
    </row>
    <row r="37" spans="1:15" x14ac:dyDescent="0.25">
      <c r="E37" s="42"/>
      <c r="F37" s="42"/>
      <c r="G37" s="42"/>
      <c r="H37" s="42"/>
      <c r="J37" s="73"/>
      <c r="K37" s="73"/>
      <c r="L37" s="73"/>
      <c r="M37" s="73"/>
      <c r="N37" s="73"/>
      <c r="O37" s="42"/>
    </row>
    <row r="38" spans="1:15" x14ac:dyDescent="0.25">
      <c r="E38" s="42"/>
      <c r="F38" s="42"/>
      <c r="G38" s="42"/>
      <c r="H38" s="42"/>
      <c r="J38" s="73"/>
      <c r="K38" s="73"/>
      <c r="L38" s="73"/>
      <c r="M38" s="73"/>
      <c r="N38" s="73"/>
      <c r="O38" s="42"/>
    </row>
    <row r="39" spans="1:15" x14ac:dyDescent="0.25">
      <c r="E39" s="42"/>
      <c r="F39" s="42"/>
      <c r="G39" s="42"/>
      <c r="H39" s="42"/>
      <c r="J39" t="s">
        <v>37</v>
      </c>
      <c r="K39" s="73"/>
      <c r="L39" s="73"/>
      <c r="M39" s="73"/>
      <c r="N39" s="73"/>
      <c r="O39" s="42"/>
    </row>
  </sheetData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opLeftCell="A7" zoomScale="87" zoomScaleNormal="87" workbookViewId="0">
      <selection activeCell="C31" sqref="C31:I31"/>
    </sheetView>
  </sheetViews>
  <sheetFormatPr defaultRowHeight="15" x14ac:dyDescent="0.25"/>
  <cols>
    <col min="2" max="2" width="50.140625" bestFit="1" customWidth="1"/>
    <col min="3" max="12" width="14.28515625" style="73" bestFit="1" customWidth="1"/>
  </cols>
  <sheetData>
    <row r="1" spans="1:12" ht="27.75" customHeight="1" x14ac:dyDescent="0.25">
      <c r="A1" s="95" t="s">
        <v>21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</row>
    <row r="2" spans="1:12" x14ac:dyDescent="0.25">
      <c r="A2" s="49" t="s">
        <v>0</v>
      </c>
      <c r="B2" s="49" t="s">
        <v>1</v>
      </c>
      <c r="C2" s="92" t="s">
        <v>51</v>
      </c>
      <c r="D2" s="92"/>
      <c r="E2" s="92"/>
      <c r="F2" s="92"/>
      <c r="G2" s="92"/>
      <c r="H2" s="92"/>
      <c r="I2" s="92"/>
      <c r="J2" s="92"/>
      <c r="K2" s="92"/>
      <c r="L2" s="92"/>
    </row>
    <row r="3" spans="1:12" x14ac:dyDescent="0.25">
      <c r="A3" s="50"/>
      <c r="B3" s="51"/>
      <c r="C3" s="74">
        <v>1</v>
      </c>
      <c r="D3" s="74">
        <v>2</v>
      </c>
      <c r="E3" s="74">
        <v>3</v>
      </c>
      <c r="F3" s="74">
        <v>4</v>
      </c>
      <c r="G3" s="74">
        <v>5</v>
      </c>
      <c r="H3" s="74">
        <v>6</v>
      </c>
      <c r="I3" s="74">
        <v>7</v>
      </c>
      <c r="J3" s="74">
        <v>8</v>
      </c>
      <c r="K3" s="74">
        <v>9</v>
      </c>
      <c r="L3" s="74">
        <v>10</v>
      </c>
    </row>
    <row r="4" spans="1:12" x14ac:dyDescent="0.25">
      <c r="A4" s="50">
        <v>1</v>
      </c>
      <c r="B4" s="51" t="s">
        <v>2</v>
      </c>
      <c r="C4" s="75">
        <v>1000</v>
      </c>
      <c r="D4" s="75">
        <v>1000</v>
      </c>
      <c r="E4" s="75">
        <v>1000</v>
      </c>
      <c r="F4" s="75">
        <v>1000</v>
      </c>
      <c r="G4" s="75">
        <v>1000</v>
      </c>
      <c r="H4" s="75">
        <v>1000</v>
      </c>
      <c r="I4" s="75">
        <v>1000</v>
      </c>
      <c r="J4" s="75">
        <v>1000</v>
      </c>
      <c r="K4" s="75">
        <v>1000</v>
      </c>
      <c r="L4" s="75">
        <v>1000</v>
      </c>
    </row>
    <row r="5" spans="1:12" x14ac:dyDescent="0.25">
      <c r="A5" s="50">
        <v>2</v>
      </c>
      <c r="B5" s="51" t="s">
        <v>92</v>
      </c>
      <c r="C5" s="80">
        <v>0.65</v>
      </c>
      <c r="D5" s="80">
        <v>0.8</v>
      </c>
      <c r="E5" s="80">
        <v>1</v>
      </c>
      <c r="F5" s="80">
        <v>1</v>
      </c>
      <c r="G5" s="80">
        <v>1</v>
      </c>
      <c r="H5" s="80">
        <v>1</v>
      </c>
      <c r="I5" s="80">
        <v>1</v>
      </c>
      <c r="J5" s="80">
        <v>1.1000000000000001</v>
      </c>
      <c r="K5" s="80">
        <v>1.1000000000000001</v>
      </c>
      <c r="L5" s="80">
        <v>1.1000000000000001</v>
      </c>
    </row>
    <row r="6" spans="1:12" x14ac:dyDescent="0.25">
      <c r="A6" s="53">
        <v>3</v>
      </c>
      <c r="B6" s="51" t="s">
        <v>32</v>
      </c>
      <c r="C6" s="76">
        <f t="shared" ref="C6:L6" si="0">C5*C4</f>
        <v>650</v>
      </c>
      <c r="D6" s="76">
        <f t="shared" si="0"/>
        <v>800</v>
      </c>
      <c r="E6" s="76">
        <f t="shared" si="0"/>
        <v>1000</v>
      </c>
      <c r="F6" s="76">
        <f t="shared" si="0"/>
        <v>1000</v>
      </c>
      <c r="G6" s="76">
        <f t="shared" si="0"/>
        <v>1000</v>
      </c>
      <c r="H6" s="76">
        <f t="shared" si="0"/>
        <v>1000</v>
      </c>
      <c r="I6" s="76">
        <f t="shared" si="0"/>
        <v>1000</v>
      </c>
      <c r="J6" s="76">
        <f t="shared" si="0"/>
        <v>1100</v>
      </c>
      <c r="K6" s="76">
        <f t="shared" si="0"/>
        <v>1100</v>
      </c>
      <c r="L6" s="76">
        <f t="shared" si="0"/>
        <v>1100</v>
      </c>
    </row>
    <row r="7" spans="1:12" x14ac:dyDescent="0.25">
      <c r="A7" s="53">
        <v>4</v>
      </c>
      <c r="B7" s="51" t="s">
        <v>91</v>
      </c>
      <c r="C7" s="76">
        <f t="shared" ref="C7:L7" si="1">118000*C5</f>
        <v>76700</v>
      </c>
      <c r="D7" s="76">
        <f t="shared" si="1"/>
        <v>94400</v>
      </c>
      <c r="E7" s="76">
        <f t="shared" si="1"/>
        <v>118000</v>
      </c>
      <c r="F7" s="76">
        <f t="shared" si="1"/>
        <v>118000</v>
      </c>
      <c r="G7" s="76">
        <f t="shared" si="1"/>
        <v>118000</v>
      </c>
      <c r="H7" s="76">
        <f t="shared" si="1"/>
        <v>118000</v>
      </c>
      <c r="I7" s="76">
        <f t="shared" si="1"/>
        <v>118000</v>
      </c>
      <c r="J7" s="76">
        <f t="shared" si="1"/>
        <v>129800.00000000001</v>
      </c>
      <c r="K7" s="76">
        <f t="shared" si="1"/>
        <v>129800.00000000001</v>
      </c>
      <c r="L7" s="76">
        <f t="shared" si="1"/>
        <v>129800.00000000001</v>
      </c>
    </row>
    <row r="8" spans="1:12" x14ac:dyDescent="0.25">
      <c r="A8" s="53">
        <v>5</v>
      </c>
      <c r="B8" s="51" t="s">
        <v>73</v>
      </c>
      <c r="C8" s="77">
        <f>C7*18/2</f>
        <v>690300</v>
      </c>
      <c r="D8" s="77">
        <f t="shared" ref="D8:L8" si="2">D7*18/2</f>
        <v>849600</v>
      </c>
      <c r="E8" s="77">
        <f t="shared" si="2"/>
        <v>1062000</v>
      </c>
      <c r="F8" s="77">
        <f t="shared" si="2"/>
        <v>1062000</v>
      </c>
      <c r="G8" s="77">
        <f t="shared" si="2"/>
        <v>1062000</v>
      </c>
      <c r="H8" s="77">
        <f t="shared" si="2"/>
        <v>1062000</v>
      </c>
      <c r="I8" s="77">
        <f t="shared" si="2"/>
        <v>1062000</v>
      </c>
      <c r="J8" s="77">
        <f t="shared" si="2"/>
        <v>1168200.0000000002</v>
      </c>
      <c r="K8" s="77">
        <f t="shared" si="2"/>
        <v>1168200.0000000002</v>
      </c>
      <c r="L8" s="77">
        <f t="shared" si="2"/>
        <v>1168200.0000000002</v>
      </c>
    </row>
    <row r="9" spans="1:12" x14ac:dyDescent="0.25">
      <c r="A9" s="94" t="s">
        <v>3</v>
      </c>
      <c r="B9" s="94"/>
      <c r="C9" s="94"/>
      <c r="D9" s="94"/>
      <c r="E9" s="94"/>
      <c r="F9" s="94"/>
      <c r="G9" s="94"/>
      <c r="H9" s="94"/>
      <c r="I9" s="94"/>
      <c r="J9" s="78"/>
      <c r="K9" s="78"/>
      <c r="L9" s="78"/>
    </row>
    <row r="10" spans="1:12" x14ac:dyDescent="0.25">
      <c r="A10" s="54">
        <v>1</v>
      </c>
      <c r="B10" s="52" t="s">
        <v>50</v>
      </c>
      <c r="C10" s="77">
        <v>690300</v>
      </c>
      <c r="D10" s="77">
        <v>849600</v>
      </c>
      <c r="E10" s="77">
        <v>1062000</v>
      </c>
      <c r="F10" s="77">
        <v>1062000</v>
      </c>
      <c r="G10" s="77">
        <v>1062000</v>
      </c>
      <c r="H10" s="77">
        <v>1062000</v>
      </c>
      <c r="I10" s="77">
        <v>1062000</v>
      </c>
      <c r="J10" s="77">
        <v>1168200</v>
      </c>
      <c r="K10" s="77">
        <v>1168200</v>
      </c>
      <c r="L10" s="77">
        <v>1168200</v>
      </c>
    </row>
    <row r="11" spans="1:12" x14ac:dyDescent="0.25">
      <c r="A11" s="54">
        <v>3</v>
      </c>
      <c r="B11" s="52" t="s">
        <v>53</v>
      </c>
      <c r="C11" s="76">
        <v>152500</v>
      </c>
      <c r="D11" s="76">
        <v>152500</v>
      </c>
      <c r="E11" s="76">
        <v>152500</v>
      </c>
      <c r="F11" s="76">
        <v>152500</v>
      </c>
      <c r="G11" s="76">
        <v>152500</v>
      </c>
      <c r="H11" s="76">
        <v>152500</v>
      </c>
      <c r="I11" s="76">
        <v>152500</v>
      </c>
      <c r="J11" s="76">
        <v>152500</v>
      </c>
      <c r="K11" s="76">
        <v>152500</v>
      </c>
      <c r="L11" s="76">
        <v>152500</v>
      </c>
    </row>
    <row r="12" spans="1:12" x14ac:dyDescent="0.25">
      <c r="A12" s="54">
        <v>4</v>
      </c>
      <c r="B12" s="52" t="s">
        <v>54</v>
      </c>
      <c r="C12" s="76">
        <v>153400</v>
      </c>
      <c r="D12" s="76">
        <v>188800</v>
      </c>
      <c r="E12" s="78">
        <f t="shared" ref="E12" si="3">E11*2</f>
        <v>305000</v>
      </c>
      <c r="F12" s="78">
        <f t="shared" ref="F12" si="4">F11*2</f>
        <v>305000</v>
      </c>
      <c r="G12" s="78">
        <f t="shared" ref="G12" si="5">G11*2</f>
        <v>305000</v>
      </c>
      <c r="H12" s="78">
        <f t="shared" ref="H12" si="6">H11*2</f>
        <v>305000</v>
      </c>
      <c r="I12" s="78">
        <f t="shared" ref="I12" si="7">I11*2</f>
        <v>305000</v>
      </c>
      <c r="J12" s="76">
        <v>259600</v>
      </c>
      <c r="K12" s="76">
        <v>259600</v>
      </c>
      <c r="L12" s="76">
        <v>259600</v>
      </c>
    </row>
    <row r="13" spans="1:12" x14ac:dyDescent="0.25">
      <c r="A13" s="54">
        <v>5</v>
      </c>
      <c r="B13" s="52" t="s">
        <v>55</v>
      </c>
      <c r="C13" s="76">
        <v>76700</v>
      </c>
      <c r="D13" s="78">
        <v>94400</v>
      </c>
      <c r="E13" s="78">
        <v>118000</v>
      </c>
      <c r="F13" s="78">
        <v>118000</v>
      </c>
      <c r="G13" s="78">
        <v>118000</v>
      </c>
      <c r="H13" s="78">
        <v>118000</v>
      </c>
      <c r="I13" s="78">
        <v>118000</v>
      </c>
      <c r="J13" s="78">
        <v>129800</v>
      </c>
      <c r="K13" s="78">
        <v>129800</v>
      </c>
      <c r="L13" s="78">
        <v>129800</v>
      </c>
    </row>
    <row r="14" spans="1:12" x14ac:dyDescent="0.25">
      <c r="A14" s="54">
        <v>6</v>
      </c>
      <c r="B14" s="52" t="s">
        <v>75</v>
      </c>
      <c r="C14" s="76">
        <v>150000</v>
      </c>
      <c r="D14" s="76">
        <v>150000</v>
      </c>
      <c r="E14" s="76">
        <v>150000</v>
      </c>
      <c r="F14" s="76">
        <v>150000</v>
      </c>
      <c r="G14" s="76">
        <v>150000</v>
      </c>
      <c r="H14" s="76">
        <v>150000</v>
      </c>
      <c r="I14" s="76">
        <v>150000</v>
      </c>
      <c r="J14" s="76">
        <v>150000</v>
      </c>
      <c r="K14" s="76">
        <v>150000</v>
      </c>
      <c r="L14" s="76">
        <v>150000</v>
      </c>
    </row>
    <row r="15" spans="1:12" x14ac:dyDescent="0.25">
      <c r="A15" s="54">
        <v>7</v>
      </c>
      <c r="B15" s="52" t="s">
        <v>128</v>
      </c>
      <c r="C15" s="76">
        <v>100000</v>
      </c>
      <c r="D15" s="76">
        <v>100000</v>
      </c>
      <c r="E15" s="76">
        <v>100000</v>
      </c>
      <c r="F15" s="76">
        <v>100000</v>
      </c>
      <c r="G15" s="76">
        <v>100000</v>
      </c>
      <c r="H15" s="76">
        <v>100000</v>
      </c>
      <c r="I15" s="76">
        <v>100000</v>
      </c>
      <c r="J15" s="76">
        <v>100000</v>
      </c>
      <c r="K15" s="76">
        <v>100000</v>
      </c>
      <c r="L15" s="76">
        <v>100000</v>
      </c>
    </row>
    <row r="16" spans="1:12" x14ac:dyDescent="0.25">
      <c r="A16" s="54">
        <v>8</v>
      </c>
      <c r="B16" s="52" t="s">
        <v>124</v>
      </c>
      <c r="C16" s="76">
        <v>300000</v>
      </c>
      <c r="D16" s="76">
        <v>360000</v>
      </c>
      <c r="E16" s="76">
        <v>432000</v>
      </c>
      <c r="F16" s="76">
        <v>518400</v>
      </c>
      <c r="G16" s="76">
        <v>622080</v>
      </c>
      <c r="H16" s="76">
        <v>746496</v>
      </c>
      <c r="I16" s="76">
        <v>895795.19999999995</v>
      </c>
      <c r="J16" s="76">
        <v>1074954.24</v>
      </c>
      <c r="K16" s="76">
        <v>1289945.088</v>
      </c>
      <c r="L16" s="76">
        <v>1547934.1055999999</v>
      </c>
    </row>
    <row r="17" spans="1:12" x14ac:dyDescent="0.25">
      <c r="A17" s="54">
        <v>9</v>
      </c>
      <c r="B17" s="52" t="s">
        <v>74</v>
      </c>
      <c r="C17" s="76">
        <v>300000</v>
      </c>
      <c r="D17" s="76">
        <v>300000</v>
      </c>
      <c r="E17" s="76">
        <v>300000</v>
      </c>
      <c r="F17" s="76">
        <v>300000</v>
      </c>
      <c r="G17" s="76">
        <v>300000</v>
      </c>
      <c r="H17" s="76">
        <v>300000</v>
      </c>
      <c r="I17" s="76">
        <v>300000</v>
      </c>
      <c r="J17" s="76">
        <v>300000</v>
      </c>
      <c r="K17" s="76">
        <v>300000</v>
      </c>
      <c r="L17" s="76">
        <v>300000</v>
      </c>
    </row>
    <row r="18" spans="1:12" x14ac:dyDescent="0.25">
      <c r="A18" s="100">
        <v>11</v>
      </c>
      <c r="B18" s="52" t="s">
        <v>56</v>
      </c>
      <c r="C18" s="76">
        <v>750000</v>
      </c>
      <c r="D18" s="76">
        <v>750000</v>
      </c>
      <c r="E18" s="76">
        <v>750000</v>
      </c>
      <c r="F18" s="76">
        <v>750000</v>
      </c>
      <c r="G18" s="76">
        <v>750000</v>
      </c>
      <c r="H18" s="76">
        <v>750000</v>
      </c>
      <c r="I18" s="76">
        <v>750000</v>
      </c>
      <c r="J18" s="76">
        <v>750000</v>
      </c>
      <c r="K18" s="76">
        <v>750000</v>
      </c>
      <c r="L18" s="76">
        <v>750000</v>
      </c>
    </row>
    <row r="19" spans="1:12" x14ac:dyDescent="0.25">
      <c r="A19" s="100">
        <v>11</v>
      </c>
      <c r="B19" s="101" t="s">
        <v>126</v>
      </c>
      <c r="C19" s="73">
        <v>1000000</v>
      </c>
    </row>
    <row r="20" spans="1:12" x14ac:dyDescent="0.25">
      <c r="A20" s="51"/>
      <c r="B20" s="51" t="s">
        <v>4</v>
      </c>
      <c r="C20" s="75">
        <f>SUM(C10:C19)</f>
        <v>3672900</v>
      </c>
      <c r="D20" s="75">
        <f>SUM(D10:D18)</f>
        <v>2945300</v>
      </c>
      <c r="E20" s="75">
        <f>SUM(E10:E18)</f>
        <v>3369500</v>
      </c>
      <c r="F20" s="75">
        <f>SUM(F10:F18)</f>
        <v>3455900</v>
      </c>
      <c r="G20" s="75">
        <f>SUM(G10:G18)</f>
        <v>3559580</v>
      </c>
      <c r="H20" s="75">
        <f>SUM(H10:H18)</f>
        <v>3683996</v>
      </c>
      <c r="I20" s="75">
        <f>SUM(I10:I18)</f>
        <v>3833295.2</v>
      </c>
      <c r="J20" s="75">
        <f>SUM(J10:J18)</f>
        <v>4085054.24</v>
      </c>
      <c r="K20" s="75">
        <f>SUM(K10:K18)</f>
        <v>4300045.0879999995</v>
      </c>
      <c r="L20" s="75">
        <f>SUM(L10:L18)</f>
        <v>4558034.1055999994</v>
      </c>
    </row>
    <row r="21" spans="1:12" x14ac:dyDescent="0.25">
      <c r="A21" s="56" t="s">
        <v>5</v>
      </c>
      <c r="B21" s="56"/>
      <c r="C21" s="79"/>
      <c r="D21" s="79"/>
      <c r="E21" s="79"/>
      <c r="F21" s="79"/>
      <c r="G21" s="79"/>
      <c r="H21" s="79"/>
      <c r="I21" s="79"/>
      <c r="J21" s="78"/>
      <c r="K21" s="78"/>
      <c r="L21" s="78"/>
    </row>
    <row r="22" spans="1:12" x14ac:dyDescent="0.25">
      <c r="A22" s="54">
        <v>1</v>
      </c>
      <c r="B22" s="52" t="s">
        <v>41</v>
      </c>
      <c r="C22" s="76">
        <v>168000</v>
      </c>
      <c r="D22" s="76">
        <v>168000</v>
      </c>
      <c r="E22" s="76">
        <v>168000</v>
      </c>
      <c r="F22" s="76">
        <v>168000</v>
      </c>
      <c r="G22" s="76">
        <v>168000</v>
      </c>
      <c r="H22" s="76">
        <v>168000</v>
      </c>
      <c r="I22" s="76">
        <v>168000</v>
      </c>
      <c r="J22" s="76">
        <v>168000</v>
      </c>
      <c r="K22" s="76">
        <v>168000</v>
      </c>
      <c r="L22" s="76">
        <v>168000</v>
      </c>
    </row>
    <row r="23" spans="1:12" x14ac:dyDescent="0.25">
      <c r="A23" s="53">
        <v>2</v>
      </c>
      <c r="B23" s="54" t="s">
        <v>40</v>
      </c>
      <c r="C23" s="76">
        <v>10000</v>
      </c>
      <c r="D23" s="76">
        <v>10000</v>
      </c>
      <c r="E23" s="76">
        <v>10000</v>
      </c>
      <c r="F23" s="76">
        <v>10000</v>
      </c>
      <c r="G23" s="76">
        <v>10000</v>
      </c>
      <c r="H23" s="76">
        <v>10000</v>
      </c>
      <c r="I23" s="76">
        <v>10000</v>
      </c>
      <c r="J23" s="76">
        <v>10000</v>
      </c>
      <c r="K23" s="76">
        <v>10000</v>
      </c>
      <c r="L23" s="76">
        <v>10000</v>
      </c>
    </row>
    <row r="24" spans="1:12" x14ac:dyDescent="0.25">
      <c r="A24" s="54">
        <v>3</v>
      </c>
      <c r="B24" s="55" t="s">
        <v>35</v>
      </c>
      <c r="C24" s="76">
        <v>1200</v>
      </c>
      <c r="D24" s="76">
        <v>1200</v>
      </c>
      <c r="E24" s="76">
        <v>1200</v>
      </c>
      <c r="F24" s="76">
        <v>1200</v>
      </c>
      <c r="G24" s="76">
        <v>1200</v>
      </c>
      <c r="H24" s="76">
        <v>1200</v>
      </c>
      <c r="I24" s="76">
        <v>1200</v>
      </c>
      <c r="J24" s="76">
        <v>1200</v>
      </c>
      <c r="K24" s="76">
        <v>1200</v>
      </c>
      <c r="L24" s="76">
        <v>1200</v>
      </c>
    </row>
    <row r="25" spans="1:12" x14ac:dyDescent="0.25">
      <c r="A25" s="53">
        <v>4</v>
      </c>
      <c r="B25" s="55" t="s">
        <v>36</v>
      </c>
      <c r="C25" s="76">
        <v>3000</v>
      </c>
      <c r="D25" s="76">
        <v>3000</v>
      </c>
      <c r="E25" s="76">
        <v>3000</v>
      </c>
      <c r="F25" s="76">
        <v>3000</v>
      </c>
      <c r="G25" s="76">
        <v>3000</v>
      </c>
      <c r="H25" s="76">
        <v>3000</v>
      </c>
      <c r="I25" s="76">
        <v>3000</v>
      </c>
      <c r="J25" s="76">
        <v>3000</v>
      </c>
      <c r="K25" s="76">
        <v>3000</v>
      </c>
      <c r="L25" s="76">
        <v>3000</v>
      </c>
    </row>
    <row r="26" spans="1:12" x14ac:dyDescent="0.25">
      <c r="A26" s="54">
        <v>5</v>
      </c>
      <c r="B26" s="55" t="s">
        <v>38</v>
      </c>
      <c r="C26" s="76">
        <v>1000</v>
      </c>
      <c r="D26" s="76">
        <v>1000</v>
      </c>
      <c r="E26" s="76">
        <v>1000</v>
      </c>
      <c r="F26" s="76">
        <v>1000</v>
      </c>
      <c r="G26" s="76">
        <v>1000</v>
      </c>
      <c r="H26" s="76">
        <v>1000</v>
      </c>
      <c r="I26" s="76">
        <v>1000</v>
      </c>
      <c r="J26" s="76">
        <v>1000</v>
      </c>
      <c r="K26" s="76">
        <v>1000</v>
      </c>
      <c r="L26" s="76">
        <v>1000</v>
      </c>
    </row>
    <row r="27" spans="1:12" x14ac:dyDescent="0.25">
      <c r="A27" s="53">
        <v>6</v>
      </c>
      <c r="B27" s="55" t="s">
        <v>39</v>
      </c>
      <c r="C27" s="78">
        <v>15480</v>
      </c>
      <c r="D27" s="78">
        <v>0</v>
      </c>
      <c r="E27" s="78">
        <v>0</v>
      </c>
      <c r="F27" s="78">
        <v>0</v>
      </c>
      <c r="G27" s="78">
        <v>0</v>
      </c>
      <c r="H27" s="78">
        <v>15480</v>
      </c>
      <c r="I27" s="78">
        <v>0</v>
      </c>
      <c r="J27" s="78">
        <v>0</v>
      </c>
      <c r="K27" s="78">
        <v>0</v>
      </c>
      <c r="L27" s="78">
        <v>0</v>
      </c>
    </row>
    <row r="28" spans="1:12" x14ac:dyDescent="0.25">
      <c r="A28" s="54">
        <v>7</v>
      </c>
      <c r="B28" s="51" t="s">
        <v>31</v>
      </c>
      <c r="C28" s="75">
        <v>2696593.9630700573</v>
      </c>
      <c r="D28" s="75">
        <v>2696593.9630700573</v>
      </c>
      <c r="E28" s="75">
        <v>2696593.9630700573</v>
      </c>
      <c r="F28" s="75">
        <v>2696593.9630700573</v>
      </c>
      <c r="G28" s="75">
        <v>2696593.9630700573</v>
      </c>
      <c r="H28" s="75">
        <v>2696593.9630700573</v>
      </c>
      <c r="I28" s="75">
        <v>2696593.9630700573</v>
      </c>
      <c r="J28" s="75">
        <v>0</v>
      </c>
      <c r="K28" s="75">
        <v>0</v>
      </c>
      <c r="L28" s="75">
        <v>0</v>
      </c>
    </row>
    <row r="29" spans="1:12" x14ac:dyDescent="0.25">
      <c r="A29" s="103">
        <v>8</v>
      </c>
      <c r="B29" s="102" t="s">
        <v>127</v>
      </c>
      <c r="C29" s="73">
        <v>169801.42709749032</v>
      </c>
      <c r="D29" s="73">
        <v>169801.42709749032</v>
      </c>
      <c r="E29" s="73">
        <v>169801.42709749032</v>
      </c>
      <c r="F29" s="73">
        <v>169801.42709749032</v>
      </c>
      <c r="G29" s="73">
        <v>169801.42709749032</v>
      </c>
      <c r="H29" s="73">
        <v>169801.42709749032</v>
      </c>
      <c r="I29" s="73">
        <v>169801.42709749032</v>
      </c>
      <c r="J29" s="73">
        <v>169801.42709749032</v>
      </c>
      <c r="K29" s="73">
        <v>169801.42709749032</v>
      </c>
      <c r="L29" s="73">
        <v>169801.42709749032</v>
      </c>
    </row>
    <row r="30" spans="1:12" x14ac:dyDescent="0.25">
      <c r="A30" s="51"/>
      <c r="B30" s="49" t="s">
        <v>6</v>
      </c>
      <c r="C30" s="75">
        <f>SUM(C22:C28)</f>
        <v>2895273.9630700573</v>
      </c>
      <c r="D30" s="75">
        <f>SUM(D22:D28)</f>
        <v>2879793.9630700573</v>
      </c>
      <c r="E30" s="75">
        <f>SUM(E22:E28)</f>
        <v>2879793.9630700573</v>
      </c>
      <c r="F30" s="75">
        <f>SUM(F22:F28)</f>
        <v>2879793.9630700573</v>
      </c>
      <c r="G30" s="75">
        <f>SUM(G22:G28)</f>
        <v>2879793.9630700573</v>
      </c>
      <c r="H30" s="75">
        <f>SUM(H22:H28)</f>
        <v>2895273.9630700573</v>
      </c>
      <c r="I30" s="75">
        <f>SUM(I22:I28)</f>
        <v>2879793.9630700573</v>
      </c>
      <c r="J30" s="75">
        <f>SUM(J22:J28)</f>
        <v>183200</v>
      </c>
      <c r="K30" s="75">
        <f>SUM(K22:K28)</f>
        <v>183200</v>
      </c>
      <c r="L30" s="75">
        <f>SUM(L22:L28)</f>
        <v>183200</v>
      </c>
    </row>
    <row r="31" spans="1:12" x14ac:dyDescent="0.25">
      <c r="A31" s="93" t="s">
        <v>33</v>
      </c>
      <c r="B31" s="93"/>
      <c r="C31" s="79">
        <f>C20-C30</f>
        <v>777626.03692994267</v>
      </c>
      <c r="D31" s="79">
        <f>D20-D30</f>
        <v>65506.036929942667</v>
      </c>
      <c r="E31" s="79">
        <f>E20-E30</f>
        <v>489706.03692994267</v>
      </c>
      <c r="F31" s="79">
        <f>F20-F30</f>
        <v>576106.03692994267</v>
      </c>
      <c r="G31" s="79">
        <f>G20-G30</f>
        <v>679786.03692994267</v>
      </c>
      <c r="H31" s="79">
        <f>H20-H30</f>
        <v>788722.03692994267</v>
      </c>
      <c r="I31" s="79">
        <f>I20-I30</f>
        <v>953501.23692994285</v>
      </c>
      <c r="J31" s="79">
        <f>J20-J30</f>
        <v>3901854.24</v>
      </c>
      <c r="K31" s="79">
        <f>K20-K30</f>
        <v>4116845.0879999995</v>
      </c>
      <c r="L31" s="79">
        <f>L20-L30</f>
        <v>4374834.1055999994</v>
      </c>
    </row>
  </sheetData>
  <mergeCells count="4">
    <mergeCell ref="C2:L2"/>
    <mergeCell ref="A31:B31"/>
    <mergeCell ref="A9:I9"/>
    <mergeCell ref="A1:L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tabSelected="1" topLeftCell="A22" workbookViewId="0">
      <selection activeCell="I30" sqref="I30"/>
    </sheetView>
  </sheetViews>
  <sheetFormatPr defaultRowHeight="15" x14ac:dyDescent="0.25"/>
  <cols>
    <col min="2" max="2" width="18.28515625" bestFit="1" customWidth="1"/>
    <col min="3" max="3" width="21.140625" bestFit="1" customWidth="1"/>
    <col min="4" max="4" width="18.28515625" bestFit="1" customWidth="1"/>
    <col min="5" max="5" width="15.42578125" bestFit="1" customWidth="1"/>
    <col min="6" max="6" width="17.7109375" bestFit="1" customWidth="1"/>
    <col min="7" max="8" width="9.85546875" bestFit="1" customWidth="1"/>
    <col min="9" max="9" width="11.7109375" customWidth="1"/>
    <col min="10" max="10" width="13.7109375" customWidth="1"/>
    <col min="11" max="11" width="12.85546875" customWidth="1"/>
    <col min="12" max="12" width="15.140625" customWidth="1"/>
    <col min="13" max="13" width="22.5703125" bestFit="1" customWidth="1"/>
    <col min="18" max="18" width="12.28515625" bestFit="1" customWidth="1"/>
  </cols>
  <sheetData>
    <row r="1" spans="1:18" x14ac:dyDescent="0.25">
      <c r="A1" s="43"/>
      <c r="B1" s="43"/>
      <c r="C1" s="43"/>
      <c r="D1" s="43"/>
      <c r="E1" s="43"/>
      <c r="F1" s="43"/>
      <c r="G1" s="43"/>
    </row>
    <row r="3" spans="1:18" x14ac:dyDescent="0.25">
      <c r="A3" s="88" t="s">
        <v>93</v>
      </c>
      <c r="B3" s="58" t="s">
        <v>94</v>
      </c>
      <c r="C3" s="58" t="s">
        <v>95</v>
      </c>
      <c r="D3" s="58" t="s">
        <v>96</v>
      </c>
      <c r="E3" s="58" t="s">
        <v>97</v>
      </c>
      <c r="F3" s="58" t="s">
        <v>98</v>
      </c>
      <c r="I3">
        <v>1000000</v>
      </c>
      <c r="R3" s="7"/>
    </row>
    <row r="4" spans="1:18" x14ac:dyDescent="0.25">
      <c r="A4" s="89">
        <v>1</v>
      </c>
      <c r="B4" s="81">
        <v>3315000</v>
      </c>
      <c r="C4" s="81">
        <v>348196</v>
      </c>
      <c r="D4" s="81">
        <v>332934</v>
      </c>
      <c r="E4" s="82">
        <f>SUM(C4,D4)</f>
        <v>681130</v>
      </c>
      <c r="F4" s="81">
        <v>2982066</v>
      </c>
      <c r="R4" s="2"/>
    </row>
    <row r="5" spans="1:18" x14ac:dyDescent="0.25">
      <c r="A5" s="89">
        <v>2</v>
      </c>
      <c r="B5" s="81">
        <v>2982066</v>
      </c>
      <c r="C5" s="81">
        <v>309670</v>
      </c>
      <c r="D5" s="81">
        <v>371461</v>
      </c>
      <c r="E5" s="82">
        <f t="shared" ref="E5:E10" si="0">SUM(C5,D5)</f>
        <v>681131</v>
      </c>
      <c r="F5" s="81">
        <v>2610605</v>
      </c>
      <c r="R5" s="2"/>
    </row>
    <row r="6" spans="1:18" x14ac:dyDescent="0.25">
      <c r="A6" s="89">
        <v>3</v>
      </c>
      <c r="B6" s="81">
        <v>2610605</v>
      </c>
      <c r="C6" s="81">
        <v>266685</v>
      </c>
      <c r="D6" s="81">
        <v>414446</v>
      </c>
      <c r="E6" s="82">
        <f t="shared" si="0"/>
        <v>681131</v>
      </c>
      <c r="F6" s="81">
        <v>2196159</v>
      </c>
      <c r="R6" s="2"/>
    </row>
    <row r="7" spans="1:18" x14ac:dyDescent="0.25">
      <c r="A7" s="89">
        <v>4</v>
      </c>
      <c r="B7" s="81">
        <v>2196159</v>
      </c>
      <c r="C7" s="81">
        <v>218725</v>
      </c>
      <c r="D7" s="81">
        <v>462405</v>
      </c>
      <c r="E7" s="82">
        <f t="shared" si="0"/>
        <v>681130</v>
      </c>
      <c r="F7" s="81">
        <v>1733754</v>
      </c>
      <c r="R7" s="2"/>
    </row>
    <row r="8" spans="1:18" x14ac:dyDescent="0.25">
      <c r="A8" s="89">
        <v>5</v>
      </c>
      <c r="B8" s="81">
        <v>1733754</v>
      </c>
      <c r="C8" s="81">
        <v>165216</v>
      </c>
      <c r="D8" s="81">
        <v>515914</v>
      </c>
      <c r="E8" s="82">
        <f t="shared" si="0"/>
        <v>681130</v>
      </c>
      <c r="F8" s="81">
        <v>1217840</v>
      </c>
      <c r="R8" s="2"/>
    </row>
    <row r="9" spans="1:18" x14ac:dyDescent="0.25">
      <c r="A9" s="89">
        <v>6</v>
      </c>
      <c r="B9" s="81">
        <v>1217840</v>
      </c>
      <c r="C9" s="81">
        <v>105515</v>
      </c>
      <c r="D9" s="81">
        <v>575615</v>
      </c>
      <c r="E9" s="82">
        <f t="shared" si="0"/>
        <v>681130</v>
      </c>
      <c r="F9" s="81">
        <v>642225</v>
      </c>
      <c r="R9" s="2"/>
    </row>
    <row r="10" spans="1:18" x14ac:dyDescent="0.25">
      <c r="A10" s="89">
        <v>7</v>
      </c>
      <c r="B10" s="81">
        <v>642225</v>
      </c>
      <c r="C10" s="81">
        <v>38906</v>
      </c>
      <c r="D10" s="81">
        <v>642225</v>
      </c>
      <c r="E10" s="82">
        <f t="shared" si="0"/>
        <v>681131</v>
      </c>
      <c r="F10" s="81">
        <v>0</v>
      </c>
      <c r="R10" s="2"/>
    </row>
    <row r="11" spans="1:18" x14ac:dyDescent="0.25">
      <c r="R11" s="2"/>
    </row>
    <row r="12" spans="1:18" x14ac:dyDescent="0.25">
      <c r="A12" s="42"/>
      <c r="B12" s="90"/>
      <c r="C12" s="90"/>
      <c r="D12" s="90"/>
      <c r="E12" s="90"/>
      <c r="F12" s="90"/>
      <c r="G12" s="43"/>
      <c r="R12" s="2"/>
    </row>
    <row r="13" spans="1:18" x14ac:dyDescent="0.25">
      <c r="A13" s="43"/>
      <c r="B13" s="43"/>
      <c r="C13" s="43"/>
      <c r="D13" s="43"/>
      <c r="E13" s="43"/>
      <c r="F13" s="43"/>
      <c r="G13" s="43"/>
    </row>
    <row r="14" spans="1:18" x14ac:dyDescent="0.25">
      <c r="R14" s="36"/>
    </row>
    <row r="15" spans="1:18" x14ac:dyDescent="0.25">
      <c r="A15" s="99" t="s">
        <v>27</v>
      </c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2"/>
      <c r="N15" s="2"/>
      <c r="O15" s="2"/>
      <c r="R15" s="1"/>
    </row>
    <row r="16" spans="1:18" ht="15.75" x14ac:dyDescent="0.25">
      <c r="A16" s="16" t="s">
        <v>22</v>
      </c>
      <c r="B16" s="11" t="s">
        <v>1</v>
      </c>
      <c r="C16" s="96" t="s">
        <v>119</v>
      </c>
      <c r="D16" s="97"/>
      <c r="E16" s="97"/>
      <c r="F16" s="97"/>
      <c r="G16" s="97"/>
      <c r="H16" s="97"/>
      <c r="I16" s="97"/>
      <c r="J16" s="97"/>
      <c r="K16" s="97"/>
      <c r="L16" s="98"/>
    </row>
    <row r="17" spans="1:13" ht="15.75" x14ac:dyDescent="0.25">
      <c r="A17" s="16"/>
      <c r="B17" s="11"/>
      <c r="C17" s="5">
        <v>1</v>
      </c>
      <c r="D17" s="5">
        <v>2</v>
      </c>
      <c r="E17" s="5">
        <v>3</v>
      </c>
      <c r="F17" s="5">
        <v>4</v>
      </c>
      <c r="G17" s="5">
        <v>5</v>
      </c>
      <c r="H17" s="5">
        <v>6</v>
      </c>
      <c r="I17" s="5">
        <v>7</v>
      </c>
      <c r="J17" s="5">
        <v>8</v>
      </c>
      <c r="K17" s="5">
        <v>9</v>
      </c>
      <c r="L17" s="5">
        <v>10</v>
      </c>
    </row>
    <row r="18" spans="1:13" ht="15.75" x14ac:dyDescent="0.25">
      <c r="A18" s="11">
        <v>1</v>
      </c>
      <c r="B18" s="12" t="s">
        <v>28</v>
      </c>
      <c r="C18" s="7">
        <v>4705000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</row>
    <row r="19" spans="1:13" ht="15.75" x14ac:dyDescent="0.25">
      <c r="A19" s="11">
        <v>2</v>
      </c>
      <c r="B19" s="12" t="s">
        <v>29</v>
      </c>
      <c r="C19" s="4">
        <v>879811</v>
      </c>
      <c r="D19" s="4">
        <v>864331</v>
      </c>
      <c r="E19" s="4">
        <v>864331</v>
      </c>
      <c r="F19" s="4">
        <v>864331</v>
      </c>
      <c r="G19" s="4">
        <v>864331</v>
      </c>
      <c r="H19" s="4">
        <v>879811</v>
      </c>
      <c r="I19" s="4">
        <v>864331</v>
      </c>
      <c r="J19" s="34">
        <v>864331</v>
      </c>
      <c r="K19" s="35">
        <v>864331</v>
      </c>
      <c r="L19" s="35">
        <v>864331</v>
      </c>
    </row>
    <row r="20" spans="1:13" ht="15.75" x14ac:dyDescent="0.25">
      <c r="A20" s="5">
        <v>3</v>
      </c>
      <c r="B20" s="12" t="s">
        <v>52</v>
      </c>
      <c r="C20" s="8">
        <f t="shared" ref="C20:L20" si="1">SUM(C18:C19)</f>
        <v>5584811</v>
      </c>
      <c r="D20" s="8">
        <f t="shared" si="1"/>
        <v>864331</v>
      </c>
      <c r="E20" s="8">
        <f t="shared" si="1"/>
        <v>864331</v>
      </c>
      <c r="F20" s="8">
        <f t="shared" si="1"/>
        <v>864331</v>
      </c>
      <c r="G20" s="8">
        <f t="shared" si="1"/>
        <v>864331</v>
      </c>
      <c r="H20" s="8">
        <f t="shared" si="1"/>
        <v>879811</v>
      </c>
      <c r="I20" s="8">
        <f t="shared" si="1"/>
        <v>864331</v>
      </c>
      <c r="J20" s="8">
        <f t="shared" si="1"/>
        <v>864331</v>
      </c>
      <c r="K20" s="8">
        <f t="shared" si="1"/>
        <v>864331</v>
      </c>
      <c r="L20" s="8">
        <f t="shared" si="1"/>
        <v>864331</v>
      </c>
      <c r="M20" s="37"/>
    </row>
    <row r="21" spans="1:13" ht="15.75" x14ac:dyDescent="0.25">
      <c r="A21" s="5">
        <v>4</v>
      </c>
      <c r="B21" s="12" t="s">
        <v>23</v>
      </c>
      <c r="C21" s="33">
        <v>1493089</v>
      </c>
      <c r="D21" s="33">
        <v>1720969</v>
      </c>
      <c r="E21" s="33">
        <v>2073169</v>
      </c>
      <c r="F21" s="33">
        <v>2073169</v>
      </c>
      <c r="G21" s="33">
        <v>2073169</v>
      </c>
      <c r="H21" s="33">
        <v>2057689</v>
      </c>
      <c r="I21" s="33">
        <v>2073169</v>
      </c>
      <c r="J21" s="34">
        <v>2145769</v>
      </c>
      <c r="K21" s="35">
        <v>2145769</v>
      </c>
      <c r="L21" s="35">
        <v>2145769</v>
      </c>
    </row>
    <row r="22" spans="1:13" ht="15.75" x14ac:dyDescent="0.25">
      <c r="A22" s="11">
        <v>7</v>
      </c>
      <c r="B22" s="12" t="s">
        <v>99</v>
      </c>
      <c r="C22" s="4">
        <f>C21-C20</f>
        <v>-4091722</v>
      </c>
      <c r="D22" s="4">
        <f t="shared" ref="D22:L22" si="2">D21-D20</f>
        <v>856638</v>
      </c>
      <c r="E22" s="4">
        <f t="shared" si="2"/>
        <v>1208838</v>
      </c>
      <c r="F22" s="4">
        <f t="shared" si="2"/>
        <v>1208838</v>
      </c>
      <c r="G22" s="4">
        <f t="shared" si="2"/>
        <v>1208838</v>
      </c>
      <c r="H22" s="4">
        <f t="shared" si="2"/>
        <v>1177878</v>
      </c>
      <c r="I22" s="4">
        <f t="shared" si="2"/>
        <v>1208838</v>
      </c>
      <c r="J22" s="4">
        <f t="shared" si="2"/>
        <v>1281438</v>
      </c>
      <c r="K22" s="4">
        <f t="shared" si="2"/>
        <v>1281438</v>
      </c>
      <c r="L22" s="4">
        <f t="shared" si="2"/>
        <v>1281438</v>
      </c>
    </row>
    <row r="23" spans="1:13" ht="15.75" x14ac:dyDescent="0.25">
      <c r="A23" s="11">
        <v>8</v>
      </c>
      <c r="B23" s="12" t="s">
        <v>30</v>
      </c>
      <c r="C23" s="9">
        <v>0.11</v>
      </c>
      <c r="D23" s="4"/>
      <c r="E23" s="4"/>
      <c r="F23" s="4"/>
      <c r="G23" s="4"/>
      <c r="H23" s="4"/>
      <c r="I23" s="4"/>
      <c r="J23" s="17"/>
      <c r="K23" s="19"/>
      <c r="L23" s="19"/>
    </row>
    <row r="24" spans="1:13" ht="15.75" x14ac:dyDescent="0.25">
      <c r="A24" s="13">
        <v>9</v>
      </c>
      <c r="B24" s="12" t="s">
        <v>24</v>
      </c>
      <c r="C24" s="14">
        <f>IRR(C22:L22)</f>
        <v>0.23712837947569221</v>
      </c>
      <c r="D24" s="6"/>
      <c r="E24" s="6"/>
      <c r="F24" s="6"/>
      <c r="G24" s="6"/>
      <c r="H24" s="6"/>
      <c r="I24" s="6"/>
      <c r="J24" s="17"/>
      <c r="K24" s="19"/>
      <c r="L24" s="19"/>
    </row>
    <row r="25" spans="1:13" ht="15.75" x14ac:dyDescent="0.25">
      <c r="A25" s="5">
        <v>10</v>
      </c>
      <c r="B25" s="12" t="s">
        <v>25</v>
      </c>
      <c r="C25" s="5">
        <v>1.2274460531790916</v>
      </c>
      <c r="D25" s="16" t="s">
        <v>26</v>
      </c>
      <c r="E25" s="10"/>
      <c r="F25" s="10"/>
      <c r="G25" s="10"/>
      <c r="H25" s="10"/>
      <c r="I25" s="10"/>
      <c r="J25" s="17"/>
      <c r="K25" s="19"/>
      <c r="L25" s="19"/>
    </row>
    <row r="26" spans="1:13" ht="15.75" x14ac:dyDescent="0.25">
      <c r="A26" s="5">
        <v>11</v>
      </c>
      <c r="B26" s="12" t="s">
        <v>57</v>
      </c>
      <c r="C26" s="15">
        <f>NPV(0.11,C22:L22)</f>
        <v>2126895.0605275505</v>
      </c>
      <c r="D26" s="10"/>
      <c r="E26" s="10"/>
      <c r="F26" s="10"/>
      <c r="G26" s="10"/>
      <c r="H26" s="10"/>
      <c r="I26" s="10"/>
      <c r="J26" s="17"/>
      <c r="K26" s="19"/>
      <c r="L26" s="19"/>
    </row>
    <row r="27" spans="1:13" x14ac:dyDescent="0.25">
      <c r="A27" s="2"/>
      <c r="B27" s="3"/>
      <c r="C27" s="2"/>
      <c r="D27" s="2"/>
      <c r="E27" s="2"/>
      <c r="F27" s="2"/>
      <c r="G27" s="2"/>
      <c r="H27" s="2"/>
      <c r="I27" s="2"/>
      <c r="J27" s="2"/>
    </row>
    <row r="28" spans="1:13" x14ac:dyDescent="0.25">
      <c r="A28" s="2"/>
      <c r="B28" s="3"/>
      <c r="C28" s="2"/>
      <c r="D28" s="2"/>
      <c r="E28" s="2"/>
      <c r="F28" s="2"/>
      <c r="G28" s="2"/>
      <c r="H28" s="2"/>
      <c r="I28" s="2"/>
      <c r="J28" s="2"/>
    </row>
    <row r="29" spans="1:13" ht="15.75" x14ac:dyDescent="0.25">
      <c r="A29" s="2"/>
      <c r="B29" s="34" t="s">
        <v>51</v>
      </c>
      <c r="C29" s="34" t="s">
        <v>120</v>
      </c>
      <c r="D29" s="34" t="s">
        <v>121</v>
      </c>
      <c r="E29" s="34" t="s">
        <v>122</v>
      </c>
      <c r="F29" s="34" t="s">
        <v>123</v>
      </c>
      <c r="H29" s="2"/>
      <c r="I29" s="2"/>
      <c r="J29" s="2"/>
    </row>
    <row r="30" spans="1:13" ht="15.75" x14ac:dyDescent="0.25">
      <c r="B30" s="34">
        <v>1</v>
      </c>
      <c r="C30" s="34">
        <v>1493089</v>
      </c>
      <c r="D30" s="34">
        <f>C30/(1+0.11)^1</f>
        <v>1345125.2252252251</v>
      </c>
      <c r="E30" s="34">
        <v>5584811</v>
      </c>
      <c r="F30" s="34">
        <f>E30/(1+0.11)^1</f>
        <v>5031361.2612612611</v>
      </c>
    </row>
    <row r="31" spans="1:13" ht="15.75" x14ac:dyDescent="0.25">
      <c r="B31" s="34">
        <v>2</v>
      </c>
      <c r="C31" s="34">
        <v>1720969</v>
      </c>
      <c r="D31" s="34">
        <f>C31/(1+0.11)^2</f>
        <v>1396777.0473175875</v>
      </c>
      <c r="E31" s="34">
        <v>864331</v>
      </c>
      <c r="F31" s="34">
        <f>E31/(1+0.11)^2</f>
        <v>701510.42934826703</v>
      </c>
    </row>
    <row r="32" spans="1:13" ht="15.75" x14ac:dyDescent="0.25">
      <c r="B32" s="34">
        <v>3</v>
      </c>
      <c r="C32" s="34">
        <v>2073169</v>
      </c>
      <c r="D32" s="34">
        <f>C32/(1+0.11)^3</f>
        <v>1515883.3047803096</v>
      </c>
      <c r="E32" s="34">
        <v>864331</v>
      </c>
      <c r="F32" s="34">
        <f>E32/(1+0.11)^3</f>
        <v>631991.37779123161</v>
      </c>
    </row>
    <row r="33" spans="2:6" ht="15.75" x14ac:dyDescent="0.25">
      <c r="B33" s="34">
        <v>4</v>
      </c>
      <c r="C33" s="34">
        <v>2073169</v>
      </c>
      <c r="D33" s="34">
        <f>C33/(1+0.11)^4</f>
        <v>1365660.6349372158</v>
      </c>
      <c r="E33" s="34">
        <v>864331</v>
      </c>
      <c r="F33" s="34">
        <f>E33/(1+0.11)^4</f>
        <v>569361.60161372204</v>
      </c>
    </row>
    <row r="34" spans="2:6" ht="15.75" x14ac:dyDescent="0.25">
      <c r="B34" s="34">
        <v>5</v>
      </c>
      <c r="C34" s="34">
        <v>2073169</v>
      </c>
      <c r="D34" s="34">
        <f>C34/(1+0.11)^5</f>
        <v>1230324.896339834</v>
      </c>
      <c r="E34" s="34">
        <v>864331</v>
      </c>
      <c r="F34" s="34">
        <f>E34/(1+0.11)^5</f>
        <v>512938.37983218202</v>
      </c>
    </row>
    <row r="35" spans="2:6" ht="15.75" x14ac:dyDescent="0.25">
      <c r="B35" s="34">
        <v>6</v>
      </c>
      <c r="C35" s="34">
        <v>2057689</v>
      </c>
      <c r="D35" s="34">
        <f>C35/(1+0.11)^6</f>
        <v>1100124.5673707093</v>
      </c>
      <c r="E35" s="34">
        <v>879811</v>
      </c>
      <c r="F35" s="34">
        <f>E35/(1+0.11)^6</f>
        <v>470382.88864011574</v>
      </c>
    </row>
    <row r="36" spans="2:6" ht="15.75" x14ac:dyDescent="0.25">
      <c r="B36" s="34">
        <v>7</v>
      </c>
      <c r="C36" s="34">
        <v>2073169</v>
      </c>
      <c r="D36" s="34">
        <f>C36/(1+0.11)^7</f>
        <v>998559.28604807553</v>
      </c>
      <c r="E36" s="34">
        <v>864331</v>
      </c>
      <c r="F36" s="34">
        <f>E36/(1+0.11)^7</f>
        <v>416312.2959436588</v>
      </c>
    </row>
    <row r="37" spans="2:6" ht="15.75" x14ac:dyDescent="0.25">
      <c r="B37" s="34">
        <v>8</v>
      </c>
      <c r="C37" s="34">
        <v>2145769</v>
      </c>
      <c r="D37" s="34">
        <f>C37/(1+0.11)^8</f>
        <v>931106.02403490781</v>
      </c>
      <c r="E37" s="34">
        <v>864331</v>
      </c>
      <c r="F37" s="34">
        <f>E37/(1+0.11)^8</f>
        <v>375056.12247176463</v>
      </c>
    </row>
    <row r="38" spans="2:6" ht="15.75" x14ac:dyDescent="0.25">
      <c r="B38" s="34">
        <v>9</v>
      </c>
      <c r="C38" s="34">
        <v>2145769</v>
      </c>
      <c r="D38" s="34">
        <f>C38/(1+0.11)^9</f>
        <v>838834.2558873042</v>
      </c>
      <c r="E38" s="34">
        <v>864331</v>
      </c>
      <c r="F38" s="34">
        <f>E38/(1+0.11)^9</f>
        <v>337888.39862321131</v>
      </c>
    </row>
    <row r="39" spans="2:6" ht="15.75" x14ac:dyDescent="0.25">
      <c r="B39" s="34">
        <v>10</v>
      </c>
      <c r="C39" s="34">
        <v>2145769</v>
      </c>
      <c r="D39" s="34">
        <f>C39/(1+0.11)^10</f>
        <v>755706.53683540912</v>
      </c>
      <c r="E39" s="34">
        <v>864331</v>
      </c>
      <c r="F39" s="34">
        <f>E39/(1+0.11)^10</f>
        <v>304403.96272361377</v>
      </c>
    </row>
    <row r="40" spans="2:6" ht="15.75" x14ac:dyDescent="0.25">
      <c r="B40" s="34"/>
      <c r="C40" s="34"/>
      <c r="D40" s="34">
        <f>SUM(D30:D39)</f>
        <v>11478101.778776577</v>
      </c>
      <c r="E40" s="34"/>
      <c r="F40" s="34">
        <f>SUM(F30:F39)</f>
        <v>9351206.7182490285</v>
      </c>
    </row>
    <row r="41" spans="2:6" ht="15.75" x14ac:dyDescent="0.25">
      <c r="B41" s="34"/>
      <c r="C41" s="34"/>
      <c r="D41" s="91" t="s">
        <v>25</v>
      </c>
      <c r="E41" s="91">
        <f>D40/F40</f>
        <v>1.2274460531790916</v>
      </c>
      <c r="F41" s="34"/>
    </row>
  </sheetData>
  <mergeCells count="2">
    <mergeCell ref="C16:L16"/>
    <mergeCell ref="A15:L15"/>
  </mergeCells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Assumptions</vt:lpstr>
      <vt:lpstr>cashflow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2021-09-09T17:22:52Z</dcterms:modified>
</cp:coreProperties>
</file>