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6"/>
  <workbookPr codeName="ThisWorkbook"/>
  <mc:AlternateContent xmlns:mc="http://schemas.openxmlformats.org/markup-compatibility/2006">
    <mc:Choice Requires="x15">
      <x15ac:absPath xmlns:x15ac="http://schemas.microsoft.com/office/spreadsheetml/2010/11/ac" url="C:\Users\Amit\Downloads\"/>
    </mc:Choice>
  </mc:AlternateContent>
  <xr:revisionPtr revIDLastSave="0" documentId="13_ncr:1_{0B6E8BF5-BDC7-4AA2-90B9-113FEC1E9FFE}" xr6:coauthVersionLast="36" xr6:coauthVersionMax="47" xr10:uidLastSave="{00000000-0000-0000-0000-000000000000}"/>
  <bookViews>
    <workbookView xWindow="0" yWindow="0" windowWidth="24000" windowHeight="9525" activeTab="1" xr2:uid="{00000000-000D-0000-FFFF-FFFF00000000}"/>
  </bookViews>
  <sheets>
    <sheet name="Inputs" sheetId="9" r:id="rId1"/>
    <sheet name="Teaser - One Page Profile" sheetId="8" r:id="rId2"/>
    <sheet name="Shareholders" sheetId="11" r:id="rId3"/>
    <sheet name="Profit &amp; Loss" sheetId="1" r:id="rId4"/>
    <sheet name="Quarters" sheetId="3" r:id="rId5"/>
    <sheet name="Balance Sheet" sheetId="2" r:id="rId6"/>
    <sheet name="Cash Flow" sheetId="4" r:id="rId7"/>
    <sheet name="Customization" sheetId="5" r:id="rId8"/>
    <sheet name="Share Price" sheetId="10" r:id="rId9"/>
    <sheet name="Data &gt;" sheetId="7" r:id="rId10"/>
    <sheet name="Data Sheet" sheetId="6" r:id="rId11"/>
  </sheets>
  <definedNames>
    <definedName name="UPDATE">'Data Sheet'!$E$1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46" i="8" l="1"/>
  <c r="F31" i="8"/>
  <c r="F32" i="8"/>
  <c r="F33" i="8"/>
  <c r="F34" i="8"/>
  <c r="F35" i="8"/>
  <c r="F36" i="8"/>
  <c r="F37" i="8"/>
  <c r="F38" i="8"/>
  <c r="F39" i="8"/>
  <c r="K47" i="8"/>
  <c r="K44" i="8"/>
  <c r="K43" i="8"/>
  <c r="K45" i="8" s="1"/>
  <c r="H18" i="11"/>
  <c r="E31" i="8"/>
  <c r="E32" i="8"/>
  <c r="E33" i="8"/>
  <c r="E34" i="8"/>
  <c r="E35" i="8"/>
  <c r="E36" i="8"/>
  <c r="E37" i="8"/>
  <c r="E38" i="8"/>
  <c r="E39" i="8"/>
  <c r="C31" i="8"/>
  <c r="C32" i="8"/>
  <c r="C33" i="8"/>
  <c r="C34" i="8"/>
  <c r="C35" i="8"/>
  <c r="C36" i="8"/>
  <c r="C37" i="8"/>
  <c r="C38" i="8"/>
  <c r="C39" i="8"/>
  <c r="E30" i="8"/>
  <c r="C30" i="8"/>
  <c r="B31" i="8"/>
  <c r="B32" i="8"/>
  <c r="B33" i="8"/>
  <c r="B34" i="8"/>
  <c r="B35" i="8"/>
  <c r="B36" i="8"/>
  <c r="B37" i="8"/>
  <c r="B38" i="8"/>
  <c r="B39" i="8"/>
  <c r="B30" i="8"/>
  <c r="F28" i="8"/>
  <c r="E28" i="8"/>
  <c r="C28" i="8"/>
  <c r="J4" i="11"/>
  <c r="J5" i="11"/>
  <c r="J6" i="11"/>
  <c r="J7" i="11"/>
  <c r="J8" i="11"/>
  <c r="J9" i="11"/>
  <c r="J10" i="11"/>
  <c r="J11" i="11"/>
  <c r="J12" i="11"/>
  <c r="J3" i="11"/>
  <c r="F30" i="8" s="1"/>
  <c r="C26" i="8"/>
  <c r="D26" i="8"/>
  <c r="E26" i="8"/>
  <c r="F26" i="8"/>
  <c r="G26" i="8"/>
  <c r="D25" i="8"/>
  <c r="E25" i="8"/>
  <c r="F25" i="8"/>
  <c r="G25" i="8"/>
  <c r="C25" i="8"/>
  <c r="D21" i="8"/>
  <c r="E21" i="8"/>
  <c r="F21" i="8"/>
  <c r="G21" i="8"/>
  <c r="D22" i="8"/>
  <c r="E22" i="8"/>
  <c r="F22" i="8"/>
  <c r="G22" i="8"/>
  <c r="D23" i="8"/>
  <c r="E23" i="8"/>
  <c r="F23" i="8"/>
  <c r="G23" i="8"/>
  <c r="D24" i="8"/>
  <c r="E24" i="8"/>
  <c r="F24" i="8"/>
  <c r="G24" i="8"/>
  <c r="C24" i="8"/>
  <c r="C23" i="8"/>
  <c r="C22" i="8"/>
  <c r="C21" i="8"/>
  <c r="C39" i="1"/>
  <c r="D39" i="1"/>
  <c r="E39" i="1"/>
  <c r="E40" i="1" s="1"/>
  <c r="F39" i="1"/>
  <c r="G39" i="1"/>
  <c r="H39" i="1"/>
  <c r="H40" i="1" s="1"/>
  <c r="I39" i="1"/>
  <c r="J39" i="1"/>
  <c r="K39" i="1"/>
  <c r="C40" i="1"/>
  <c r="D40" i="1"/>
  <c r="F40" i="1"/>
  <c r="G40" i="1"/>
  <c r="I40" i="1"/>
  <c r="J40" i="1"/>
  <c r="K40" i="1"/>
  <c r="B40" i="1"/>
  <c r="B39" i="1"/>
  <c r="C37" i="1"/>
  <c r="D37" i="1"/>
  <c r="E37" i="1"/>
  <c r="F37" i="1"/>
  <c r="G37" i="1"/>
  <c r="H37" i="1"/>
  <c r="I37" i="1"/>
  <c r="J37" i="1"/>
  <c r="K37" i="1"/>
  <c r="B37" i="1"/>
  <c r="B31" i="1"/>
  <c r="C36" i="1"/>
  <c r="D36" i="1"/>
  <c r="E36" i="1"/>
  <c r="F36" i="1"/>
  <c r="G36" i="1"/>
  <c r="H36" i="1"/>
  <c r="I36" i="1"/>
  <c r="J36" i="1"/>
  <c r="K36" i="1"/>
  <c r="C30" i="1"/>
  <c r="C34" i="1" s="1"/>
  <c r="D30" i="1"/>
  <c r="D34" i="1" s="1"/>
  <c r="E30" i="1"/>
  <c r="F30" i="1"/>
  <c r="F34" i="1" s="1"/>
  <c r="G30" i="1"/>
  <c r="H30" i="1"/>
  <c r="I30" i="1"/>
  <c r="J30" i="1"/>
  <c r="J34" i="1" s="1"/>
  <c r="K30" i="1"/>
  <c r="K34" i="1" s="1"/>
  <c r="C31" i="1"/>
  <c r="D31" i="1"/>
  <c r="E31" i="1"/>
  <c r="F31" i="1"/>
  <c r="G31" i="1"/>
  <c r="G34" i="1" s="1"/>
  <c r="H31" i="1"/>
  <c r="I31" i="1"/>
  <c r="J31" i="1"/>
  <c r="K31" i="1"/>
  <c r="C32" i="1"/>
  <c r="D32" i="1"/>
  <c r="E32" i="1"/>
  <c r="F32" i="1"/>
  <c r="G32" i="1"/>
  <c r="H32" i="1"/>
  <c r="I32" i="1"/>
  <c r="J32" i="1"/>
  <c r="K32" i="1"/>
  <c r="E34" i="1"/>
  <c r="H34" i="1"/>
  <c r="I34" i="1"/>
  <c r="B34" i="1"/>
  <c r="B36" i="1" s="1"/>
  <c r="B32" i="1"/>
  <c r="B30" i="1"/>
  <c r="D16" i="8"/>
  <c r="E16" i="8"/>
  <c r="F16" i="8"/>
  <c r="G16" i="8"/>
  <c r="D17" i="8"/>
  <c r="E17" i="8"/>
  <c r="F17" i="8"/>
  <c r="G17" i="8"/>
  <c r="C17" i="8"/>
  <c r="C16" i="8"/>
  <c r="D18" i="1"/>
  <c r="E18" i="1"/>
  <c r="F18" i="1"/>
  <c r="G18" i="1"/>
  <c r="H18" i="1"/>
  <c r="I18" i="1"/>
  <c r="J18" i="1"/>
  <c r="K18" i="1"/>
  <c r="C18" i="1"/>
  <c r="C17" i="1"/>
  <c r="D17" i="1"/>
  <c r="E17" i="1"/>
  <c r="F17" i="1"/>
  <c r="G17" i="1"/>
  <c r="H17" i="1"/>
  <c r="I17" i="1"/>
  <c r="J17" i="1"/>
  <c r="K17" i="1"/>
  <c r="B17" i="1"/>
  <c r="D10" i="8"/>
  <c r="E10" i="8"/>
  <c r="F10" i="8"/>
  <c r="G10" i="8"/>
  <c r="C10" i="8"/>
  <c r="C35" i="6"/>
  <c r="D35" i="6"/>
  <c r="E35" i="6"/>
  <c r="F35" i="6"/>
  <c r="G35" i="6"/>
  <c r="H35" i="6"/>
  <c r="I35" i="6"/>
  <c r="J35" i="6"/>
  <c r="K35" i="6"/>
  <c r="B35" i="6"/>
  <c r="C34" i="6"/>
  <c r="D34" i="6"/>
  <c r="E34" i="6"/>
  <c r="F34" i="6"/>
  <c r="G34" i="6"/>
  <c r="H34" i="6"/>
  <c r="I34" i="6"/>
  <c r="J34" i="6"/>
  <c r="K34" i="6"/>
  <c r="B34" i="6"/>
  <c r="G8" i="8"/>
  <c r="D6" i="8"/>
  <c r="D19" i="8" s="1"/>
  <c r="E6" i="8"/>
  <c r="E19" i="8" s="1"/>
  <c r="F6" i="8"/>
  <c r="F19" i="8" s="1"/>
  <c r="G6" i="8"/>
  <c r="G19" i="8" s="1"/>
  <c r="C6" i="8"/>
  <c r="C19" i="8" s="1"/>
  <c r="C4" i="8"/>
  <c r="B2" i="8"/>
  <c r="C6" i="3"/>
  <c r="D6" i="3"/>
  <c r="E6" i="3"/>
  <c r="F6" i="3"/>
  <c r="G6" i="3"/>
  <c r="H6" i="3"/>
  <c r="I6" i="3"/>
  <c r="J6" i="3"/>
  <c r="K6" i="3"/>
  <c r="B6" i="3"/>
  <c r="C5" i="1"/>
  <c r="D5" i="1"/>
  <c r="E5" i="1"/>
  <c r="F5" i="1"/>
  <c r="G5" i="1"/>
  <c r="H5" i="1"/>
  <c r="I5" i="1"/>
  <c r="J5" i="1"/>
  <c r="K5" i="1"/>
  <c r="B5" i="1"/>
  <c r="B6" i="6"/>
  <c r="C17" i="2"/>
  <c r="D17" i="2"/>
  <c r="E17" i="2"/>
  <c r="F17" i="2"/>
  <c r="G17" i="2"/>
  <c r="H17" i="2"/>
  <c r="I17" i="2"/>
  <c r="J17" i="2"/>
  <c r="K17" i="2"/>
  <c r="C18" i="2"/>
  <c r="D18" i="2"/>
  <c r="E18" i="2"/>
  <c r="F18" i="2"/>
  <c r="G18" i="2"/>
  <c r="H18" i="2"/>
  <c r="I18" i="2"/>
  <c r="J18" i="2"/>
  <c r="K18" i="2"/>
  <c r="B17" i="2"/>
  <c r="C4" i="2"/>
  <c r="D4" i="2"/>
  <c r="E4" i="2"/>
  <c r="E5" i="2"/>
  <c r="F4" i="2"/>
  <c r="G4" i="2"/>
  <c r="H4" i="2"/>
  <c r="I4" i="2"/>
  <c r="I5" i="2"/>
  <c r="J4" i="2"/>
  <c r="J5" i="2"/>
  <c r="K4" i="2"/>
  <c r="C5" i="2"/>
  <c r="D5" i="2"/>
  <c r="F5" i="2"/>
  <c r="G5" i="2"/>
  <c r="H5" i="2"/>
  <c r="K5" i="2"/>
  <c r="C6" i="2"/>
  <c r="D6" i="2"/>
  <c r="E6" i="2"/>
  <c r="F6" i="2"/>
  <c r="G6" i="2"/>
  <c r="H6" i="2"/>
  <c r="I6" i="2"/>
  <c r="J6" i="2"/>
  <c r="K6" i="2"/>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E16" i="2" s="1"/>
  <c r="F13" i="2"/>
  <c r="G13" i="2"/>
  <c r="H13" i="2"/>
  <c r="I13" i="2"/>
  <c r="J13" i="2"/>
  <c r="K13" i="2"/>
  <c r="C14" i="2"/>
  <c r="D14" i="2"/>
  <c r="E14" i="2"/>
  <c r="F14" i="2"/>
  <c r="G14" i="2"/>
  <c r="H14" i="2"/>
  <c r="I14" i="2"/>
  <c r="J14" i="2"/>
  <c r="K14" i="2"/>
  <c r="B14" i="2"/>
  <c r="B5" i="2"/>
  <c r="B4" i="2"/>
  <c r="C4" i="4"/>
  <c r="D4" i="4"/>
  <c r="E4" i="4"/>
  <c r="F4" i="4"/>
  <c r="G4" i="4"/>
  <c r="H4" i="4"/>
  <c r="I4" i="4"/>
  <c r="J4" i="4"/>
  <c r="K4" i="4"/>
  <c r="C5" i="4"/>
  <c r="D5" i="4"/>
  <c r="E5" i="4"/>
  <c r="F5" i="4"/>
  <c r="G5" i="4"/>
  <c r="H5" i="4"/>
  <c r="I5" i="4"/>
  <c r="J5" i="4"/>
  <c r="K5" i="4"/>
  <c r="C6" i="4"/>
  <c r="D6" i="4"/>
  <c r="E6" i="4"/>
  <c r="F6" i="4"/>
  <c r="G6" i="4"/>
  <c r="H6" i="4"/>
  <c r="I6" i="4"/>
  <c r="J6" i="4"/>
  <c r="K6" i="4"/>
  <c r="C7" i="4"/>
  <c r="D7" i="4"/>
  <c r="E7" i="4"/>
  <c r="F7" i="4"/>
  <c r="G7" i="4"/>
  <c r="H7" i="4"/>
  <c r="I7" i="4"/>
  <c r="J7" i="4"/>
  <c r="K7" i="4"/>
  <c r="C4" i="3"/>
  <c r="C14" i="3" s="1"/>
  <c r="D4" i="3"/>
  <c r="D14" i="3" s="1"/>
  <c r="E4" i="3"/>
  <c r="F4" i="3"/>
  <c r="G4" i="3"/>
  <c r="H4" i="3"/>
  <c r="I4" i="3"/>
  <c r="J4" i="3"/>
  <c r="K4" i="3"/>
  <c r="K14" i="3" s="1"/>
  <c r="C5" i="3"/>
  <c r="D5" i="3"/>
  <c r="E5" i="3"/>
  <c r="F5" i="3"/>
  <c r="G5" i="3"/>
  <c r="H5" i="3"/>
  <c r="I5" i="3"/>
  <c r="J5" i="3"/>
  <c r="K5" i="3"/>
  <c r="L5" i="1" s="1"/>
  <c r="C7" i="3"/>
  <c r="D7" i="3"/>
  <c r="E7" i="3"/>
  <c r="F7" i="3"/>
  <c r="G7" i="3"/>
  <c r="H7" i="3"/>
  <c r="I7" i="3"/>
  <c r="J7" i="3"/>
  <c r="L7" i="1" s="1"/>
  <c r="K7" i="3"/>
  <c r="C8" i="3"/>
  <c r="D8" i="3"/>
  <c r="E8" i="3"/>
  <c r="F8" i="3"/>
  <c r="G8" i="3"/>
  <c r="H8" i="3"/>
  <c r="I8" i="3"/>
  <c r="L8" i="1" s="1"/>
  <c r="J8" i="3"/>
  <c r="K8" i="3"/>
  <c r="C9" i="3"/>
  <c r="D9" i="3"/>
  <c r="E9" i="3"/>
  <c r="F9" i="3"/>
  <c r="G9" i="3"/>
  <c r="H9" i="3"/>
  <c r="L9" i="1" s="1"/>
  <c r="I9" i="3"/>
  <c r="J9" i="3"/>
  <c r="K9" i="3"/>
  <c r="C10" i="3"/>
  <c r="D10" i="3"/>
  <c r="E10" i="3"/>
  <c r="F10" i="3"/>
  <c r="G10" i="3"/>
  <c r="H10" i="3"/>
  <c r="I10" i="3"/>
  <c r="J10" i="3"/>
  <c r="K10" i="3"/>
  <c r="C11" i="3"/>
  <c r="D11" i="3"/>
  <c r="E11" i="3"/>
  <c r="F11" i="3"/>
  <c r="G11" i="3"/>
  <c r="H11" i="3"/>
  <c r="I11" i="3"/>
  <c r="J11" i="3"/>
  <c r="K11" i="3"/>
  <c r="C12" i="3"/>
  <c r="D12" i="3"/>
  <c r="E12" i="3"/>
  <c r="F12" i="3"/>
  <c r="G12" i="3"/>
  <c r="H12" i="3"/>
  <c r="I12" i="3"/>
  <c r="J12" i="3"/>
  <c r="K12" i="3"/>
  <c r="B5" i="3"/>
  <c r="C21" i="1"/>
  <c r="D21" i="1"/>
  <c r="E21" i="1"/>
  <c r="F21" i="1"/>
  <c r="G21" i="1"/>
  <c r="H21" i="1"/>
  <c r="I21" i="1"/>
  <c r="J21" i="1"/>
  <c r="K21" i="1"/>
  <c r="B21" i="1"/>
  <c r="C4" i="1"/>
  <c r="C6" i="1" s="1"/>
  <c r="C22" i="1" s="1"/>
  <c r="D4" i="1"/>
  <c r="D20" i="2" s="1"/>
  <c r="E4" i="1"/>
  <c r="E6" i="1" s="1"/>
  <c r="E22" i="1" s="1"/>
  <c r="F4" i="1"/>
  <c r="F20" i="2" s="1"/>
  <c r="G4" i="1"/>
  <c r="C8" i="8" s="1"/>
  <c r="H4" i="1"/>
  <c r="D8" i="8" s="1"/>
  <c r="I4" i="1"/>
  <c r="E8" i="8" s="1"/>
  <c r="J4" i="1"/>
  <c r="F8" i="8" s="1"/>
  <c r="K4" i="1"/>
  <c r="K6" i="1" s="1"/>
  <c r="C7" i="1"/>
  <c r="D7" i="1"/>
  <c r="E7" i="1"/>
  <c r="F7" i="1"/>
  <c r="G7" i="1"/>
  <c r="H7" i="1"/>
  <c r="I7" i="1"/>
  <c r="J7" i="1"/>
  <c r="K7" i="1"/>
  <c r="C8" i="1"/>
  <c r="D8" i="1"/>
  <c r="E8" i="1"/>
  <c r="F8" i="1"/>
  <c r="G8" i="1"/>
  <c r="H8" i="1"/>
  <c r="I8" i="1"/>
  <c r="J8" i="1"/>
  <c r="K8" i="1"/>
  <c r="C9" i="1"/>
  <c r="D9" i="1"/>
  <c r="E9" i="1"/>
  <c r="F9" i="1"/>
  <c r="G9" i="1"/>
  <c r="H9" i="1"/>
  <c r="I9" i="1"/>
  <c r="J9" i="1"/>
  <c r="K9" i="1"/>
  <c r="C10" i="1"/>
  <c r="D10" i="1"/>
  <c r="E10" i="1"/>
  <c r="F10" i="1"/>
  <c r="G10" i="1"/>
  <c r="H10" i="1"/>
  <c r="I10" i="1"/>
  <c r="J10" i="1"/>
  <c r="K10" i="1"/>
  <c r="C11" i="1"/>
  <c r="D11" i="1"/>
  <c r="E11" i="1"/>
  <c r="F11" i="1"/>
  <c r="G11" i="1"/>
  <c r="H11" i="1"/>
  <c r="I11" i="1"/>
  <c r="J11" i="1"/>
  <c r="K11" i="1"/>
  <c r="C12" i="1"/>
  <c r="C13" i="1" s="1"/>
  <c r="D12" i="1"/>
  <c r="D23" i="2" s="1"/>
  <c r="E12" i="1"/>
  <c r="E23" i="2" s="1"/>
  <c r="F12" i="1"/>
  <c r="F13" i="1" s="1"/>
  <c r="G12" i="1"/>
  <c r="G13" i="1" s="1"/>
  <c r="G14" i="1" s="1"/>
  <c r="H12" i="1"/>
  <c r="D13" i="8" s="1"/>
  <c r="I12" i="1"/>
  <c r="I13" i="1" s="1"/>
  <c r="E14" i="8" s="1"/>
  <c r="J12" i="1"/>
  <c r="J13" i="1" s="1"/>
  <c r="K12" i="1"/>
  <c r="K13" i="1" s="1"/>
  <c r="C15" i="1"/>
  <c r="D15" i="1"/>
  <c r="E15" i="1"/>
  <c r="F15" i="1"/>
  <c r="F14" i="1" s="1"/>
  <c r="G15" i="1"/>
  <c r="H15" i="1"/>
  <c r="I15" i="1"/>
  <c r="J15" i="1"/>
  <c r="K15" i="1"/>
  <c r="B15" i="1"/>
  <c r="H13" i="1"/>
  <c r="B7" i="1"/>
  <c r="B4" i="1"/>
  <c r="B20" i="2" s="1"/>
  <c r="A1" i="1"/>
  <c r="A1" i="3" s="1"/>
  <c r="E1" i="6"/>
  <c r="H1" i="1" s="1"/>
  <c r="E1" i="2"/>
  <c r="H16" i="2"/>
  <c r="D16" i="2"/>
  <c r="F23" i="2"/>
  <c r="K16" i="2"/>
  <c r="C16" i="2"/>
  <c r="F16" i="2"/>
  <c r="B6" i="1"/>
  <c r="B22" i="1" s="1"/>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H3" i="1"/>
  <c r="I3" i="1"/>
  <c r="J3" i="1"/>
  <c r="K3" i="1"/>
  <c r="B7" i="4"/>
  <c r="B6" i="4"/>
  <c r="B5" i="4"/>
  <c r="B4" i="4"/>
  <c r="B3" i="4"/>
  <c r="F21" i="2"/>
  <c r="C21" i="2"/>
  <c r="B18" i="2"/>
  <c r="B13" i="2"/>
  <c r="B16" i="2" s="1"/>
  <c r="B12" i="2"/>
  <c r="B11" i="2"/>
  <c r="B10" i="2"/>
  <c r="B8" i="2"/>
  <c r="B7" i="2"/>
  <c r="B6" i="2"/>
  <c r="B3" i="2"/>
  <c r="J14" i="3"/>
  <c r="H14" i="3"/>
  <c r="F14" i="3"/>
  <c r="B12" i="3"/>
  <c r="B11" i="3"/>
  <c r="B10" i="3"/>
  <c r="B9" i="3"/>
  <c r="B8" i="3"/>
  <c r="B7" i="3"/>
  <c r="B4" i="3"/>
  <c r="B14" i="3" s="1"/>
  <c r="B3" i="3"/>
  <c r="L15" i="1"/>
  <c r="B12" i="1"/>
  <c r="B13" i="1" s="1"/>
  <c r="B11" i="1"/>
  <c r="B10" i="1"/>
  <c r="B9" i="1"/>
  <c r="B8" i="1"/>
  <c r="B3" i="1"/>
  <c r="E14" i="3"/>
  <c r="I14" i="3"/>
  <c r="G14" i="3"/>
  <c r="J20" i="2"/>
  <c r="L12" i="1"/>
  <c r="L13" i="1" s="1"/>
  <c r="L11" i="1"/>
  <c r="L10" i="1"/>
  <c r="L6" i="1"/>
  <c r="L4" i="1"/>
  <c r="H26" i="1"/>
  <c r="I26" i="1"/>
  <c r="J26" i="1"/>
  <c r="K49" i="8" l="1"/>
  <c r="G21" i="2"/>
  <c r="B21" i="2"/>
  <c r="H23" i="2"/>
  <c r="J14" i="1"/>
  <c r="J6" i="1"/>
  <c r="J22" i="1" s="1"/>
  <c r="F12" i="8"/>
  <c r="N11" i="1"/>
  <c r="H21" i="2"/>
  <c r="D15" i="8"/>
  <c r="D9" i="8"/>
  <c r="A1" i="2"/>
  <c r="A1" i="4" s="1"/>
  <c r="G20" i="2"/>
  <c r="F9" i="8"/>
  <c r="G6" i="1"/>
  <c r="D21" i="2"/>
  <c r="G15" i="8"/>
  <c r="E9" i="8"/>
  <c r="G14" i="8"/>
  <c r="F15" i="8"/>
  <c r="G22" i="1"/>
  <c r="C12" i="8"/>
  <c r="C11" i="8"/>
  <c r="K22" i="1"/>
  <c r="G12" i="8"/>
  <c r="G11" i="8"/>
  <c r="E15" i="8"/>
  <c r="L14" i="1"/>
  <c r="L28" i="1" s="1"/>
  <c r="E21" i="2"/>
  <c r="D6" i="1"/>
  <c r="D22" i="1" s="1"/>
  <c r="E20" i="2"/>
  <c r="F14" i="8"/>
  <c r="C20" i="2"/>
  <c r="J23" i="2"/>
  <c r="C9" i="8"/>
  <c r="F11" i="8"/>
  <c r="C13" i="8"/>
  <c r="C14" i="8"/>
  <c r="G9" i="8"/>
  <c r="D14" i="8"/>
  <c r="J21" i="2"/>
  <c r="G23" i="2"/>
  <c r="F13" i="8"/>
  <c r="C15" i="8"/>
  <c r="G13" i="8"/>
  <c r="L26" i="1"/>
  <c r="L22" i="1"/>
  <c r="L27" i="1" s="1"/>
  <c r="K20" i="2"/>
  <c r="K21" i="2"/>
  <c r="E13" i="8"/>
  <c r="K14" i="1"/>
  <c r="C14" i="1"/>
  <c r="J16" i="2"/>
  <c r="G16" i="2"/>
  <c r="E24" i="2"/>
  <c r="I21" i="2"/>
  <c r="C23" i="2"/>
  <c r="J24" i="2"/>
  <c r="D24" i="2"/>
  <c r="M11" i="1"/>
  <c r="I24" i="2"/>
  <c r="K23" i="2"/>
  <c r="I14" i="1"/>
  <c r="K28" i="1" s="1"/>
  <c r="M28" i="1" s="1"/>
  <c r="M14" i="1" s="1"/>
  <c r="C24" i="2"/>
  <c r="H24" i="2"/>
  <c r="B23" i="2"/>
  <c r="H14" i="1"/>
  <c r="G24" i="2"/>
  <c r="D13" i="1"/>
  <c r="E13" i="1" s="1"/>
  <c r="E14" i="1" s="1"/>
  <c r="I28" i="1" s="1"/>
  <c r="E1" i="3"/>
  <c r="B14" i="1"/>
  <c r="I16" i="2"/>
  <c r="K24" i="2"/>
  <c r="I6" i="1"/>
  <c r="I23" i="2"/>
  <c r="F24" i="2"/>
  <c r="J28" i="1"/>
  <c r="M9" i="1"/>
  <c r="N9" i="1"/>
  <c r="N8" i="1"/>
  <c r="M8" i="1"/>
  <c r="I20" i="2"/>
  <c r="H20" i="2"/>
  <c r="K26" i="1"/>
  <c r="H6" i="1"/>
  <c r="F6" i="1"/>
  <c r="F22" i="1" s="1"/>
  <c r="E1" i="4"/>
  <c r="M26" i="1" l="1"/>
  <c r="M4" i="1" s="1"/>
  <c r="I22" i="1"/>
  <c r="K27" i="1" s="1"/>
  <c r="M27" i="1" s="1"/>
  <c r="M6" i="1" s="1"/>
  <c r="M10" i="1" s="1"/>
  <c r="M12" i="1" s="1"/>
  <c r="M13" i="1" s="1"/>
  <c r="M15" i="1" s="1"/>
  <c r="E11" i="8"/>
  <c r="E12" i="8"/>
  <c r="H22" i="1"/>
  <c r="D11" i="8"/>
  <c r="D12" i="8"/>
  <c r="N26" i="1"/>
  <c r="N4" i="1" s="1"/>
  <c r="D14" i="1"/>
  <c r="H28" i="1" s="1"/>
  <c r="N28" i="1" s="1"/>
  <c r="N14" i="1" s="1"/>
  <c r="J27" i="1" l="1"/>
  <c r="H27" i="1"/>
  <c r="I27" i="1"/>
  <c r="M5" i="1"/>
  <c r="N27" i="1" l="1"/>
  <c r="N6" i="1" s="1"/>
  <c r="N10" i="1" s="1"/>
  <c r="N12" i="1" s="1"/>
  <c r="N13" i="1" s="1"/>
  <c r="N15" i="1" s="1"/>
  <c r="N5" i="1" l="1"/>
</calcChain>
</file>

<file path=xl/sharedStrings.xml><?xml version="1.0" encoding="utf-8"?>
<sst xmlns="http://schemas.openxmlformats.org/spreadsheetml/2006/main" count="240" uniqueCount="184">
  <si>
    <t>COMPANY NAME</t>
  </si>
  <si>
    <t>SCREENER.IN</t>
  </si>
  <si>
    <t>Narration</t>
  </si>
  <si>
    <t>Trailing</t>
  </si>
  <si>
    <t>Best Case</t>
  </si>
  <si>
    <t>Worst Case</t>
  </si>
  <si>
    <t>Sales</t>
  </si>
  <si>
    <t>Expenses</t>
  </si>
  <si>
    <t>Operating Profit</t>
  </si>
  <si>
    <t>Other Income</t>
  </si>
  <si>
    <t>Depreciation</t>
  </si>
  <si>
    <t>Interest</t>
  </si>
  <si>
    <t>Profit before tax</t>
  </si>
  <si>
    <t>Tax</t>
  </si>
  <si>
    <t>Net profit</t>
  </si>
  <si>
    <t>RATIOS:</t>
  </si>
  <si>
    <t>Price to earning</t>
  </si>
  <si>
    <t>Dividend Payout</t>
  </si>
  <si>
    <t>OPM</t>
  </si>
  <si>
    <t>TRENDS:</t>
  </si>
  <si>
    <t>BEST</t>
  </si>
  <si>
    <t>WORST</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</si>
  <si>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</si>
  <si>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</si>
  <si>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</si>
  <si>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</si>
  <si>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</si>
  <si>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</si>
  <si>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</si>
  <si>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</si>
  <si>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</si>
  <si>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</si>
  <si>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</si>
  <si>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</si>
  <si>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</si>
  <si>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</si>
  <si>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</si>
  <si>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</si>
  <si>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</si>
  <si>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</si>
  <si>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</si>
  <si>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</si>
  <si>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</si>
  <si>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</si>
  <si>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</si>
  <si>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</si>
  <si>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</si>
  <si>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</si>
  <si>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</si>
  <si>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</si>
  <si>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</si>
  <si>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</si>
  <si>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</si>
  <si>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</si>
  <si>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</si>
  <si>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</si>
  <si>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How to use it?</t>
  </si>
  <si>
    <t>EPS</t>
  </si>
  <si>
    <t>Price</t>
  </si>
  <si>
    <t>Return on Equity</t>
  </si>
  <si>
    <t>Return on Capital Emp</t>
  </si>
  <si>
    <t>LATEST VERSION</t>
  </si>
  <si>
    <t>CURRENT VERSION</t>
  </si>
  <si>
    <t>ASIAN PAINTS LTD</t>
  </si>
  <si>
    <t>META</t>
  </si>
  <si>
    <t>10 YEARS</t>
  </si>
  <si>
    <t>7 YEARS</t>
  </si>
  <si>
    <t>5 YEARS</t>
  </si>
  <si>
    <t>3 YEARS</t>
  </si>
  <si>
    <t>RECENT</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</si>
  <si>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</si>
  <si>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</si>
  <si>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</si>
  <si>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</si>
  <si>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</si>
  <si>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</si>
  <si>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</si>
  <si>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</si>
  <si>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</si>
  <si>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</si>
  <si>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</si>
  <si>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</si>
  <si>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</si>
  <si>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</si>
  <si>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</si>
  <si>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</si>
  <si>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</si>
  <si>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</si>
  <si>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</si>
  <si>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</si>
  <si>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</si>
  <si>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</si>
  <si>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r>
      <t xml:space="preserve">You can report any formula errors on the worksheet at: </t>
    </r>
    <r>
      <rPr>
        <b/>
        <sz val="11"/>
        <color theme="1"/>
        <rFont val="Calibri"/>
        <family val="2"/>
        <scheme val="minor"/>
      </rPr>
      <t>support@screener.in</t>
    </r>
  </si>
  <si>
    <t>Discription</t>
  </si>
  <si>
    <t>Asian Paints Ltd is an Indian multinational paint company, headquartered in Mumbai, Maharashtra, India. The company is engaged in the business of manufacturing, selling and distribution of paints, coatings, products related to home décor, bath fittings and providing related services.</t>
  </si>
  <si>
    <t>Key Financial Metrics</t>
  </si>
  <si>
    <t>Total Sales</t>
  </si>
  <si>
    <t>INR (Crs)</t>
  </si>
  <si>
    <t>Sales Growth YOY</t>
  </si>
  <si>
    <t>Gross Profit</t>
  </si>
  <si>
    <t>GPM</t>
  </si>
  <si>
    <r>
      <t xml:space="preserve">Gross Profit Margins </t>
    </r>
    <r>
      <rPr>
        <i/>
        <sz val="11"/>
        <color theme="1"/>
        <rFont val="Calibri"/>
        <family val="2"/>
        <scheme val="minor"/>
      </rPr>
      <t>(%)</t>
    </r>
  </si>
  <si>
    <r>
      <t>EBITDA Margins (</t>
    </r>
    <r>
      <rPr>
        <i/>
        <sz val="11"/>
        <color theme="1"/>
        <rFont val="Calibri"/>
        <family val="2"/>
        <scheme val="minor"/>
      </rPr>
      <t>%</t>
    </r>
    <r>
      <rPr>
        <sz val="11"/>
        <color theme="1"/>
        <rFont val="Calibri"/>
        <family val="2"/>
        <scheme val="minor"/>
      </rPr>
      <t>)</t>
    </r>
  </si>
  <si>
    <r>
      <t>EBIT Margins (</t>
    </r>
    <r>
      <rPr>
        <i/>
        <sz val="11"/>
        <color theme="1"/>
        <rFont val="Calibri"/>
        <family val="2"/>
        <scheme val="minor"/>
      </rPr>
      <t>%</t>
    </r>
    <r>
      <rPr>
        <sz val="11"/>
        <color theme="1"/>
        <rFont val="Calibri"/>
        <family val="2"/>
        <scheme val="minor"/>
      </rPr>
      <t>)</t>
    </r>
  </si>
  <si>
    <t>Net margins (%)</t>
  </si>
  <si>
    <t>Earnings Per Share (In Rs)</t>
  </si>
  <si>
    <t>EPS Growth YOY</t>
  </si>
  <si>
    <t>Divident Per share</t>
  </si>
  <si>
    <t>Divident Per Share</t>
  </si>
  <si>
    <t>Divident Growth</t>
  </si>
  <si>
    <t>Divident Growth (YOY)</t>
  </si>
  <si>
    <t>Date</t>
  </si>
  <si>
    <t>Adj Close</t>
  </si>
  <si>
    <t>Volume</t>
  </si>
  <si>
    <t>Share Price</t>
  </si>
  <si>
    <t>Debt</t>
  </si>
  <si>
    <t>Cash</t>
  </si>
  <si>
    <t>Market Cap</t>
  </si>
  <si>
    <t>Enterprise value</t>
  </si>
  <si>
    <t>EV/ EBITDA</t>
  </si>
  <si>
    <t>EV/ Sales</t>
  </si>
  <si>
    <t>Book value</t>
  </si>
  <si>
    <t>P/B Ratio</t>
  </si>
  <si>
    <t>Key Financial Ratios</t>
  </si>
  <si>
    <t>Price to Earnings</t>
  </si>
  <si>
    <t>EV/ sales</t>
  </si>
  <si>
    <t>Price to Book Value</t>
  </si>
  <si>
    <t>Return on Equity (%)</t>
  </si>
  <si>
    <t>Return on Capital Employes (%)</t>
  </si>
  <si>
    <t>Shareholder's name</t>
  </si>
  <si>
    <t>Smiti Holding and Trading Company Private Limited</t>
  </si>
  <si>
    <t>Sattva Holding and Trading Private Limited</t>
  </si>
  <si>
    <t>Siddhant Commercials Private Limited</t>
  </si>
  <si>
    <t>Geetanjali Trading and Investments Private Limited</t>
  </si>
  <si>
    <t>Life Insurance Corporation Of India</t>
  </si>
  <si>
    <t>Elcid Investments Limited</t>
  </si>
  <si>
    <t>Gujarat Organics Pvt Ltd</t>
  </si>
  <si>
    <t>Sudhanava Investments and Trading Company Private Limited</t>
  </si>
  <si>
    <t>Rupen Investment &amp; Industries Private Limited</t>
  </si>
  <si>
    <t>Satyadharma Investments and Trading Company Private Ltd.</t>
  </si>
  <si>
    <t>In Crores</t>
  </si>
  <si>
    <t>Source - Equity Masters</t>
  </si>
  <si>
    <t>Top 10 Shareholders</t>
  </si>
  <si>
    <t>No. Shares (In Crs.)</t>
  </si>
  <si>
    <t>Market Value (In Crs.)</t>
  </si>
  <si>
    <t>% Holding</t>
  </si>
  <si>
    <t xml:space="preserve">Shareholding </t>
  </si>
  <si>
    <t>screener.in</t>
  </si>
  <si>
    <t>FII</t>
  </si>
  <si>
    <t>DII</t>
  </si>
  <si>
    <t>Public</t>
  </si>
  <si>
    <t xml:space="preserve"> </t>
  </si>
  <si>
    <t>Promoters</t>
  </si>
  <si>
    <t>Capital Structure</t>
  </si>
  <si>
    <t>Number of shares outstanding</t>
  </si>
  <si>
    <t>Share Price ason 14 Oct 23</t>
  </si>
  <si>
    <t>Less: Cash &amp; Equivalents</t>
  </si>
  <si>
    <t>Add: Total Debt</t>
  </si>
  <si>
    <t>Add: Minority Interest</t>
  </si>
  <si>
    <t>-</t>
  </si>
  <si>
    <t>Enterprise Value</t>
  </si>
  <si>
    <t>Managerial Remunaration</t>
  </si>
  <si>
    <t>Amit Syngle</t>
  </si>
  <si>
    <t>RJ Jeyamurugan</t>
  </si>
  <si>
    <t>Deepak Satwalekar</t>
  </si>
  <si>
    <t>Manish Choksi</t>
  </si>
  <si>
    <t>Ashwini Dani</t>
  </si>
  <si>
    <t>Malav Dani</t>
  </si>
  <si>
    <t>Amrita Vakil</t>
  </si>
  <si>
    <t>Jigish Choksi</t>
  </si>
  <si>
    <t>Remuneration (In Rs)</t>
  </si>
  <si>
    <t>Median Ratio</t>
  </si>
  <si>
    <t>Percentage Change</t>
  </si>
  <si>
    <t>Recent Updates</t>
  </si>
  <si>
    <t>By:</t>
  </si>
  <si>
    <t>Vinay Gupta</t>
  </si>
  <si>
    <t>Relief to Asian Paints: Supreme Court upholds Bombay HC’s Decision to Quash Reassessment Proceedings; Dismisses SLPs of Income Tax Dept.</t>
  </si>
  <si>
    <t>Fitted Furniture for Every Purpose - Spanning across range of Crockery Units, Entertainment Units, Study Desks, Vanity Units, Shoe Racks, Pooja Units &amp; Wardrobes.</t>
  </si>
  <si>
    <t>A uniquely luxurious lime-based paint, revolutionized for the modern world. A natural paint presented in sustainable packaging with over 90% of its earth-safe ingredients and 200+ shades.</t>
  </si>
  <si>
    <t>Ashwin Dani of Asian Paints dies at 81.</t>
  </si>
  <si>
    <t>The company aims to achieve 7-8% of decorative sales from the Home Décor segment by FY26.</t>
  </si>
  <si>
    <t>The festive season is expected to contribute to growth, especially in the Home Décor segment.</t>
  </si>
  <si>
    <t>Screener.in, Equitymaster.com, Annual Report, Media News, YahooFinance.com</t>
  </si>
  <si>
    <t>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</si>
</sst>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409]mmm\-yy;@"/>
    <numFmt numFmtId="166" formatCode="0.00&quot;x&quot;"/>
  </numFmts>
  <fonts count="17">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1"/>
      <color rgb="FFFF0000"/>
      <name val="Calibri"/>
      <family val="2"/>
      <scheme val="minor"/>
    </font>
    <font>
      <sz val="11"/>
      <name val="Calibri"/>
      <family val="2"/>
      <scheme val="minor"/>
    </font>
    <font>
      <sz val="11"/>
      <color rgb="FF202122"/>
      <name val="Arial"/>
      <family val="2"/>
    </font>
    <font>
      <i/>
      <sz val="11"/>
      <color theme="1"/>
      <name val="Calibri"/>
      <family val="2"/>
      <scheme val="minor"/>
    </font>
    <font>
      <i/>
      <sz val="8"/>
      <color theme="1"/>
      <name val="Calibri"/>
      <family val="2"/>
      <scheme val="minor"/>
    </font>
    <font>
      <b/>
      <sz val="11"/>
      <color rgb="FF000000"/>
      <name val="Inherit"/>
    </font>
    <font>
      <sz val="11"/>
      <color rgb="FF000000"/>
      <name val="Arial"/>
      <family val="2"/>
    </font>
    <font>
      <sz val="11"/>
      <color rgb="FF22222F"/>
      <name val="Arial"/>
      <family val="2"/>
    </font>
    <font>
      <b/>
      <i/>
      <sz val="11"/>
      <color theme="1"/>
      <name val="Calibri"/>
      <family val="2"/>
      <scheme val="minor"/>
    </font>
  </fonts>
  <fills count="10">
    <fill>
      <patternFill patternType="none"/>
    </fill>
    <fill>
      <patternFill patternType="gray125"/>
    </fill>
    <fill>
      <patternFill patternType="solid">
        <fgColor theme="4" tint="0.39997558519241921"/>
        <bgColor indexed="65"/>
      </patternFill>
    </fill>
    <fill>
      <patternFill patternType="solid">
        <fgColor theme="6" tint="0.39997558519241921"/>
        <bgColor indexed="65"/>
      </patternFill>
    </fill>
    <fill>
      <patternFill patternType="solid">
        <fgColor theme="9"/>
      </patternFill>
    </fill>
    <fill>
      <patternFill patternType="solid">
        <fgColor rgb="FF0275D8"/>
        <bgColor indexed="64"/>
      </patternFill>
    </fill>
    <fill>
      <patternFill patternType="solid">
        <fgColor rgb="FFFF0000"/>
        <bgColor indexed="64"/>
      </patternFill>
    </fill>
    <fill>
      <patternFill patternType="solid">
        <fgColor rgb="FFFFFFFF"/>
        <bgColor indexed="64"/>
      </patternFill>
    </fill>
    <fill>
      <patternFill patternType="solid">
        <fgColor rgb="FFEEEEEE"/>
        <bgColor indexed="64"/>
      </patternFill>
    </fill>
    <fill>
      <patternFill patternType="solid">
        <fgColor rgb="FFF7F6E8"/>
        <bgColor indexed="64"/>
      </patternFill>
    </fill>
  </fills>
  <borders count="9">
    <border>
      <left/>
      <right/>
      <top/>
      <bottom/>
      <diagonal/>
    </border>
    <border>
      <left/>
      <right/>
      <top/>
      <bottom style="hair">
        <color auto="1"/>
      </bottom>
      <diagonal/>
    </border>
    <border>
      <left style="medium">
        <color rgb="FFDDDDDD"/>
      </left>
      <right/>
      <top/>
      <bottom style="medium">
        <color rgb="FFDDDDDD"/>
      </bottom>
      <diagonal/>
    </border>
    <border>
      <left style="medium">
        <color rgb="FFDDDDDD"/>
      </left>
      <right/>
      <top style="thick">
        <color rgb="FFDDDDDD"/>
      </top>
      <bottom style="medium">
        <color rgb="FFDDDDDD"/>
      </bottom>
      <diagonal/>
    </border>
    <border>
      <left style="medium">
        <color rgb="FFDDDDDD"/>
      </left>
      <right style="medium">
        <color rgb="FFDDDDDD"/>
      </right>
      <top style="thick">
        <color rgb="FFDDDDDD"/>
      </top>
      <bottom style="medium">
        <color rgb="FFDDDDDD"/>
      </bottom>
      <diagonal/>
    </border>
    <border>
      <left style="medium">
        <color rgb="FFDDDDDD"/>
      </left>
      <right style="medium">
        <color rgb="FFDDDDDD"/>
      </right>
      <top/>
      <bottom style="medium">
        <color rgb="FFDDDDDD"/>
      </bottom>
      <diagonal/>
    </border>
    <border>
      <left/>
      <right/>
      <top style="hair">
        <color auto="1"/>
      </top>
      <bottom style="hair">
        <color auto="1"/>
      </bottom>
      <diagonal/>
    </border>
    <border>
      <left/>
      <right/>
      <top style="hair">
        <color auto="1"/>
      </top>
      <bottom/>
      <diagonal/>
    </border>
    <border>
      <left/>
      <right/>
      <top style="thin">
        <color auto="1"/>
      </top>
      <bottom style="medium">
        <color auto="1"/>
      </bottom>
      <diagonal/>
    </border>
  </borders>
  <cellStyleXfs count="7">
    <xf numFmtId="0" fontId="0"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9" fontId="3" fillId="0" borderId="0" applyFont="0" applyFill="0" applyBorder="0" applyAlignment="0" applyProtection="0"/>
  </cellStyleXfs>
  <cellXfs count="86">
    <xf numFmtId="0" fontId="0" fillId="0" borderId="0" xfId="0"/>
    <xf numFmtId="43" fontId="1" fillId="0" borderId="0" xfId="1" applyFont="1" applyBorder="1"/>
    <xf numFmtId="0" fontId="1" fillId="0" borderId="0" xfId="0" applyFont="1"/>
    <xf numFmtId="0" fontId="8" fillId="0" borderId="0" xfId="0" applyFont="1"/>
    <xf numFmtId="43" fontId="0" fillId="0" borderId="0" xfId="1" applyFont="1" applyBorder="1"/>
    <xf numFmtId="10" fontId="0" fillId="0" borderId="0" xfId="0" applyNumberFormat="1"/>
    <xf numFmtId="43" fontId="3" fillId="0" borderId="0" xfId="1" applyFont="1" applyBorder="1"/>
    <xf numFmtId="9" fontId="3" fillId="0" borderId="0" xfId="1" applyNumberFormat="1" applyFont="1" applyBorder="1"/>
    <xf numFmtId="43" fontId="2" fillId="2" borderId="0" xfId="3" applyNumberFormat="1" applyFont="1" applyBorder="1"/>
    <xf numFmtId="43" fontId="2" fillId="3" borderId="0" xfId="4" applyNumberFormat="1" applyFont="1" applyBorder="1"/>
    <xf numFmtId="9" fontId="1" fillId="0" borderId="0" xfId="6" applyFont="1" applyBorder="1"/>
    <xf numFmtId="0" fontId="2" fillId="5" borderId="0" xfId="0" applyFont="1" applyFill="1"/>
    <xf numFmtId="165" fontId="2" fillId="5" borderId="0" xfId="0" applyNumberFormat="1" applyFont="1" applyFill="1" applyAlignment="1">
      <alignment horizontal="center"/>
    </xf>
    <xf numFmtId="0" fontId="2" fillId="5" borderId="0" xfId="0" applyFont="1" applyFill="1" applyAlignment="1">
      <alignment horizontal="center"/>
    </xf>
    <xf numFmtId="43" fontId="0" fillId="0" borderId="0" xfId="1" applyFont="1" applyBorder="1" applyAlignment="1">
      <alignment horizontal="center"/>
    </xf>
    <xf numFmtId="43" fontId="1" fillId="0" borderId="0" xfId="1" applyFont="1" applyBorder="1" applyAlignment="1">
      <alignment horizontal="center"/>
    </xf>
    <xf numFmtId="10" fontId="1" fillId="0" borderId="0" xfId="0" applyNumberFormat="1" applyFont="1"/>
    <xf numFmtId="165" fontId="2" fillId="5" borderId="0" xfId="1" applyNumberFormat="1" applyFont="1" applyFill="1" applyBorder="1"/>
    <xf numFmtId="165" fontId="9" fillId="0" borderId="0" xfId="1" applyNumberFormat="1" applyFont="1" applyFill="1" applyBorder="1"/>
    <xf numFmtId="0" fontId="7" fillId="0" borderId="0" xfId="0" applyFont="1"/>
    <xf numFmtId="0" fontId="0" fillId="0" borderId="0" xfId="0" applyAlignment="1">
      <alignment horizontal="left"/>
    </xf>
    <xf numFmtId="0" fontId="6" fillId="0" borderId="0" xfId="2" applyFont="1" applyBorder="1" applyAlignment="1" applyProtection="1">
      <alignment horizontal="left"/>
    </xf>
    <xf numFmtId="0" fontId="6" fillId="0" borderId="0" xfId="2" applyFont="1" applyBorder="1" applyAlignment="1" applyProtection="1"/>
    <xf numFmtId="0" fontId="9" fillId="0" borderId="0" xfId="0" applyFont="1"/>
    <xf numFmtId="164" fontId="0" fillId="0" borderId="0" xfId="1" applyNumberFormat="1" applyFont="1" applyBorder="1"/>
    <xf numFmtId="0" fontId="10" fillId="0" borderId="0" xfId="0" applyFont="1" applyAlignment="1">
      <alignment wrapText="1"/>
    </xf>
    <xf numFmtId="43" fontId="5" fillId="0" borderId="0" xfId="0" applyNumberFormat="1" applyFont="1" applyAlignment="1">
      <alignment horizontal="center"/>
    </xf>
    <xf numFmtId="0" fontId="5" fillId="0" borderId="0" xfId="0" applyFont="1" applyAlignment="1">
      <alignment horizontal="center"/>
    </xf>
    <xf numFmtId="0" fontId="0" fillId="0" borderId="1" xfId="0" applyBorder="1"/>
    <xf numFmtId="43" fontId="0" fillId="0" borderId="0" xfId="0" applyNumberFormat="1"/>
    <xf numFmtId="0" fontId="12" fillId="0" borderId="0" xfId="0" applyFont="1"/>
    <xf numFmtId="9" fontId="0" fillId="0" borderId="0" xfId="6" applyFont="1"/>
    <xf numFmtId="0" fontId="2" fillId="6" borderId="0" xfId="0" applyFont="1" applyFill="1"/>
    <xf numFmtId="17" fontId="2" fillId="6" borderId="0" xfId="0" applyNumberFormat="1" applyFont="1" applyFill="1"/>
    <xf numFmtId="10" fontId="0" fillId="0" borderId="0" xfId="6" applyNumberFormat="1" applyFont="1" applyBorder="1"/>
    <xf numFmtId="10" fontId="0" fillId="0" borderId="0" xfId="6" applyNumberFormat="1" applyFont="1"/>
    <xf numFmtId="14" fontId="0" fillId="0" borderId="0" xfId="0" applyNumberFormat="1"/>
    <xf numFmtId="9" fontId="0" fillId="0" borderId="0" xfId="0" applyNumberFormat="1"/>
    <xf numFmtId="0" fontId="14" fillId="7" borderId="2" xfId="0" applyFont="1" applyFill="1" applyBorder="1" applyAlignment="1">
      <alignment horizontal="left" vertical="center" wrapText="1" indent="1"/>
    </xf>
    <xf numFmtId="3" fontId="14" fillId="7" borderId="2" xfId="0" applyNumberFormat="1" applyFont="1" applyFill="1" applyBorder="1" applyAlignment="1">
      <alignment horizontal="right" vertical="center" wrapText="1" indent="1"/>
    </xf>
    <xf numFmtId="0" fontId="14" fillId="7" borderId="2" xfId="0" applyFont="1" applyFill="1" applyBorder="1" applyAlignment="1">
      <alignment horizontal="right" vertical="center" wrapText="1" indent="1"/>
    </xf>
    <xf numFmtId="0" fontId="14" fillId="9" borderId="2" xfId="0" applyFont="1" applyFill="1" applyBorder="1" applyAlignment="1">
      <alignment horizontal="left" vertical="center" wrapText="1" indent="1"/>
    </xf>
    <xf numFmtId="3" fontId="14" fillId="9" borderId="2" xfId="0" applyNumberFormat="1" applyFont="1" applyFill="1" applyBorder="1" applyAlignment="1">
      <alignment horizontal="right" vertical="center" wrapText="1" indent="1"/>
    </xf>
    <xf numFmtId="0" fontId="14" fillId="9" borderId="2" xfId="0" applyFont="1" applyFill="1" applyBorder="1" applyAlignment="1">
      <alignment horizontal="right" vertical="center" wrapText="1" indent="1"/>
    </xf>
    <xf numFmtId="0" fontId="13" fillId="8" borderId="3" xfId="0" applyFont="1" applyFill="1" applyBorder="1" applyAlignment="1">
      <alignment horizontal="left" vertical="center" wrapText="1" indent="1"/>
    </xf>
    <xf numFmtId="0" fontId="13" fillId="8" borderId="3" xfId="0" applyFont="1" applyFill="1" applyBorder="1" applyAlignment="1">
      <alignment horizontal="right" vertical="center" wrapText="1" indent="1"/>
    </xf>
    <xf numFmtId="0" fontId="13" fillId="8" borderId="4" xfId="0" applyFont="1" applyFill="1" applyBorder="1" applyAlignment="1">
      <alignment horizontal="right" vertical="center" wrapText="1" indent="1"/>
    </xf>
    <xf numFmtId="17" fontId="14" fillId="7" borderId="5" xfId="0" applyNumberFormat="1" applyFont="1" applyFill="1" applyBorder="1" applyAlignment="1">
      <alignment horizontal="right" vertical="center" wrapText="1" indent="1"/>
    </xf>
    <xf numFmtId="17" fontId="14" fillId="9" borderId="5" xfId="0" applyNumberFormat="1" applyFont="1" applyFill="1" applyBorder="1" applyAlignment="1">
      <alignment horizontal="right" vertical="center" wrapText="1" indent="1"/>
    </xf>
    <xf numFmtId="10" fontId="15" fillId="0" borderId="0" xfId="0" applyNumberFormat="1" applyFont="1"/>
    <xf numFmtId="0" fontId="2" fillId="0" borderId="0" xfId="0" applyFont="1"/>
    <xf numFmtId="17" fontId="2" fillId="0" borderId="0" xfId="0" applyNumberFormat="1" applyFont="1" applyAlignment="1">
      <alignment horizontal="center"/>
    </xf>
    <xf numFmtId="17" fontId="2" fillId="0" borderId="0" xfId="0" applyNumberFormat="1" applyFont="1"/>
    <xf numFmtId="0" fontId="0" fillId="0" borderId="6" xfId="0" applyBorder="1"/>
    <xf numFmtId="3" fontId="0" fillId="0" borderId="6" xfId="0" applyNumberFormat="1" applyBorder="1"/>
    <xf numFmtId="0" fontId="11" fillId="0" borderId="6" xfId="0" applyFont="1" applyBorder="1"/>
    <xf numFmtId="10" fontId="11" fillId="0" borderId="6" xfId="6" applyNumberFormat="1" applyFont="1" applyBorder="1"/>
    <xf numFmtId="10" fontId="0" fillId="0" borderId="6" xfId="0" applyNumberFormat="1" applyBorder="1"/>
    <xf numFmtId="43" fontId="0" fillId="0" borderId="6" xfId="0" applyNumberFormat="1" applyBorder="1"/>
    <xf numFmtId="10" fontId="11" fillId="0" borderId="6" xfId="0" applyNumberFormat="1" applyFont="1" applyBorder="1"/>
    <xf numFmtId="166" fontId="0" fillId="0" borderId="6" xfId="0" applyNumberFormat="1" applyBorder="1"/>
    <xf numFmtId="9" fontId="0" fillId="0" borderId="6" xfId="0" applyNumberFormat="1" applyBorder="1"/>
    <xf numFmtId="10" fontId="0" fillId="0" borderId="6" xfId="6" applyNumberFormat="1" applyFont="1" applyBorder="1"/>
    <xf numFmtId="0" fontId="0" fillId="0" borderId="6" xfId="0" applyBorder="1" applyAlignment="1">
      <alignment horizontal="left" indent="1"/>
    </xf>
    <xf numFmtId="0" fontId="0" fillId="0" borderId="7" xfId="0" applyBorder="1"/>
    <xf numFmtId="3" fontId="0" fillId="0" borderId="7" xfId="0" applyNumberFormat="1" applyBorder="1"/>
    <xf numFmtId="0" fontId="0" fillId="0" borderId="1" xfId="0" applyBorder="1" applyAlignment="1">
      <alignment horizontal="left" indent="1"/>
    </xf>
    <xf numFmtId="3" fontId="0" fillId="0" borderId="1" xfId="0" applyNumberFormat="1" applyBorder="1"/>
    <xf numFmtId="0" fontId="1" fillId="0" borderId="8" xfId="0" applyFont="1" applyBorder="1"/>
    <xf numFmtId="3" fontId="1" fillId="0" borderId="8" xfId="0" applyNumberFormat="1" applyFont="1" applyBorder="1"/>
    <xf numFmtId="0" fontId="0" fillId="0" borderId="7" xfId="0" applyBorder="1" applyAlignment="1">
      <alignment horizontal="left" indent="1"/>
    </xf>
    <xf numFmtId="0" fontId="0" fillId="0" borderId="7" xfId="0" applyBorder="1" applyAlignment="1">
      <alignment horizontal="right" wrapText="1"/>
    </xf>
    <xf numFmtId="0" fontId="0" fillId="0" borderId="8" xfId="0" applyBorder="1"/>
    <xf numFmtId="0" fontId="16" fillId="0" borderId="0" xfId="0" applyFont="1"/>
    <xf numFmtId="0" fontId="11" fillId="0" borderId="0" xfId="0" applyFont="1" applyAlignment="1">
      <alignment horizontal="right"/>
    </xf>
    <xf numFmtId="0" fontId="11" fillId="0" borderId="0" xfId="0" applyFont="1"/>
    <xf numFmtId="0" fontId="0" fillId="0" borderId="0" xfId="0" applyAlignment="1">
      <alignment horizontal="left" vertical="top" wrapText="1"/>
    </xf>
    <xf numFmtId="2" fontId="0" fillId="0" borderId="6" xfId="0" applyNumberFormat="1" applyBorder="1"/>
    <xf numFmtId="43" fontId="2" fillId="6" borderId="0" xfId="0" applyNumberFormat="1" applyFont="1" applyFill="1" applyAlignment="1">
      <alignment horizontal="center"/>
    </xf>
    <xf numFmtId="0" fontId="2" fillId="6" borderId="0" xfId="0" applyFont="1" applyFill="1" applyAlignment="1">
      <alignment horizontal="center"/>
    </xf>
    <xf numFmtId="0" fontId="0" fillId="0" borderId="1" xfId="0" applyFont="1" applyBorder="1" applyAlignment="1">
      <alignment horizontal="left" vertical="center" wrapText="1"/>
    </xf>
    <xf numFmtId="17" fontId="2" fillId="6" borderId="0" xfId="0" applyNumberFormat="1" applyFont="1" applyFill="1" applyAlignment="1">
      <alignment horizontal="center"/>
    </xf>
    <xf numFmtId="3" fontId="0" fillId="0" borderId="6" xfId="0" applyNumberFormat="1" applyBorder="1"/>
    <xf numFmtId="0" fontId="0" fillId="0" borderId="6" xfId="0" applyBorder="1"/>
    <xf numFmtId="43" fontId="4" fillId="0" borderId="0" xfId="2" applyNumberFormat="1" applyBorder="1" applyAlignment="1" applyProtection="1">
      <alignment horizontal="center"/>
    </xf>
    <xf numFmtId="43" fontId="2" fillId="4" borderId="0" xfId="5" applyNumberFormat="1" applyFont="1" applyBorder="1" applyAlignment="1">
      <alignment horizontal="center"/>
    </xf>
  </cellXfs>
  <cellStyles count="7">
    <cellStyle name="60% - Accent1" xfId="3" builtinId="32"/>
    <cellStyle name="60% - Accent3" xfId="4" builtinId="40"/>
    <cellStyle name="Accent6" xfId="5" builtinId="49"/>
    <cellStyle name="Comma" xfId="1" builtinId="3"/>
    <cellStyle name="Hyperlink" xfId="2" builtinId="8"/>
    <cellStyle name="Normal" xfId="0" builtinId="0"/>
    <cellStyle name="Percent" xfId="6" builtinId="5"/>
  </cellStyles>
  <dxfs count="31">
    <dxf>
      <font>
        <b/>
        <i val="0"/>
        <color theme="0"/>
      </font>
      <fill>
        <patternFill>
          <bgColor theme="5"/>
        </patternFill>
      </fill>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'Share Price'!$B$1</c:f>
              <c:strCache>
                <c:ptCount val="1"/>
                <c:pt idx="0">
                  <c:v>Adj Close</c:v>
                </c:pt>
              </c:strCache>
            </c:strRef>
          </c:tx>
          <c:spPr>
            <a:ln w="25400" cap="rnd">
              <a:solidFill>
                <a:srgbClr val="002060"/>
              </a:solidFill>
              <a:round/>
            </a:ln>
            <a:effectLst/>
          </c:spPr>
          <c:marker>
            <c:symbol val="none"/>
          </c:marker>
          <c:cat>
            <c:numRef>
              <c:f>'Share Price'!$A$2:$A$62</c:f>
              <c:numCache>
                <c:formatCode>m/d/yyyy</c:formatCode>
                <c:ptCount val="61"/>
                <c:pt idx="0">
                  <c:v>43405</c:v>
                </c:pt>
                <c:pt idx="1">
                  <c:v>43435</c:v>
                </c:pt>
                <c:pt idx="2">
                  <c:v>43466</c:v>
                </c:pt>
                <c:pt idx="3">
                  <c:v>43497</c:v>
                </c:pt>
                <c:pt idx="4">
                  <c:v>43525</c:v>
                </c:pt>
                <c:pt idx="5">
                  <c:v>43556</c:v>
                </c:pt>
                <c:pt idx="6">
                  <c:v>43586</c:v>
                </c:pt>
                <c:pt idx="7">
                  <c:v>43617</c:v>
                </c:pt>
                <c:pt idx="8">
                  <c:v>43647</c:v>
                </c:pt>
                <c:pt idx="9">
                  <c:v>43678</c:v>
                </c:pt>
                <c:pt idx="10">
                  <c:v>43709</c:v>
                </c:pt>
                <c:pt idx="11">
                  <c:v>43739</c:v>
                </c:pt>
                <c:pt idx="12">
                  <c:v>43770</c:v>
                </c:pt>
                <c:pt idx="13">
                  <c:v>43800</c:v>
                </c:pt>
                <c:pt idx="14">
                  <c:v>43831</c:v>
                </c:pt>
                <c:pt idx="15">
                  <c:v>43862</c:v>
                </c:pt>
                <c:pt idx="16">
                  <c:v>43891</c:v>
                </c:pt>
                <c:pt idx="17">
                  <c:v>43922</c:v>
                </c:pt>
                <c:pt idx="18">
                  <c:v>43952</c:v>
                </c:pt>
                <c:pt idx="19">
                  <c:v>43983</c:v>
                </c:pt>
                <c:pt idx="20">
                  <c:v>44013</c:v>
                </c:pt>
                <c:pt idx="21">
                  <c:v>44044</c:v>
                </c:pt>
                <c:pt idx="22">
                  <c:v>44075</c:v>
                </c:pt>
                <c:pt idx="23">
                  <c:v>44105</c:v>
                </c:pt>
                <c:pt idx="24">
                  <c:v>44136</c:v>
                </c:pt>
                <c:pt idx="25">
                  <c:v>44166</c:v>
                </c:pt>
                <c:pt idx="26">
                  <c:v>44197</c:v>
                </c:pt>
                <c:pt idx="27">
                  <c:v>44228</c:v>
                </c:pt>
                <c:pt idx="28">
                  <c:v>44256</c:v>
                </c:pt>
                <c:pt idx="29">
                  <c:v>44287</c:v>
                </c:pt>
                <c:pt idx="30">
                  <c:v>44317</c:v>
                </c:pt>
                <c:pt idx="31">
                  <c:v>44348</c:v>
                </c:pt>
                <c:pt idx="32">
                  <c:v>44378</c:v>
                </c:pt>
                <c:pt idx="33">
                  <c:v>44409</c:v>
                </c:pt>
                <c:pt idx="34">
                  <c:v>44440</c:v>
                </c:pt>
                <c:pt idx="35">
                  <c:v>44470</c:v>
                </c:pt>
                <c:pt idx="36">
                  <c:v>44501</c:v>
                </c:pt>
                <c:pt idx="37">
                  <c:v>44531</c:v>
                </c:pt>
                <c:pt idx="38">
                  <c:v>44562</c:v>
                </c:pt>
                <c:pt idx="39">
                  <c:v>44593</c:v>
                </c:pt>
                <c:pt idx="40">
                  <c:v>44621</c:v>
                </c:pt>
                <c:pt idx="41">
                  <c:v>44652</c:v>
                </c:pt>
                <c:pt idx="42">
                  <c:v>44682</c:v>
                </c:pt>
                <c:pt idx="43">
                  <c:v>44713</c:v>
                </c:pt>
                <c:pt idx="44">
                  <c:v>44743</c:v>
                </c:pt>
                <c:pt idx="45">
                  <c:v>44774</c:v>
                </c:pt>
                <c:pt idx="46">
                  <c:v>44805</c:v>
                </c:pt>
                <c:pt idx="47">
                  <c:v>44835</c:v>
                </c:pt>
                <c:pt idx="48">
                  <c:v>44866</c:v>
                </c:pt>
                <c:pt idx="49">
                  <c:v>44896</c:v>
                </c:pt>
                <c:pt idx="50">
                  <c:v>44927</c:v>
                </c:pt>
                <c:pt idx="51">
                  <c:v>44958</c:v>
                </c:pt>
                <c:pt idx="52">
                  <c:v>44986</c:v>
                </c:pt>
                <c:pt idx="53">
                  <c:v>45017</c:v>
                </c:pt>
                <c:pt idx="54">
                  <c:v>45047</c:v>
                </c:pt>
                <c:pt idx="55">
                  <c:v>45078</c:v>
                </c:pt>
                <c:pt idx="56">
                  <c:v>45108</c:v>
                </c:pt>
                <c:pt idx="57">
                  <c:v>45139</c:v>
                </c:pt>
                <c:pt idx="58">
                  <c:v>45170</c:v>
                </c:pt>
                <c:pt idx="59">
                  <c:v>45200</c:v>
                </c:pt>
                <c:pt idx="60">
                  <c:v>45212</c:v>
                </c:pt>
              </c:numCache>
            </c:numRef>
          </c:cat>
          <c:val>
            <c:numRef>
              <c:f>'Share Price'!$B$2:$B$62</c:f>
              <c:numCache>
                <c:formatCode>General</c:formatCode>
                <c:ptCount val="61"/>
                <c:pt idx="0">
                  <c:v>1301.486206</c:v>
                </c:pt>
                <c:pt idx="1">
                  <c:v>1327.690918</c:v>
                </c:pt>
                <c:pt idx="2">
                  <c:v>1365.9343260000001</c:v>
                </c:pt>
                <c:pt idx="3">
                  <c:v>1358.778687</c:v>
                </c:pt>
                <c:pt idx="4">
                  <c:v>1443.3883060000001</c:v>
                </c:pt>
                <c:pt idx="5">
                  <c:v>1414.8145750000001</c:v>
                </c:pt>
                <c:pt idx="6">
                  <c:v>1360.8093260000001</c:v>
                </c:pt>
                <c:pt idx="7">
                  <c:v>1313.283203</c:v>
                </c:pt>
                <c:pt idx="8">
                  <c:v>1478.7861330000001</c:v>
                </c:pt>
                <c:pt idx="9">
                  <c:v>1571.240845</c:v>
                </c:pt>
                <c:pt idx="10">
                  <c:v>1713.130615</c:v>
                </c:pt>
                <c:pt idx="11">
                  <c:v>1759.2608640000001</c:v>
                </c:pt>
                <c:pt idx="12">
                  <c:v>1661.7569579999999</c:v>
                </c:pt>
                <c:pt idx="13">
                  <c:v>1738.5069579999999</c:v>
                </c:pt>
                <c:pt idx="14">
                  <c:v>1748.9282229999999</c:v>
                </c:pt>
                <c:pt idx="15">
                  <c:v>1751.1683350000001</c:v>
                </c:pt>
                <c:pt idx="16">
                  <c:v>1623.138794</c:v>
                </c:pt>
                <c:pt idx="17">
                  <c:v>1719.821655</c:v>
                </c:pt>
                <c:pt idx="18">
                  <c:v>1645.892822</c:v>
                </c:pt>
                <c:pt idx="19">
                  <c:v>1650.146606</c:v>
                </c:pt>
                <c:pt idx="20">
                  <c:v>1677.576904</c:v>
                </c:pt>
                <c:pt idx="21">
                  <c:v>1858.762207</c:v>
                </c:pt>
                <c:pt idx="22">
                  <c:v>1944.2078859999999</c:v>
                </c:pt>
                <c:pt idx="23">
                  <c:v>2164.5268550000001</c:v>
                </c:pt>
                <c:pt idx="24">
                  <c:v>2171.5561520000001</c:v>
                </c:pt>
                <c:pt idx="25">
                  <c:v>2709.9113769999999</c:v>
                </c:pt>
                <c:pt idx="26">
                  <c:v>2359.8139649999998</c:v>
                </c:pt>
                <c:pt idx="27">
                  <c:v>2232.233643</c:v>
                </c:pt>
                <c:pt idx="28">
                  <c:v>2487.295654</c:v>
                </c:pt>
                <c:pt idx="29">
                  <c:v>2486.3154300000001</c:v>
                </c:pt>
                <c:pt idx="30">
                  <c:v>2918.7053219999998</c:v>
                </c:pt>
                <c:pt idx="31">
                  <c:v>2933.6049800000001</c:v>
                </c:pt>
                <c:pt idx="32">
                  <c:v>2914.3876949999999</c:v>
                </c:pt>
                <c:pt idx="33">
                  <c:v>3153.6704100000002</c:v>
                </c:pt>
                <c:pt idx="34">
                  <c:v>3196.3251949999999</c:v>
                </c:pt>
                <c:pt idx="35">
                  <c:v>3053.9284670000002</c:v>
                </c:pt>
                <c:pt idx="36">
                  <c:v>3100.486328</c:v>
                </c:pt>
                <c:pt idx="37">
                  <c:v>3336.500732</c:v>
                </c:pt>
                <c:pt idx="38">
                  <c:v>3108.9682619999999</c:v>
                </c:pt>
                <c:pt idx="39">
                  <c:v>3131.0607909999999</c:v>
                </c:pt>
                <c:pt idx="40">
                  <c:v>3037.6611330000001</c:v>
                </c:pt>
                <c:pt idx="41">
                  <c:v>3192.751953</c:v>
                </c:pt>
                <c:pt idx="42">
                  <c:v>2820.3857419999999</c:v>
                </c:pt>
                <c:pt idx="43">
                  <c:v>2658.1938479999999</c:v>
                </c:pt>
                <c:pt idx="44">
                  <c:v>3306.9240719999998</c:v>
                </c:pt>
                <c:pt idx="45">
                  <c:v>3364.3088379999999</c:v>
                </c:pt>
                <c:pt idx="46">
                  <c:v>3315.5539549999999</c:v>
                </c:pt>
                <c:pt idx="47">
                  <c:v>3082.693115</c:v>
                </c:pt>
                <c:pt idx="48">
                  <c:v>3154.1455080000001</c:v>
                </c:pt>
                <c:pt idx="49">
                  <c:v>3067.4726559999999</c:v>
                </c:pt>
                <c:pt idx="50">
                  <c:v>2707.8178710000002</c:v>
                </c:pt>
                <c:pt idx="51">
                  <c:v>2810.0866700000001</c:v>
                </c:pt>
                <c:pt idx="52">
                  <c:v>2743.3808589999999</c:v>
                </c:pt>
                <c:pt idx="53">
                  <c:v>2883.1501459999999</c:v>
                </c:pt>
                <c:pt idx="54">
                  <c:v>3171.8276369999999</c:v>
                </c:pt>
                <c:pt idx="55">
                  <c:v>3339.8090820000002</c:v>
                </c:pt>
                <c:pt idx="56">
                  <c:v>3377.3500979999999</c:v>
                </c:pt>
                <c:pt idx="57">
                  <c:v>3256.1000979999999</c:v>
                </c:pt>
                <c:pt idx="58">
                  <c:v>3161.0500489999999</c:v>
                </c:pt>
                <c:pt idx="59">
                  <c:v>3148.8000489999999</c:v>
                </c:pt>
                <c:pt idx="60">
                  <c:v>3148.8000489999999</c:v>
                </c:pt>
              </c:numCache>
            </c:numRef>
          </c:val>
          <c:smooth val="0"/>
          <c:extLst>
            <c:ext xmlns:c16="http://schemas.microsoft.com/office/drawing/2014/chart" uri="{C3380CC4-5D6E-409C-BE32-E72D297353CC}">
              <c16:uniqueId val="{00000000-B4E5-4B74-A9BE-84493D96C4C0}"/>
            </c:ext>
          </c:extLst>
        </c:ser>
        <c:dLbls>
          <c:showLegendKey val="0"/>
          <c:showVal val="0"/>
          <c:showCatName val="0"/>
          <c:showSerName val="0"/>
          <c:showPercent val="0"/>
          <c:showBubbleSize val="0"/>
        </c:dLbls>
        <c:smooth val="0"/>
        <c:axId val="674370384"/>
        <c:axId val="674370744"/>
      </c:lineChart>
      <c:dateAx>
        <c:axId val="674370384"/>
        <c:scaling>
          <c:orientation val="minMax"/>
        </c:scaling>
        <c:delete val="0"/>
        <c:axPos val="b"/>
        <c:numFmt formatCode="yyyy"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70744"/>
        <c:crosses val="autoZero"/>
        <c:auto val="1"/>
        <c:lblOffset val="100"/>
        <c:baseTimeUnit val="days"/>
      </c:dateAx>
      <c:valAx>
        <c:axId val="674370744"/>
        <c:scaling>
          <c:orientation val="minMax"/>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70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78561822526572"/>
          <c:y val="0.10743027121609799"/>
          <c:w val="0.66560866856789336"/>
          <c:h val="0.64161930034690628"/>
        </c:manualLayout>
      </c:layout>
      <c:areaChart>
        <c:grouping val="stacked"/>
        <c:varyColors val="0"/>
        <c:ser>
          <c:idx val="0"/>
          <c:order val="0"/>
          <c:tx>
            <c:strRef>
              <c:f>'Share Price'!$C$1</c:f>
              <c:strCache>
                <c:ptCount val="1"/>
                <c:pt idx="0">
                  <c:v>Volume</c:v>
                </c:pt>
              </c:strCache>
            </c:strRef>
          </c:tx>
          <c:spPr>
            <a:solidFill>
              <a:schemeClr val="accent1"/>
            </a:solidFill>
            <a:ln>
              <a:solidFill>
                <a:srgbClr val="0070C0"/>
              </a:solidFill>
            </a:ln>
            <a:effectLst/>
          </c:spPr>
          <c:cat>
            <c:numRef>
              <c:f>'Share Price'!$A$2:$A$62</c:f>
              <c:numCache>
                <c:formatCode>m/d/yyyy</c:formatCode>
                <c:ptCount val="61"/>
                <c:pt idx="0">
                  <c:v>43405</c:v>
                </c:pt>
                <c:pt idx="1">
                  <c:v>43435</c:v>
                </c:pt>
                <c:pt idx="2">
                  <c:v>43466</c:v>
                </c:pt>
                <c:pt idx="3">
                  <c:v>43497</c:v>
                </c:pt>
                <c:pt idx="4">
                  <c:v>43525</c:v>
                </c:pt>
                <c:pt idx="5">
                  <c:v>43556</c:v>
                </c:pt>
                <c:pt idx="6">
                  <c:v>43586</c:v>
                </c:pt>
                <c:pt idx="7">
                  <c:v>43617</c:v>
                </c:pt>
                <c:pt idx="8">
                  <c:v>43647</c:v>
                </c:pt>
                <c:pt idx="9">
                  <c:v>43678</c:v>
                </c:pt>
                <c:pt idx="10">
                  <c:v>43709</c:v>
                </c:pt>
                <c:pt idx="11">
                  <c:v>43739</c:v>
                </c:pt>
                <c:pt idx="12">
                  <c:v>43770</c:v>
                </c:pt>
                <c:pt idx="13">
                  <c:v>43800</c:v>
                </c:pt>
                <c:pt idx="14">
                  <c:v>43831</c:v>
                </c:pt>
                <c:pt idx="15">
                  <c:v>43862</c:v>
                </c:pt>
                <c:pt idx="16">
                  <c:v>43891</c:v>
                </c:pt>
                <c:pt idx="17">
                  <c:v>43922</c:v>
                </c:pt>
                <c:pt idx="18">
                  <c:v>43952</c:v>
                </c:pt>
                <c:pt idx="19">
                  <c:v>43983</c:v>
                </c:pt>
                <c:pt idx="20">
                  <c:v>44013</c:v>
                </c:pt>
                <c:pt idx="21">
                  <c:v>44044</c:v>
                </c:pt>
                <c:pt idx="22">
                  <c:v>44075</c:v>
                </c:pt>
                <c:pt idx="23">
                  <c:v>44105</c:v>
                </c:pt>
                <c:pt idx="24">
                  <c:v>44136</c:v>
                </c:pt>
                <c:pt idx="25">
                  <c:v>44166</c:v>
                </c:pt>
                <c:pt idx="26">
                  <c:v>44197</c:v>
                </c:pt>
                <c:pt idx="27">
                  <c:v>44228</c:v>
                </c:pt>
                <c:pt idx="28">
                  <c:v>44256</c:v>
                </c:pt>
                <c:pt idx="29">
                  <c:v>44287</c:v>
                </c:pt>
                <c:pt idx="30">
                  <c:v>44317</c:v>
                </c:pt>
                <c:pt idx="31">
                  <c:v>44348</c:v>
                </c:pt>
                <c:pt idx="32">
                  <c:v>44378</c:v>
                </c:pt>
                <c:pt idx="33">
                  <c:v>44409</c:v>
                </c:pt>
                <c:pt idx="34">
                  <c:v>44440</c:v>
                </c:pt>
                <c:pt idx="35">
                  <c:v>44470</c:v>
                </c:pt>
                <c:pt idx="36">
                  <c:v>44501</c:v>
                </c:pt>
                <c:pt idx="37">
                  <c:v>44531</c:v>
                </c:pt>
                <c:pt idx="38">
                  <c:v>44562</c:v>
                </c:pt>
                <c:pt idx="39">
                  <c:v>44593</c:v>
                </c:pt>
                <c:pt idx="40">
                  <c:v>44621</c:v>
                </c:pt>
                <c:pt idx="41">
                  <c:v>44652</c:v>
                </c:pt>
                <c:pt idx="42">
                  <c:v>44682</c:v>
                </c:pt>
                <c:pt idx="43">
                  <c:v>44713</c:v>
                </c:pt>
                <c:pt idx="44">
                  <c:v>44743</c:v>
                </c:pt>
                <c:pt idx="45">
                  <c:v>44774</c:v>
                </c:pt>
                <c:pt idx="46">
                  <c:v>44805</c:v>
                </c:pt>
                <c:pt idx="47">
                  <c:v>44835</c:v>
                </c:pt>
                <c:pt idx="48">
                  <c:v>44866</c:v>
                </c:pt>
                <c:pt idx="49">
                  <c:v>44896</c:v>
                </c:pt>
                <c:pt idx="50">
                  <c:v>44927</c:v>
                </c:pt>
                <c:pt idx="51">
                  <c:v>44958</c:v>
                </c:pt>
                <c:pt idx="52">
                  <c:v>44986</c:v>
                </c:pt>
                <c:pt idx="53">
                  <c:v>45017</c:v>
                </c:pt>
                <c:pt idx="54">
                  <c:v>45047</c:v>
                </c:pt>
                <c:pt idx="55">
                  <c:v>45078</c:v>
                </c:pt>
                <c:pt idx="56">
                  <c:v>45108</c:v>
                </c:pt>
                <c:pt idx="57">
                  <c:v>45139</c:v>
                </c:pt>
                <c:pt idx="58">
                  <c:v>45170</c:v>
                </c:pt>
                <c:pt idx="59">
                  <c:v>45200</c:v>
                </c:pt>
                <c:pt idx="60">
                  <c:v>45212</c:v>
                </c:pt>
              </c:numCache>
            </c:numRef>
          </c:cat>
          <c:val>
            <c:numRef>
              <c:f>'Share Price'!$C$2:$C$62</c:f>
              <c:numCache>
                <c:formatCode>General</c:formatCode>
                <c:ptCount val="61"/>
                <c:pt idx="0">
                  <c:v>26.469291999999999</c:v>
                </c:pt>
                <c:pt idx="1">
                  <c:v>29.465696999999999</c:v>
                </c:pt>
                <c:pt idx="2">
                  <c:v>34.445877000000003</c:v>
                </c:pt>
                <c:pt idx="3">
                  <c:v>19.647186000000001</c:v>
                </c:pt>
                <c:pt idx="4">
                  <c:v>20.648664</c:v>
                </c:pt>
                <c:pt idx="5">
                  <c:v>24.926407999999999</c:v>
                </c:pt>
                <c:pt idx="6">
                  <c:v>30.965865000000001</c:v>
                </c:pt>
                <c:pt idx="7">
                  <c:v>23.179251000000001</c:v>
                </c:pt>
                <c:pt idx="8">
                  <c:v>37.555638000000002</c:v>
                </c:pt>
                <c:pt idx="9">
                  <c:v>27.898854</c:v>
                </c:pt>
                <c:pt idx="10">
                  <c:v>30.602497</c:v>
                </c:pt>
                <c:pt idx="11">
                  <c:v>27.645762000000001</c:v>
                </c:pt>
                <c:pt idx="12">
                  <c:v>24.410492999999999</c:v>
                </c:pt>
                <c:pt idx="13">
                  <c:v>21.906248999999999</c:v>
                </c:pt>
                <c:pt idx="14">
                  <c:v>28.404112999999999</c:v>
                </c:pt>
                <c:pt idx="15">
                  <c:v>25.485291</c:v>
                </c:pt>
                <c:pt idx="16">
                  <c:v>60.708226000000003</c:v>
                </c:pt>
                <c:pt idx="17">
                  <c:v>41.040413000000001</c:v>
                </c:pt>
                <c:pt idx="18">
                  <c:v>69.941344999999998</c:v>
                </c:pt>
                <c:pt idx="19">
                  <c:v>63.337220000000002</c:v>
                </c:pt>
                <c:pt idx="20">
                  <c:v>49.607443000000004</c:v>
                </c:pt>
                <c:pt idx="21">
                  <c:v>52.300928999999996</c:v>
                </c:pt>
                <c:pt idx="22">
                  <c:v>53.203178999999999</c:v>
                </c:pt>
                <c:pt idx="23">
                  <c:v>54.216411999999998</c:v>
                </c:pt>
                <c:pt idx="24">
                  <c:v>49.408893999999997</c:v>
                </c:pt>
                <c:pt idx="25">
                  <c:v>45.512932999999997</c:v>
                </c:pt>
                <c:pt idx="26">
                  <c:v>53.164585000000002</c:v>
                </c:pt>
                <c:pt idx="27">
                  <c:v>58.487786</c:v>
                </c:pt>
                <c:pt idx="28">
                  <c:v>45.645679000000001</c:v>
                </c:pt>
                <c:pt idx="29">
                  <c:v>28.543175999999999</c:v>
                </c:pt>
                <c:pt idx="30">
                  <c:v>38.807980000000001</c:v>
                </c:pt>
                <c:pt idx="31">
                  <c:v>26.760465</c:v>
                </c:pt>
                <c:pt idx="32">
                  <c:v>24.866496999999999</c:v>
                </c:pt>
                <c:pt idx="33">
                  <c:v>25.145607999999999</c:v>
                </c:pt>
                <c:pt idx="34">
                  <c:v>22.000890999999999</c:v>
                </c:pt>
                <c:pt idx="35">
                  <c:v>32.085053000000002</c:v>
                </c:pt>
                <c:pt idx="36">
                  <c:v>21.72889</c:v>
                </c:pt>
                <c:pt idx="37">
                  <c:v>24.234062999999999</c:v>
                </c:pt>
                <c:pt idx="38">
                  <c:v>25.109145000000002</c:v>
                </c:pt>
                <c:pt idx="39">
                  <c:v>17.145295000000001</c:v>
                </c:pt>
                <c:pt idx="40">
                  <c:v>46.951421000000003</c:v>
                </c:pt>
                <c:pt idx="41">
                  <c:v>18.570571000000001</c:v>
                </c:pt>
                <c:pt idx="42">
                  <c:v>30.837045</c:v>
                </c:pt>
                <c:pt idx="43">
                  <c:v>34.007281999999996</c:v>
                </c:pt>
                <c:pt idx="44">
                  <c:v>28.722837999999999</c:v>
                </c:pt>
                <c:pt idx="45">
                  <c:v>21.161293000000001</c:v>
                </c:pt>
                <c:pt idx="46">
                  <c:v>23.352453000000001</c:v>
                </c:pt>
                <c:pt idx="47">
                  <c:v>20.990793</c:v>
                </c:pt>
                <c:pt idx="48">
                  <c:v>20.242761999999999</c:v>
                </c:pt>
                <c:pt idx="49">
                  <c:v>19.992087000000001</c:v>
                </c:pt>
                <c:pt idx="50">
                  <c:v>26.563904000000001</c:v>
                </c:pt>
                <c:pt idx="51">
                  <c:v>18.969238000000001</c:v>
                </c:pt>
                <c:pt idx="52">
                  <c:v>21.347057</c:v>
                </c:pt>
                <c:pt idx="53">
                  <c:v>15.227696</c:v>
                </c:pt>
                <c:pt idx="54">
                  <c:v>21.922294000000001</c:v>
                </c:pt>
                <c:pt idx="55">
                  <c:v>17.589863000000001</c:v>
                </c:pt>
                <c:pt idx="56">
                  <c:v>17.229102000000001</c:v>
                </c:pt>
                <c:pt idx="57">
                  <c:v>16.415451000000001</c:v>
                </c:pt>
                <c:pt idx="58">
                  <c:v>18.227698</c:v>
                </c:pt>
                <c:pt idx="59">
                  <c:v>8.3485110000000002</c:v>
                </c:pt>
                <c:pt idx="60">
                  <c:v>0.85440199999999999</c:v>
                </c:pt>
              </c:numCache>
            </c:numRef>
          </c:val>
          <c:extLst>
            <c:ext xmlns:c16="http://schemas.microsoft.com/office/drawing/2014/chart" uri="{C3380CC4-5D6E-409C-BE32-E72D297353CC}">
              <c16:uniqueId val="{00000000-A147-4650-9C7C-E5EF24952B1B}"/>
            </c:ext>
          </c:extLst>
        </c:ser>
        <c:dLbls>
          <c:showLegendKey val="0"/>
          <c:showVal val="0"/>
          <c:showCatName val="0"/>
          <c:showSerName val="0"/>
          <c:showPercent val="0"/>
          <c:showBubbleSize val="0"/>
        </c:dLbls>
        <c:axId val="802147648"/>
        <c:axId val="802140808"/>
      </c:areaChart>
      <c:dateAx>
        <c:axId val="802147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12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40808"/>
        <c:crosses val="autoZero"/>
        <c:auto val="1"/>
        <c:lblOffset val="100"/>
        <c:baseTimeUnit val="days"/>
      </c:dateAx>
      <c:valAx>
        <c:axId val="8021408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47648"/>
        <c:crosses val="autoZero"/>
        <c:crossBetween val="midCat"/>
      </c:valAx>
      <c:spPr>
        <a:noFill/>
        <a:ln w="25400">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Shareholders!$G$17:$G$20</c:f>
              <c:strCache>
                <c:ptCount val="4"/>
                <c:pt idx="0">
                  <c:v>Promoters</c:v>
                </c:pt>
                <c:pt idx="1">
                  <c:v>Public</c:v>
                </c:pt>
                <c:pt idx="2">
                  <c:v>FII</c:v>
                </c:pt>
                <c:pt idx="3">
                  <c:v>DII</c:v>
                </c:pt>
              </c:strCache>
            </c:strRef>
          </c:cat>
          <c:val>
            <c:numRef>
              <c:f>Shareholders!$H$17:$H$20</c:f>
              <c:numCache>
                <c:formatCode>0.00%</c:formatCode>
                <c:ptCount val="4"/>
                <c:pt idx="0" formatCode="0%">
                  <c:v>0.52629999999999999</c:v>
                </c:pt>
                <c:pt idx="1">
                  <c:v>0.19870000000000002</c:v>
                </c:pt>
                <c:pt idx="2">
                  <c:v>0.17480000000000001</c:v>
                </c:pt>
                <c:pt idx="3">
                  <c:v>0.10009999999999999</c:v>
                </c:pt>
              </c:numCache>
            </c:numRef>
          </c:val>
          <c:extLst>
            <c:ext xmlns:c16="http://schemas.microsoft.com/office/drawing/2014/chart" uri="{C3380CC4-5D6E-409C-BE32-E72D297353CC}">
              <c16:uniqueId val="{00000000-133C-4577-9B85-AD5A6AE75891}"/>
            </c:ext>
          </c:extLst>
        </c:ser>
        <c:dLbls>
          <c:dLblPos val="outEnd"/>
          <c:showLegendKey val="0"/>
          <c:showVal val="1"/>
          <c:showCatName val="0"/>
          <c:showSerName val="0"/>
          <c:showPercent val="0"/>
          <c:showBubbleSize val="0"/>
        </c:dLbls>
        <c:gapWidth val="104"/>
        <c:axId val="806612408"/>
        <c:axId val="806609528"/>
      </c:barChart>
      <c:catAx>
        <c:axId val="806612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09528"/>
        <c:crosses val="autoZero"/>
        <c:auto val="1"/>
        <c:lblAlgn val="ctr"/>
        <c:lblOffset val="100"/>
        <c:noMultiLvlLbl val="0"/>
      </c:catAx>
      <c:valAx>
        <c:axId val="8066095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12408"/>
        <c:crosses val="autoZero"/>
        <c:crossBetween val="between"/>
      </c:valAx>
      <c:spPr>
        <a:solidFill>
          <a:schemeClr val="bg1"/>
        </a:solidFill>
        <a:ln>
          <a:solidFill>
            <a:schemeClr val="bg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Shareholders!$G$17:$G$20</c:f>
              <c:strCache>
                <c:ptCount val="4"/>
                <c:pt idx="0">
                  <c:v>Promoters</c:v>
                </c:pt>
                <c:pt idx="1">
                  <c:v>Public</c:v>
                </c:pt>
                <c:pt idx="2">
                  <c:v>FII</c:v>
                </c:pt>
                <c:pt idx="3">
                  <c:v>DII</c:v>
                </c:pt>
              </c:strCache>
            </c:strRef>
          </c:cat>
          <c:val>
            <c:numRef>
              <c:f>Shareholders!$H$17:$H$20</c:f>
              <c:numCache>
                <c:formatCode>0.00%</c:formatCode>
                <c:ptCount val="4"/>
                <c:pt idx="0" formatCode="0%">
                  <c:v>0.52629999999999999</c:v>
                </c:pt>
                <c:pt idx="1">
                  <c:v>0.19870000000000002</c:v>
                </c:pt>
                <c:pt idx="2">
                  <c:v>0.17480000000000001</c:v>
                </c:pt>
                <c:pt idx="3">
                  <c:v>0.10009999999999999</c:v>
                </c:pt>
              </c:numCache>
            </c:numRef>
          </c:val>
          <c:extLst>
            <c:ext xmlns:c16="http://schemas.microsoft.com/office/drawing/2014/chart" uri="{C3380CC4-5D6E-409C-BE32-E72D297353CC}">
              <c16:uniqueId val="{00000000-089B-464A-B2E4-E3A9FA60F73A}"/>
            </c:ext>
          </c:extLst>
        </c:ser>
        <c:dLbls>
          <c:dLblPos val="outEnd"/>
          <c:showLegendKey val="0"/>
          <c:showVal val="1"/>
          <c:showCatName val="0"/>
          <c:showSerName val="0"/>
          <c:showPercent val="0"/>
          <c:showBubbleSize val="0"/>
        </c:dLbls>
        <c:gapWidth val="104"/>
        <c:axId val="806612408"/>
        <c:axId val="806609528"/>
      </c:barChart>
      <c:catAx>
        <c:axId val="806612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09528"/>
        <c:crosses val="autoZero"/>
        <c:auto val="1"/>
        <c:lblAlgn val="ctr"/>
        <c:lblOffset val="100"/>
        <c:noMultiLvlLbl val="0"/>
      </c:catAx>
      <c:valAx>
        <c:axId val="8066095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612408"/>
        <c:crosses val="autoZero"/>
        <c:crossBetween val="between"/>
      </c:valAx>
      <c:spPr>
        <a:solidFill>
          <a:schemeClr val="bg1"/>
        </a:solidFill>
        <a:ln>
          <a:solidFill>
            <a:schemeClr val="bg1"/>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Share Price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'Share Price'!$B$1</c:f>
              <c:strCache>
                <c:ptCount val="1"/>
                <c:pt idx="0">
                  <c:v>Adj Close</c:v>
                </c:pt>
              </c:strCache>
            </c:strRef>
          </c:tx>
          <c:spPr>
            <a:ln w="25400" cap="rnd">
              <a:solidFill>
                <a:srgbClr val="002060"/>
              </a:solidFill>
              <a:round/>
            </a:ln>
            <a:effectLst/>
          </c:spPr>
          <c:marker>
            <c:symbol val="none"/>
          </c:marker>
          <c:cat>
            <c:numRef>
              <c:f>'Share Price'!$A$2:$A$62</c:f>
              <c:numCache>
                <c:formatCode>m/d/yyyy</c:formatCode>
                <c:ptCount val="61"/>
                <c:pt idx="0">
                  <c:v>43405</c:v>
                </c:pt>
                <c:pt idx="1">
                  <c:v>43435</c:v>
                </c:pt>
                <c:pt idx="2">
                  <c:v>43466</c:v>
                </c:pt>
                <c:pt idx="3">
                  <c:v>43497</c:v>
                </c:pt>
                <c:pt idx="4">
                  <c:v>43525</c:v>
                </c:pt>
                <c:pt idx="5">
                  <c:v>43556</c:v>
                </c:pt>
                <c:pt idx="6">
                  <c:v>43586</c:v>
                </c:pt>
                <c:pt idx="7">
                  <c:v>43617</c:v>
                </c:pt>
                <c:pt idx="8">
                  <c:v>43647</c:v>
                </c:pt>
                <c:pt idx="9">
                  <c:v>43678</c:v>
                </c:pt>
                <c:pt idx="10">
                  <c:v>43709</c:v>
                </c:pt>
                <c:pt idx="11">
                  <c:v>43739</c:v>
                </c:pt>
                <c:pt idx="12">
                  <c:v>43770</c:v>
                </c:pt>
                <c:pt idx="13">
                  <c:v>43800</c:v>
                </c:pt>
                <c:pt idx="14">
                  <c:v>43831</c:v>
                </c:pt>
                <c:pt idx="15">
                  <c:v>43862</c:v>
                </c:pt>
                <c:pt idx="16">
                  <c:v>43891</c:v>
                </c:pt>
                <c:pt idx="17">
                  <c:v>43922</c:v>
                </c:pt>
                <c:pt idx="18">
                  <c:v>43952</c:v>
                </c:pt>
                <c:pt idx="19">
                  <c:v>43983</c:v>
                </c:pt>
                <c:pt idx="20">
                  <c:v>44013</c:v>
                </c:pt>
                <c:pt idx="21">
                  <c:v>44044</c:v>
                </c:pt>
                <c:pt idx="22">
                  <c:v>44075</c:v>
                </c:pt>
                <c:pt idx="23">
                  <c:v>44105</c:v>
                </c:pt>
                <c:pt idx="24">
                  <c:v>44136</c:v>
                </c:pt>
                <c:pt idx="25">
                  <c:v>44166</c:v>
                </c:pt>
                <c:pt idx="26">
                  <c:v>44197</c:v>
                </c:pt>
                <c:pt idx="27">
                  <c:v>44228</c:v>
                </c:pt>
                <c:pt idx="28">
                  <c:v>44256</c:v>
                </c:pt>
                <c:pt idx="29">
                  <c:v>44287</c:v>
                </c:pt>
                <c:pt idx="30">
                  <c:v>44317</c:v>
                </c:pt>
                <c:pt idx="31">
                  <c:v>44348</c:v>
                </c:pt>
                <c:pt idx="32">
                  <c:v>44378</c:v>
                </c:pt>
                <c:pt idx="33">
                  <c:v>44409</c:v>
                </c:pt>
                <c:pt idx="34">
                  <c:v>44440</c:v>
                </c:pt>
                <c:pt idx="35">
                  <c:v>44470</c:v>
                </c:pt>
                <c:pt idx="36">
                  <c:v>44501</c:v>
                </c:pt>
                <c:pt idx="37">
                  <c:v>44531</c:v>
                </c:pt>
                <c:pt idx="38">
                  <c:v>44562</c:v>
                </c:pt>
                <c:pt idx="39">
                  <c:v>44593</c:v>
                </c:pt>
                <c:pt idx="40">
                  <c:v>44621</c:v>
                </c:pt>
                <c:pt idx="41">
                  <c:v>44652</c:v>
                </c:pt>
                <c:pt idx="42">
                  <c:v>44682</c:v>
                </c:pt>
                <c:pt idx="43">
                  <c:v>44713</c:v>
                </c:pt>
                <c:pt idx="44">
                  <c:v>44743</c:v>
                </c:pt>
                <c:pt idx="45">
                  <c:v>44774</c:v>
                </c:pt>
                <c:pt idx="46">
                  <c:v>44805</c:v>
                </c:pt>
                <c:pt idx="47">
                  <c:v>44835</c:v>
                </c:pt>
                <c:pt idx="48">
                  <c:v>44866</c:v>
                </c:pt>
                <c:pt idx="49">
                  <c:v>44896</c:v>
                </c:pt>
                <c:pt idx="50">
                  <c:v>44927</c:v>
                </c:pt>
                <c:pt idx="51">
                  <c:v>44958</c:v>
                </c:pt>
                <c:pt idx="52">
                  <c:v>44986</c:v>
                </c:pt>
                <c:pt idx="53">
                  <c:v>45017</c:v>
                </c:pt>
                <c:pt idx="54">
                  <c:v>45047</c:v>
                </c:pt>
                <c:pt idx="55">
                  <c:v>45078</c:v>
                </c:pt>
                <c:pt idx="56">
                  <c:v>45108</c:v>
                </c:pt>
                <c:pt idx="57">
                  <c:v>45139</c:v>
                </c:pt>
                <c:pt idx="58">
                  <c:v>45170</c:v>
                </c:pt>
                <c:pt idx="59">
                  <c:v>45200</c:v>
                </c:pt>
                <c:pt idx="60">
                  <c:v>45212</c:v>
                </c:pt>
              </c:numCache>
            </c:numRef>
          </c:cat>
          <c:val>
            <c:numRef>
              <c:f>'Share Price'!$B$2:$B$62</c:f>
              <c:numCache>
                <c:formatCode>General</c:formatCode>
                <c:ptCount val="61"/>
                <c:pt idx="0">
                  <c:v>1301.486206</c:v>
                </c:pt>
                <c:pt idx="1">
                  <c:v>1327.690918</c:v>
                </c:pt>
                <c:pt idx="2">
                  <c:v>1365.9343260000001</c:v>
                </c:pt>
                <c:pt idx="3">
                  <c:v>1358.778687</c:v>
                </c:pt>
                <c:pt idx="4">
                  <c:v>1443.3883060000001</c:v>
                </c:pt>
                <c:pt idx="5">
                  <c:v>1414.8145750000001</c:v>
                </c:pt>
                <c:pt idx="6">
                  <c:v>1360.8093260000001</c:v>
                </c:pt>
                <c:pt idx="7">
                  <c:v>1313.283203</c:v>
                </c:pt>
                <c:pt idx="8">
                  <c:v>1478.7861330000001</c:v>
                </c:pt>
                <c:pt idx="9">
                  <c:v>1571.240845</c:v>
                </c:pt>
                <c:pt idx="10">
                  <c:v>1713.130615</c:v>
                </c:pt>
                <c:pt idx="11">
                  <c:v>1759.2608640000001</c:v>
                </c:pt>
                <c:pt idx="12">
                  <c:v>1661.7569579999999</c:v>
                </c:pt>
                <c:pt idx="13">
                  <c:v>1738.5069579999999</c:v>
                </c:pt>
                <c:pt idx="14">
                  <c:v>1748.9282229999999</c:v>
                </c:pt>
                <c:pt idx="15">
                  <c:v>1751.1683350000001</c:v>
                </c:pt>
                <c:pt idx="16">
                  <c:v>1623.138794</c:v>
                </c:pt>
                <c:pt idx="17">
                  <c:v>1719.821655</c:v>
                </c:pt>
                <c:pt idx="18">
                  <c:v>1645.892822</c:v>
                </c:pt>
                <c:pt idx="19">
                  <c:v>1650.146606</c:v>
                </c:pt>
                <c:pt idx="20">
                  <c:v>1677.576904</c:v>
                </c:pt>
                <c:pt idx="21">
                  <c:v>1858.762207</c:v>
                </c:pt>
                <c:pt idx="22">
                  <c:v>1944.2078859999999</c:v>
                </c:pt>
                <c:pt idx="23">
                  <c:v>2164.5268550000001</c:v>
                </c:pt>
                <c:pt idx="24">
                  <c:v>2171.5561520000001</c:v>
                </c:pt>
                <c:pt idx="25">
                  <c:v>2709.9113769999999</c:v>
                </c:pt>
                <c:pt idx="26">
                  <c:v>2359.8139649999998</c:v>
                </c:pt>
                <c:pt idx="27">
                  <c:v>2232.233643</c:v>
                </c:pt>
                <c:pt idx="28">
                  <c:v>2487.295654</c:v>
                </c:pt>
                <c:pt idx="29">
                  <c:v>2486.3154300000001</c:v>
                </c:pt>
                <c:pt idx="30">
                  <c:v>2918.7053219999998</c:v>
                </c:pt>
                <c:pt idx="31">
                  <c:v>2933.6049800000001</c:v>
                </c:pt>
                <c:pt idx="32">
                  <c:v>2914.3876949999999</c:v>
                </c:pt>
                <c:pt idx="33">
                  <c:v>3153.6704100000002</c:v>
                </c:pt>
                <c:pt idx="34">
                  <c:v>3196.3251949999999</c:v>
                </c:pt>
                <c:pt idx="35">
                  <c:v>3053.9284670000002</c:v>
                </c:pt>
                <c:pt idx="36">
                  <c:v>3100.486328</c:v>
                </c:pt>
                <c:pt idx="37">
                  <c:v>3336.500732</c:v>
                </c:pt>
                <c:pt idx="38">
                  <c:v>3108.9682619999999</c:v>
                </c:pt>
                <c:pt idx="39">
                  <c:v>3131.0607909999999</c:v>
                </c:pt>
                <c:pt idx="40">
                  <c:v>3037.6611330000001</c:v>
                </c:pt>
                <c:pt idx="41">
                  <c:v>3192.751953</c:v>
                </c:pt>
                <c:pt idx="42">
                  <c:v>2820.3857419999999</c:v>
                </c:pt>
                <c:pt idx="43">
                  <c:v>2658.1938479999999</c:v>
                </c:pt>
                <c:pt idx="44">
                  <c:v>3306.9240719999998</c:v>
                </c:pt>
                <c:pt idx="45">
                  <c:v>3364.3088379999999</c:v>
                </c:pt>
                <c:pt idx="46">
                  <c:v>3315.5539549999999</c:v>
                </c:pt>
                <c:pt idx="47">
                  <c:v>3082.693115</c:v>
                </c:pt>
                <c:pt idx="48">
                  <c:v>3154.1455080000001</c:v>
                </c:pt>
                <c:pt idx="49">
                  <c:v>3067.4726559999999</c:v>
                </c:pt>
                <c:pt idx="50">
                  <c:v>2707.8178710000002</c:v>
                </c:pt>
                <c:pt idx="51">
                  <c:v>2810.0866700000001</c:v>
                </c:pt>
                <c:pt idx="52">
                  <c:v>2743.3808589999999</c:v>
                </c:pt>
                <c:pt idx="53">
                  <c:v>2883.1501459999999</c:v>
                </c:pt>
                <c:pt idx="54">
                  <c:v>3171.8276369999999</c:v>
                </c:pt>
                <c:pt idx="55">
                  <c:v>3339.8090820000002</c:v>
                </c:pt>
                <c:pt idx="56">
                  <c:v>3377.3500979999999</c:v>
                </c:pt>
                <c:pt idx="57">
                  <c:v>3256.1000979999999</c:v>
                </c:pt>
                <c:pt idx="58">
                  <c:v>3161.0500489999999</c:v>
                </c:pt>
                <c:pt idx="59">
                  <c:v>3148.8000489999999</c:v>
                </c:pt>
                <c:pt idx="60">
                  <c:v>3148.8000489999999</c:v>
                </c:pt>
              </c:numCache>
            </c:numRef>
          </c:val>
          <c:smooth val="0"/>
          <c:extLst>
            <c:ext xmlns:c16="http://schemas.microsoft.com/office/drawing/2014/chart" uri="{C3380CC4-5D6E-409C-BE32-E72D297353CC}">
              <c16:uniqueId val="{00000000-C50C-482F-9672-2B2A2500B347}"/>
            </c:ext>
          </c:extLst>
        </c:ser>
        <c:dLbls>
          <c:showLegendKey val="0"/>
          <c:showVal val="0"/>
          <c:showCatName val="0"/>
          <c:showSerName val="0"/>
          <c:showPercent val="0"/>
          <c:showBubbleSize val="0"/>
        </c:dLbls>
        <c:smooth val="0"/>
        <c:axId val="674370384"/>
        <c:axId val="674370744"/>
      </c:lineChart>
      <c:dateAx>
        <c:axId val="674370384"/>
        <c:scaling>
          <c:orientation val="minMax"/>
        </c:scaling>
        <c:delete val="0"/>
        <c:axPos val="b"/>
        <c:numFmt formatCode="yyyy"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70744"/>
        <c:crosses val="autoZero"/>
        <c:auto val="1"/>
        <c:lblOffset val="100"/>
        <c:baseTimeUnit val="days"/>
      </c:dateAx>
      <c:valAx>
        <c:axId val="674370744"/>
        <c:scaling>
          <c:orientation val="minMax"/>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70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'Share Price'!$C$1</c:f>
              <c:strCache>
                <c:ptCount val="1"/>
                <c:pt idx="0">
                  <c:v>Volume</c:v>
                </c:pt>
              </c:strCache>
            </c:strRef>
          </c:tx>
          <c:spPr>
            <a:solidFill>
              <a:schemeClr val="accent1"/>
            </a:solidFill>
            <a:ln>
              <a:solidFill>
                <a:srgbClr val="0070C0"/>
              </a:solidFill>
            </a:ln>
            <a:effectLst/>
          </c:spPr>
          <c:cat>
            <c:numRef>
              <c:f>'Share Price'!$A$2:$A$62</c:f>
              <c:numCache>
                <c:formatCode>m/d/yyyy</c:formatCode>
                <c:ptCount val="61"/>
                <c:pt idx="0">
                  <c:v>43405</c:v>
                </c:pt>
                <c:pt idx="1">
                  <c:v>43435</c:v>
                </c:pt>
                <c:pt idx="2">
                  <c:v>43466</c:v>
                </c:pt>
                <c:pt idx="3">
                  <c:v>43497</c:v>
                </c:pt>
                <c:pt idx="4">
                  <c:v>43525</c:v>
                </c:pt>
                <c:pt idx="5">
                  <c:v>43556</c:v>
                </c:pt>
                <c:pt idx="6">
                  <c:v>43586</c:v>
                </c:pt>
                <c:pt idx="7">
                  <c:v>43617</c:v>
                </c:pt>
                <c:pt idx="8">
                  <c:v>43647</c:v>
                </c:pt>
                <c:pt idx="9">
                  <c:v>43678</c:v>
                </c:pt>
                <c:pt idx="10">
                  <c:v>43709</c:v>
                </c:pt>
                <c:pt idx="11">
                  <c:v>43739</c:v>
                </c:pt>
                <c:pt idx="12">
                  <c:v>43770</c:v>
                </c:pt>
                <c:pt idx="13">
                  <c:v>43800</c:v>
                </c:pt>
                <c:pt idx="14">
                  <c:v>43831</c:v>
                </c:pt>
                <c:pt idx="15">
                  <c:v>43862</c:v>
                </c:pt>
                <c:pt idx="16">
                  <c:v>43891</c:v>
                </c:pt>
                <c:pt idx="17">
                  <c:v>43922</c:v>
                </c:pt>
                <c:pt idx="18">
                  <c:v>43952</c:v>
                </c:pt>
                <c:pt idx="19">
                  <c:v>43983</c:v>
                </c:pt>
                <c:pt idx="20">
                  <c:v>44013</c:v>
                </c:pt>
                <c:pt idx="21">
                  <c:v>44044</c:v>
                </c:pt>
                <c:pt idx="22">
                  <c:v>44075</c:v>
                </c:pt>
                <c:pt idx="23">
                  <c:v>44105</c:v>
                </c:pt>
                <c:pt idx="24">
                  <c:v>44136</c:v>
                </c:pt>
                <c:pt idx="25">
                  <c:v>44166</c:v>
                </c:pt>
                <c:pt idx="26">
                  <c:v>44197</c:v>
                </c:pt>
                <c:pt idx="27">
                  <c:v>44228</c:v>
                </c:pt>
                <c:pt idx="28">
                  <c:v>44256</c:v>
                </c:pt>
                <c:pt idx="29">
                  <c:v>44287</c:v>
                </c:pt>
                <c:pt idx="30">
                  <c:v>44317</c:v>
                </c:pt>
                <c:pt idx="31">
                  <c:v>44348</c:v>
                </c:pt>
                <c:pt idx="32">
                  <c:v>44378</c:v>
                </c:pt>
                <c:pt idx="33">
                  <c:v>44409</c:v>
                </c:pt>
                <c:pt idx="34">
                  <c:v>44440</c:v>
                </c:pt>
                <c:pt idx="35">
                  <c:v>44470</c:v>
                </c:pt>
                <c:pt idx="36">
                  <c:v>44501</c:v>
                </c:pt>
                <c:pt idx="37">
                  <c:v>44531</c:v>
                </c:pt>
                <c:pt idx="38">
                  <c:v>44562</c:v>
                </c:pt>
                <c:pt idx="39">
                  <c:v>44593</c:v>
                </c:pt>
                <c:pt idx="40">
                  <c:v>44621</c:v>
                </c:pt>
                <c:pt idx="41">
                  <c:v>44652</c:v>
                </c:pt>
                <c:pt idx="42">
                  <c:v>44682</c:v>
                </c:pt>
                <c:pt idx="43">
                  <c:v>44713</c:v>
                </c:pt>
                <c:pt idx="44">
                  <c:v>44743</c:v>
                </c:pt>
                <c:pt idx="45">
                  <c:v>44774</c:v>
                </c:pt>
                <c:pt idx="46">
                  <c:v>44805</c:v>
                </c:pt>
                <c:pt idx="47">
                  <c:v>44835</c:v>
                </c:pt>
                <c:pt idx="48">
                  <c:v>44866</c:v>
                </c:pt>
                <c:pt idx="49">
                  <c:v>44896</c:v>
                </c:pt>
                <c:pt idx="50">
                  <c:v>44927</c:v>
                </c:pt>
                <c:pt idx="51">
                  <c:v>44958</c:v>
                </c:pt>
                <c:pt idx="52">
                  <c:v>44986</c:v>
                </c:pt>
                <c:pt idx="53">
                  <c:v>45017</c:v>
                </c:pt>
                <c:pt idx="54">
                  <c:v>45047</c:v>
                </c:pt>
                <c:pt idx="55">
                  <c:v>45078</c:v>
                </c:pt>
                <c:pt idx="56">
                  <c:v>45108</c:v>
                </c:pt>
                <c:pt idx="57">
                  <c:v>45139</c:v>
                </c:pt>
                <c:pt idx="58">
                  <c:v>45170</c:v>
                </c:pt>
                <c:pt idx="59">
                  <c:v>45200</c:v>
                </c:pt>
                <c:pt idx="60">
                  <c:v>45212</c:v>
                </c:pt>
              </c:numCache>
            </c:numRef>
          </c:cat>
          <c:val>
            <c:numRef>
              <c:f>'Share Price'!$C$2:$C$62</c:f>
              <c:numCache>
                <c:formatCode>General</c:formatCode>
                <c:ptCount val="61"/>
                <c:pt idx="0">
                  <c:v>26.469291999999999</c:v>
                </c:pt>
                <c:pt idx="1">
                  <c:v>29.465696999999999</c:v>
                </c:pt>
                <c:pt idx="2">
                  <c:v>34.445877000000003</c:v>
                </c:pt>
                <c:pt idx="3">
                  <c:v>19.647186000000001</c:v>
                </c:pt>
                <c:pt idx="4">
                  <c:v>20.648664</c:v>
                </c:pt>
                <c:pt idx="5">
                  <c:v>24.926407999999999</c:v>
                </c:pt>
                <c:pt idx="6">
                  <c:v>30.965865000000001</c:v>
                </c:pt>
                <c:pt idx="7">
                  <c:v>23.179251000000001</c:v>
                </c:pt>
                <c:pt idx="8">
                  <c:v>37.555638000000002</c:v>
                </c:pt>
                <c:pt idx="9">
                  <c:v>27.898854</c:v>
                </c:pt>
                <c:pt idx="10">
                  <c:v>30.602497</c:v>
                </c:pt>
                <c:pt idx="11">
                  <c:v>27.645762000000001</c:v>
                </c:pt>
                <c:pt idx="12">
                  <c:v>24.410492999999999</c:v>
                </c:pt>
                <c:pt idx="13">
                  <c:v>21.906248999999999</c:v>
                </c:pt>
                <c:pt idx="14">
                  <c:v>28.404112999999999</c:v>
                </c:pt>
                <c:pt idx="15">
                  <c:v>25.485291</c:v>
                </c:pt>
                <c:pt idx="16">
                  <c:v>60.708226000000003</c:v>
                </c:pt>
                <c:pt idx="17">
                  <c:v>41.040413000000001</c:v>
                </c:pt>
                <c:pt idx="18">
                  <c:v>69.941344999999998</c:v>
                </c:pt>
                <c:pt idx="19">
                  <c:v>63.337220000000002</c:v>
                </c:pt>
                <c:pt idx="20">
                  <c:v>49.607443000000004</c:v>
                </c:pt>
                <c:pt idx="21">
                  <c:v>52.300928999999996</c:v>
                </c:pt>
                <c:pt idx="22">
                  <c:v>53.203178999999999</c:v>
                </c:pt>
                <c:pt idx="23">
                  <c:v>54.216411999999998</c:v>
                </c:pt>
                <c:pt idx="24">
                  <c:v>49.408893999999997</c:v>
                </c:pt>
                <c:pt idx="25">
                  <c:v>45.512932999999997</c:v>
                </c:pt>
                <c:pt idx="26">
                  <c:v>53.164585000000002</c:v>
                </c:pt>
                <c:pt idx="27">
                  <c:v>58.487786</c:v>
                </c:pt>
                <c:pt idx="28">
                  <c:v>45.645679000000001</c:v>
                </c:pt>
                <c:pt idx="29">
                  <c:v>28.543175999999999</c:v>
                </c:pt>
                <c:pt idx="30">
                  <c:v>38.807980000000001</c:v>
                </c:pt>
                <c:pt idx="31">
                  <c:v>26.760465</c:v>
                </c:pt>
                <c:pt idx="32">
                  <c:v>24.866496999999999</c:v>
                </c:pt>
                <c:pt idx="33">
                  <c:v>25.145607999999999</c:v>
                </c:pt>
                <c:pt idx="34">
                  <c:v>22.000890999999999</c:v>
                </c:pt>
                <c:pt idx="35">
                  <c:v>32.085053000000002</c:v>
                </c:pt>
                <c:pt idx="36">
                  <c:v>21.72889</c:v>
                </c:pt>
                <c:pt idx="37">
                  <c:v>24.234062999999999</c:v>
                </c:pt>
                <c:pt idx="38">
                  <c:v>25.109145000000002</c:v>
                </c:pt>
                <c:pt idx="39">
                  <c:v>17.145295000000001</c:v>
                </c:pt>
                <c:pt idx="40">
                  <c:v>46.951421000000003</c:v>
                </c:pt>
                <c:pt idx="41">
                  <c:v>18.570571000000001</c:v>
                </c:pt>
                <c:pt idx="42">
                  <c:v>30.837045</c:v>
                </c:pt>
                <c:pt idx="43">
                  <c:v>34.007281999999996</c:v>
                </c:pt>
                <c:pt idx="44">
                  <c:v>28.722837999999999</c:v>
                </c:pt>
                <c:pt idx="45">
                  <c:v>21.161293000000001</c:v>
                </c:pt>
                <c:pt idx="46">
                  <c:v>23.352453000000001</c:v>
                </c:pt>
                <c:pt idx="47">
                  <c:v>20.990793</c:v>
                </c:pt>
                <c:pt idx="48">
                  <c:v>20.242761999999999</c:v>
                </c:pt>
                <c:pt idx="49">
                  <c:v>19.992087000000001</c:v>
                </c:pt>
                <c:pt idx="50">
                  <c:v>26.563904000000001</c:v>
                </c:pt>
                <c:pt idx="51">
                  <c:v>18.969238000000001</c:v>
                </c:pt>
                <c:pt idx="52">
                  <c:v>21.347057</c:v>
                </c:pt>
                <c:pt idx="53">
                  <c:v>15.227696</c:v>
                </c:pt>
                <c:pt idx="54">
                  <c:v>21.922294000000001</c:v>
                </c:pt>
                <c:pt idx="55">
                  <c:v>17.589863000000001</c:v>
                </c:pt>
                <c:pt idx="56">
                  <c:v>17.229102000000001</c:v>
                </c:pt>
                <c:pt idx="57">
                  <c:v>16.415451000000001</c:v>
                </c:pt>
                <c:pt idx="58">
                  <c:v>18.227698</c:v>
                </c:pt>
                <c:pt idx="59">
                  <c:v>8.3485110000000002</c:v>
                </c:pt>
                <c:pt idx="60">
                  <c:v>0.85440199999999999</c:v>
                </c:pt>
              </c:numCache>
            </c:numRef>
          </c:val>
          <c:extLst>
            <c:ext xmlns:c16="http://schemas.microsoft.com/office/drawing/2014/chart" uri="{C3380CC4-5D6E-409C-BE32-E72D297353CC}">
              <c16:uniqueId val="{00000000-2DE7-4A97-AFA9-C1CC6DF648C7}"/>
            </c:ext>
          </c:extLst>
        </c:ser>
        <c:dLbls>
          <c:showLegendKey val="0"/>
          <c:showVal val="0"/>
          <c:showCatName val="0"/>
          <c:showSerName val="0"/>
          <c:showPercent val="0"/>
          <c:showBubbleSize val="0"/>
        </c:dLbls>
        <c:axId val="802147648"/>
        <c:axId val="802140808"/>
      </c:areaChart>
      <c:dateAx>
        <c:axId val="802147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12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40808"/>
        <c:crosses val="autoZero"/>
        <c:auto val="1"/>
        <c:lblOffset val="100"/>
        <c:baseTimeUnit val="days"/>
      </c:dateAx>
      <c:valAx>
        <c:axId val="80214080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147648"/>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3</xdr:row>
      <xdr:rowOff>19050</xdr:rowOff>
    </xdr:from>
    <xdr:to>
      <xdr:col>1</xdr:col>
      <xdr:colOff>1054648</xdr:colOff>
      <xdr:row>3</xdr:row>
      <xdr:rowOff>847725</xdr:rowOff>
    </xdr:to>
    <xdr:pic>
      <xdr:nvPicPr>
        <xdr:cNvPr id="3" name="Picture 2" descr="Asian Paints Logo [EPS-PDF] Vector EPS Free Download, Logo, Icons, Clipart  | Asian paints, Asian paints colours, Asian logo">
          <a:extLst>
            <a:ext uri="{FF2B5EF4-FFF2-40B4-BE49-F238E27FC236}">
              <a16:creationId xmlns:a16="http://schemas.microsoft.com/office/drawing/2014/main" id="{D8B1FEA6-2649-4D3E-BE37-B2C5668F5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466725"/>
          <a:ext cx="959398"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xdr:colOff>
      <xdr:row>7</xdr:row>
      <xdr:rowOff>66453</xdr:rowOff>
    </xdr:from>
    <xdr:to>
      <xdr:col>10</xdr:col>
      <xdr:colOff>808519</xdr:colOff>
      <xdr:row>17</xdr:row>
      <xdr:rowOff>11075</xdr:rowOff>
    </xdr:to>
    <xdr:graphicFrame macro="">
      <xdr:nvGraphicFramePr>
        <xdr:cNvPr id="4" name="Chart 3">
          <a:extLst>
            <a:ext uri="{FF2B5EF4-FFF2-40B4-BE49-F238E27FC236}">
              <a16:creationId xmlns:a16="http://schemas.microsoft.com/office/drawing/2014/main" id="{9C614B56-B8C5-40D0-B401-1419CF90C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22150</xdr:colOff>
      <xdr:row>20</xdr:row>
      <xdr:rowOff>11074</xdr:rowOff>
    </xdr:from>
    <xdr:to>
      <xdr:col>11</xdr:col>
      <xdr:colOff>11075</xdr:colOff>
      <xdr:row>26</xdr:row>
      <xdr:rowOff>121831</xdr:rowOff>
    </xdr:to>
    <xdr:graphicFrame macro="">
      <xdr:nvGraphicFramePr>
        <xdr:cNvPr id="5" name="Chart 4">
          <a:extLst>
            <a:ext uri="{FF2B5EF4-FFF2-40B4-BE49-F238E27FC236}">
              <a16:creationId xmlns:a16="http://schemas.microsoft.com/office/drawing/2014/main" id="{D4E0C174-A207-432E-BB53-981C421B8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121831</xdr:colOff>
      <xdr:row>30</xdr:row>
      <xdr:rowOff>66453</xdr:rowOff>
    </xdr:from>
    <xdr:to>
      <xdr:col>11</xdr:col>
      <xdr:colOff>22152</xdr:colOff>
      <xdr:row>39</xdr:row>
      <xdr:rowOff>11076</xdr:rowOff>
    </xdr:to>
    <xdr:graphicFrame macro="">
      <xdr:nvGraphicFramePr>
        <xdr:cNvPr id="8" name="Chart 7">
          <a:extLst>
            <a:ext uri="{FF2B5EF4-FFF2-40B4-BE49-F238E27FC236}">
              <a16:creationId xmlns:a16="http://schemas.microsoft.com/office/drawing/2014/main" id="{6960A246-C1CB-4AB0-B79A-268D48354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100012</xdr:colOff>
      <xdr:row>14</xdr:row>
      <xdr:rowOff>19050</xdr:rowOff>
    </xdr:from>
    <xdr:to>
      <xdr:col>5</xdr:col>
      <xdr:colOff>476250</xdr:colOff>
      <xdr:row>24</xdr:row>
      <xdr:rowOff>61912</xdr:rowOff>
    </xdr:to>
    <xdr:graphicFrame macro="">
      <xdr:nvGraphicFramePr>
        <xdr:cNvPr id="3" name="Chart 2">
          <a:extLst>
            <a:ext uri="{FF2B5EF4-FFF2-40B4-BE49-F238E27FC236}">
              <a16:creationId xmlns:a16="http://schemas.microsoft.com/office/drawing/2014/main" id="{21FEB653-C1B0-5195-B5F3-AD6C037D6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142875</xdr:colOff>
      <xdr:row>0</xdr:row>
      <xdr:rowOff>147638</xdr:rowOff>
    </xdr:from>
    <xdr:to>
      <xdr:col>15</xdr:col>
      <xdr:colOff>276224</xdr:colOff>
      <xdr:row>10</xdr:row>
      <xdr:rowOff>38100</xdr:rowOff>
    </xdr:to>
    <xdr:graphicFrame macro="">
      <xdr:nvGraphicFramePr>
        <xdr:cNvPr id="2" name="Chart 1">
          <a:extLst>
            <a:ext uri="{FF2B5EF4-FFF2-40B4-BE49-F238E27FC236}">
              <a16:creationId xmlns:a16="http://schemas.microsoft.com/office/drawing/2014/main" id="{74E2018B-BD1A-5E4E-2F43-CB2579214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109537</xdr:colOff>
      <xdr:row>1</xdr:row>
      <xdr:rowOff>138112</xdr:rowOff>
    </xdr:from>
    <xdr:to>
      <xdr:col>11</xdr:col>
      <xdr:colOff>414337</xdr:colOff>
      <xdr:row>16</xdr:row>
      <xdr:rowOff>23812</xdr:rowOff>
    </xdr:to>
    <xdr:graphicFrame macro="">
      <xdr:nvGraphicFramePr>
        <xdr:cNvPr id="5" name="Chart 4">
          <a:extLst>
            <a:ext uri="{FF2B5EF4-FFF2-40B4-BE49-F238E27FC236}">
              <a16:creationId xmlns:a16="http://schemas.microsoft.com/office/drawing/2014/main" id="{D5BB3C33-F0EA-E0A4-BC6F-D62AF78A0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N22" headerRowCount="0" totalsRowShown="0" headerRowDxfId="30">
  <tableColumns count="14">
    <tableColumn id="1" xr3:uid="{00000000-0010-0000-0000-000001000000}" name="Column1" headerRowDxfId="29" dataDxfId="28"/>
    <tableColumn id="2" xr3:uid="{00000000-0010-0000-0000-000002000000}" name="Column2" headerRowDxfId="27"/>
    <tableColumn id="3" xr3:uid="{00000000-0010-0000-0000-000003000000}" name="Column3" headerRowDxfId="26"/>
    <tableColumn id="4" xr3:uid="{00000000-0010-0000-0000-000004000000}" name="Column4" headerRowDxfId="25"/>
    <tableColumn id="5" xr3:uid="{00000000-0010-0000-0000-000005000000}" name="Column5" headerRowDxfId="24"/>
    <tableColumn id="6" xr3:uid="{00000000-0010-0000-0000-000006000000}" name="Column6" headerRowDxfId="23"/>
    <tableColumn id="7" xr3:uid="{00000000-0010-0000-0000-000007000000}" name="Column7" headerRowDxfId="22"/>
    <tableColumn id="8" xr3:uid="{00000000-0010-0000-0000-000008000000}" name="Column8" headerRowDxfId="21"/>
    <tableColumn id="9" xr3:uid="{00000000-0010-0000-0000-000009000000}" name="Column9" headerRowDxfId="20"/>
    <tableColumn id="10" xr3:uid="{00000000-0010-0000-0000-00000A000000}" name="Column10" headerRowDxfId="19"/>
    <tableColumn id="11" xr3:uid="{00000000-0010-0000-0000-00000B000000}" name="Column11" headerRowDxfId="18"/>
    <tableColumn id="12" xr3:uid="{00000000-0010-0000-0000-00000C000000}" name="Column12" headerRowDxfId="17"/>
    <tableColumn id="13" xr3:uid="{00000000-0010-0000-0000-00000D000000}" name="Column13" headerRowDxfId="16" dataDxfId="15"/>
    <tableColumn id="14" xr3:uid="{00000000-0010-0000-0000-00000E000000}" name="Column14" headerRowDxfId="14" dataDxfId="1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4" headerRowCount="0" totalsRowShown="0" headerRowDxfId="12">
  <tableColumns count="11">
    <tableColumn id="1" xr3:uid="{00000000-0010-0000-0100-000001000000}" name="Column1" headerRowDxfId="11"/>
    <tableColumn id="2" xr3:uid="{00000000-0010-0000-0100-000002000000}" name="Column2" headerRowDxfId="10"/>
    <tableColumn id="3" xr3:uid="{00000000-0010-0000-0100-000003000000}" name="Column3" headerRowDxfId="9"/>
    <tableColumn id="4" xr3:uid="{00000000-0010-0000-0100-000004000000}" name="Column4" headerRowDxfId="8"/>
    <tableColumn id="5" xr3:uid="{00000000-0010-0000-0100-000005000000}" name="Column5" headerRowDxfId="7"/>
    <tableColumn id="6" xr3:uid="{00000000-0010-0000-0100-000006000000}" name="Column6" headerRowDxfId="6"/>
    <tableColumn id="7" xr3:uid="{00000000-0010-0000-0100-000007000000}" name="Column7" headerRowDxfId="5"/>
    <tableColumn id="8" xr3:uid="{00000000-0010-0000-0100-000008000000}" name="Column8" headerRowDxfId="4"/>
    <tableColumn id="9" xr3:uid="{00000000-0010-0000-0100-000009000000}" name="Column9" headerRowDxfId="3"/>
    <tableColumn id="10" xr3:uid="{00000000-0010-0000-0100-00000A000000}" name="Column10" headerRowDxfId="2"/>
    <tableColumn id="11" xr3:uid="{00000000-0010-0000-0100-00000B000000}" name="Column11" headerRow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creener.in/exce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nbctv18.com/market/asian-paints-share-price-falls-as-co-founder-ashwin-dani-passes-away-17904331.ht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www.screener.in/"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www.screener.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creener.i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reener.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40A3D-1C88-4244-BA97-05B505412D41}">
  <dimension ref="B3:C3"/>
  <sheetViews>
    <sheetView showGridLines="0" topLeftCell="A15" workbookViewId="0">
      <selection activeCell="B15" sqref="B15"/>
    </sheetView>
  </sheetViews>
  <sheetFormatPr defaultRowHeight="15"/>
  <cols>
    <col min="1" max="1" width="1.85546875" customWidth="1"/>
    <col min="2" max="2" width="13" customWidth="1"/>
    <col min="3" max="3" width="83.5703125" customWidth="1"/>
  </cols>
  <sheetData>
    <row r="3" spans="2:3" ht="68.25" customHeight="1">
      <c r="B3" t="s">
        <v>93</v>
      </c>
      <c r="C3" s="25" t="s">
        <v>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1DB9-1477-4A36-AA22-38FDDB206C4A}">
  <sheetPr>
    <tabColor rgb="FFFF0000"/>
  </sheetPr>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3"/>
  <sheetViews>
    <sheetView zoomScale="84" zoomScaleNormal="84" zoomScalePageLayoutView="120" workbookViewId="0">
      <pane xSplit="1" ySplit="1" topLeftCell="B55" activePane="bottomRight" state="frozen"/>
      <selection activeCell="C4" sqref="C4"/>
      <selection pane="topRight" activeCell="C4" sqref="C4"/>
      <selection pane="bottomLeft" activeCell="C4" sqref="C4"/>
      <selection pane="bottomRight" activeCell="B6" sqref="B6"/>
    </sheetView>
  </sheetViews>
  <sheetFormatPr defaultColWidth="8.85546875" defaultRowHeight="15"/>
  <cols>
    <col min="1" max="1" width="27.7109375" style="4" bestFit="1" customWidth="1"/>
    <col min="2" max="11" width="13.42578125" style="4" bestFit="1" customWidth="1"/>
    <col min="12" max="16384" width="8.85546875" style="4"/>
  </cols>
  <sheetData>
    <row r="1" spans="1:11" s="1" customFormat="1">
      <c r="A1" s="1" t="s">
        <v>0</v>
      </c>
      <c r="B1" s="1" t="s">
        <v>63</v>
      </c>
      <c r="E1" s="84" t="str">
        <f>IF(B2&lt;&gt;B3, "A NEW VERSION OF THE WORKSHEET IS AVAILABLE", "")</f>
        <v/>
      </c>
      <c r="F1" s="84"/>
      <c r="G1" s="84"/>
      <c r="H1" s="84"/>
      <c r="I1" s="84"/>
      <c r="J1" s="84"/>
      <c r="K1" s="84"/>
    </row>
    <row r="2" spans="1:11">
      <c r="A2" s="1" t="s">
        <v>61</v>
      </c>
      <c r="B2" s="4">
        <v>2.1</v>
      </c>
      <c r="E2" s="85" t="s">
        <v>36</v>
      </c>
      <c r="F2" s="85"/>
      <c r="G2" s="85"/>
      <c r="H2" s="85"/>
      <c r="I2" s="85"/>
      <c r="J2" s="85"/>
      <c r="K2" s="85"/>
    </row>
    <row r="3" spans="1:11">
      <c r="A3" s="1" t="s">
        <v>62</v>
      </c>
      <c r="B3" s="4">
        <v>2.1</v>
      </c>
    </row>
    <row r="4" spans="1:11">
      <c r="A4" s="1"/>
    </row>
    <row r="5" spans="1:11">
      <c r="A5" s="1" t="s">
        <v>64</v>
      </c>
    </row>
    <row r="6" spans="1:11">
      <c r="A6" s="4" t="s">
        <v>42</v>
      </c>
      <c r="B6" s="4">
        <f>IF(B9&gt;0, B9/B8, 0)</f>
        <v>95.919778963414629</v>
      </c>
    </row>
    <row r="7" spans="1:11">
      <c r="A7" s="4" t="s">
        <v>31</v>
      </c>
      <c r="B7">
        <v>1</v>
      </c>
    </row>
    <row r="8" spans="1:11">
      <c r="A8" s="4" t="s">
        <v>43</v>
      </c>
      <c r="B8">
        <v>3148.8</v>
      </c>
    </row>
    <row r="9" spans="1:11">
      <c r="A9" s="4" t="s">
        <v>79</v>
      </c>
      <c r="B9">
        <v>302032.2</v>
      </c>
    </row>
    <row r="15" spans="1:11">
      <c r="A15" s="1" t="s">
        <v>37</v>
      </c>
    </row>
    <row r="16" spans="1:11" s="18" customFormat="1">
      <c r="A16" s="17" t="s">
        <v>38</v>
      </c>
      <c r="B16" s="12">
        <v>41729</v>
      </c>
      <c r="C16" s="12">
        <v>42094</v>
      </c>
      <c r="D16" s="12">
        <v>42460</v>
      </c>
      <c r="E16" s="12">
        <v>42825</v>
      </c>
      <c r="F16" s="12">
        <v>43190</v>
      </c>
      <c r="G16" s="12">
        <v>43555</v>
      </c>
      <c r="H16" s="12">
        <v>43921</v>
      </c>
      <c r="I16" s="12">
        <v>44286</v>
      </c>
      <c r="J16" s="12">
        <v>44651</v>
      </c>
      <c r="K16" s="12">
        <v>45016</v>
      </c>
    </row>
    <row r="17" spans="1:11" s="6" customFormat="1">
      <c r="A17" s="6" t="s">
        <v>6</v>
      </c>
      <c r="B17">
        <v>12220.37</v>
      </c>
      <c r="C17">
        <v>13615.26</v>
      </c>
      <c r="D17">
        <v>14271.49</v>
      </c>
      <c r="E17">
        <v>15061.99</v>
      </c>
      <c r="F17">
        <v>16824.55</v>
      </c>
      <c r="G17">
        <v>19240.13</v>
      </c>
      <c r="H17">
        <v>20211.25</v>
      </c>
      <c r="I17">
        <v>21712.79</v>
      </c>
      <c r="J17">
        <v>29101.279999999999</v>
      </c>
      <c r="K17">
        <v>34488.589999999997</v>
      </c>
    </row>
    <row r="18" spans="1:11" s="6" customFormat="1">
      <c r="A18" s="4" t="s">
        <v>80</v>
      </c>
      <c r="B18">
        <v>6339.75</v>
      </c>
      <c r="C18">
        <v>6874.83</v>
      </c>
      <c r="D18">
        <v>6569.83</v>
      </c>
      <c r="E18">
        <v>7452.6</v>
      </c>
      <c r="F18">
        <v>8128.17</v>
      </c>
      <c r="G18">
        <v>9974.4</v>
      </c>
      <c r="H18">
        <v>9981.99</v>
      </c>
      <c r="I18">
        <v>10425.549999999999</v>
      </c>
      <c r="J18">
        <v>17123.25</v>
      </c>
      <c r="K18">
        <v>18985.53</v>
      </c>
    </row>
    <row r="19" spans="1:11" s="6" customFormat="1">
      <c r="A19" s="4" t="s">
        <v>81</v>
      </c>
      <c r="B19">
        <v>90.28</v>
      </c>
      <c r="C19">
        <v>148.07</v>
      </c>
      <c r="D19">
        <v>-199.33</v>
      </c>
      <c r="E19">
        <v>528.6</v>
      </c>
      <c r="F19">
        <v>-142.13</v>
      </c>
      <c r="G19">
        <v>293.26</v>
      </c>
      <c r="H19">
        <v>239.15</v>
      </c>
      <c r="I19">
        <v>92.45</v>
      </c>
      <c r="J19">
        <v>1324.97</v>
      </c>
      <c r="K19">
        <v>309.73</v>
      </c>
    </row>
    <row r="20" spans="1:11" s="6" customFormat="1">
      <c r="A20" s="4" t="s">
        <v>82</v>
      </c>
      <c r="B20">
        <v>133.74</v>
      </c>
      <c r="C20">
        <v>130.68</v>
      </c>
      <c r="D20">
        <v>114.48</v>
      </c>
      <c r="E20">
        <v>106.02</v>
      </c>
      <c r="F20">
        <v>110.3</v>
      </c>
      <c r="G20">
        <v>119.63</v>
      </c>
      <c r="H20">
        <v>97.79</v>
      </c>
      <c r="I20">
        <v>86.05</v>
      </c>
      <c r="J20">
        <v>117.23</v>
      </c>
      <c r="K20">
        <v>138.29</v>
      </c>
    </row>
    <row r="21" spans="1:11" s="6" customFormat="1">
      <c r="A21" s="4" t="s">
        <v>83</v>
      </c>
      <c r="B21">
        <v>1292.18</v>
      </c>
      <c r="C21">
        <v>1504.47</v>
      </c>
      <c r="D21">
        <v>1535.22</v>
      </c>
      <c r="E21">
        <v>1662.75</v>
      </c>
      <c r="F21">
        <v>1691.68</v>
      </c>
      <c r="G21">
        <v>1862.35</v>
      </c>
      <c r="H21">
        <v>1946.12</v>
      </c>
      <c r="I21">
        <v>2068.31</v>
      </c>
      <c r="J21">
        <v>2880.45</v>
      </c>
      <c r="K21">
        <v>2916.2</v>
      </c>
    </row>
    <row r="22" spans="1:11" s="6" customFormat="1">
      <c r="A22" s="4" t="s">
        <v>84</v>
      </c>
      <c r="B22">
        <v>763.59</v>
      </c>
      <c r="C22">
        <v>936.86</v>
      </c>
      <c r="D22">
        <v>994.98</v>
      </c>
      <c r="E22">
        <v>1039.8900000000001</v>
      </c>
      <c r="F22">
        <v>1121.8900000000001</v>
      </c>
      <c r="G22">
        <v>1242.69</v>
      </c>
      <c r="H22">
        <v>1371.27</v>
      </c>
      <c r="I22">
        <v>1547.61</v>
      </c>
      <c r="J22">
        <v>1794.61</v>
      </c>
      <c r="K22">
        <v>2036.41</v>
      </c>
    </row>
    <row r="23" spans="1:11" s="6" customFormat="1">
      <c r="A23" s="4" t="s">
        <v>85</v>
      </c>
      <c r="B23">
        <v>2826.43</v>
      </c>
      <c r="C23">
        <v>3351.66</v>
      </c>
      <c r="D23">
        <v>3912.3</v>
      </c>
      <c r="E23">
        <v>4364.04</v>
      </c>
      <c r="F23">
        <v>2254.92</v>
      </c>
      <c r="G23">
        <v>2366.87</v>
      </c>
      <c r="H23">
        <v>2311.5100000000002</v>
      </c>
      <c r="I23">
        <v>2245.69</v>
      </c>
      <c r="J23">
        <v>2941.98</v>
      </c>
      <c r="K23">
        <v>3500.84</v>
      </c>
    </row>
    <row r="24" spans="1:11" s="6" customFormat="1">
      <c r="A24" s="4" t="s">
        <v>86</v>
      </c>
      <c r="B24">
        <v>-1048.7</v>
      </c>
      <c r="C24">
        <v>-1278.06</v>
      </c>
      <c r="D24">
        <v>-1779.69</v>
      </c>
      <c r="E24">
        <v>-2028.47</v>
      </c>
      <c r="F24">
        <v>171.45</v>
      </c>
      <c r="G24">
        <v>202.51</v>
      </c>
      <c r="H24">
        <v>584.9</v>
      </c>
      <c r="I24">
        <v>576.42999999999995</v>
      </c>
      <c r="J24">
        <v>765.12</v>
      </c>
      <c r="K24">
        <v>961.21</v>
      </c>
    </row>
    <row r="25" spans="1:11" s="6" customFormat="1">
      <c r="A25" s="6" t="s">
        <v>9</v>
      </c>
      <c r="B25">
        <v>124.26</v>
      </c>
      <c r="C25">
        <v>142.13999999999999</v>
      </c>
      <c r="D25">
        <v>213.39</v>
      </c>
      <c r="E25">
        <v>337.9</v>
      </c>
      <c r="F25">
        <v>336.41</v>
      </c>
      <c r="G25">
        <v>273.77</v>
      </c>
      <c r="H25">
        <v>355.05</v>
      </c>
      <c r="I25">
        <v>331.65</v>
      </c>
      <c r="J25">
        <v>295.88</v>
      </c>
      <c r="K25">
        <v>431.46</v>
      </c>
    </row>
    <row r="26" spans="1:11" s="6" customFormat="1">
      <c r="A26" s="6" t="s">
        <v>10</v>
      </c>
      <c r="B26">
        <v>245.66</v>
      </c>
      <c r="C26">
        <v>265.92</v>
      </c>
      <c r="D26">
        <v>275.58</v>
      </c>
      <c r="E26">
        <v>334.79</v>
      </c>
      <c r="F26">
        <v>360.47</v>
      </c>
      <c r="G26">
        <v>622.14</v>
      </c>
      <c r="H26">
        <v>780.5</v>
      </c>
      <c r="I26">
        <v>791.27</v>
      </c>
      <c r="J26">
        <v>816.36</v>
      </c>
      <c r="K26">
        <v>858.02</v>
      </c>
    </row>
    <row r="27" spans="1:11" s="6" customFormat="1">
      <c r="A27" s="6" t="s">
        <v>11</v>
      </c>
      <c r="B27">
        <v>47.99</v>
      </c>
      <c r="C27">
        <v>42.24</v>
      </c>
      <c r="D27">
        <v>49</v>
      </c>
      <c r="E27">
        <v>37.33</v>
      </c>
      <c r="F27">
        <v>41.47</v>
      </c>
      <c r="G27">
        <v>110.47</v>
      </c>
      <c r="H27">
        <v>102.33</v>
      </c>
      <c r="I27">
        <v>91.63</v>
      </c>
      <c r="J27">
        <v>95.41</v>
      </c>
      <c r="K27">
        <v>144.44999999999999</v>
      </c>
    </row>
    <row r="28" spans="1:11" s="6" customFormat="1">
      <c r="A28" s="6" t="s">
        <v>12</v>
      </c>
      <c r="B28">
        <v>1834.27</v>
      </c>
      <c r="C28">
        <v>2076.87</v>
      </c>
      <c r="D28">
        <v>2613.85</v>
      </c>
      <c r="E28">
        <v>2959.54</v>
      </c>
      <c r="F28">
        <v>3138.48</v>
      </c>
      <c r="G28">
        <v>3306.1</v>
      </c>
      <c r="H28">
        <v>3629.04</v>
      </c>
      <c r="I28">
        <v>4304.3500000000004</v>
      </c>
      <c r="J28">
        <v>4187.72</v>
      </c>
      <c r="K28">
        <v>5688.83</v>
      </c>
    </row>
    <row r="29" spans="1:11" s="6" customFormat="1">
      <c r="A29" s="6" t="s">
        <v>13</v>
      </c>
      <c r="B29">
        <v>571.51</v>
      </c>
      <c r="C29">
        <v>649.54</v>
      </c>
      <c r="D29">
        <v>844.49</v>
      </c>
      <c r="E29">
        <v>943.29</v>
      </c>
      <c r="F29">
        <v>1040.96</v>
      </c>
      <c r="G29">
        <v>1098.06</v>
      </c>
      <c r="H29">
        <v>854.85</v>
      </c>
      <c r="I29">
        <v>1097.5999999999999</v>
      </c>
      <c r="J29">
        <v>1102.9100000000001</v>
      </c>
      <c r="K29">
        <v>1493.5</v>
      </c>
    </row>
    <row r="30" spans="1:11" s="6" customFormat="1">
      <c r="A30" s="6" t="s">
        <v>14</v>
      </c>
      <c r="B30">
        <v>1218.81</v>
      </c>
      <c r="C30">
        <v>1395.15</v>
      </c>
      <c r="D30">
        <v>1745.16</v>
      </c>
      <c r="E30">
        <v>1939.43</v>
      </c>
      <c r="F30">
        <v>2038.93</v>
      </c>
      <c r="G30">
        <v>2155.92</v>
      </c>
      <c r="H30">
        <v>2705.17</v>
      </c>
      <c r="I30">
        <v>3139.29</v>
      </c>
      <c r="J30">
        <v>3030.57</v>
      </c>
      <c r="K30">
        <v>4106.45</v>
      </c>
    </row>
    <row r="31" spans="1:11" s="6" customFormat="1">
      <c r="A31" s="6" t="s">
        <v>70</v>
      </c>
      <c r="B31">
        <v>508.38</v>
      </c>
      <c r="C31">
        <v>585.11</v>
      </c>
      <c r="D31">
        <v>719.4</v>
      </c>
      <c r="E31">
        <v>987.98</v>
      </c>
      <c r="F31">
        <v>834.5</v>
      </c>
      <c r="G31">
        <v>1007.16</v>
      </c>
      <c r="H31">
        <v>1151.04</v>
      </c>
      <c r="I31">
        <v>1712.17</v>
      </c>
      <c r="J31">
        <v>1836.87</v>
      </c>
      <c r="K31">
        <v>2460.35</v>
      </c>
    </row>
    <row r="32" spans="1:11" s="6" customFormat="1"/>
    <row r="33" spans="1:11">
      <c r="A33" s="6"/>
    </row>
    <row r="34" spans="1:11">
      <c r="A34" s="6" t="s">
        <v>99</v>
      </c>
      <c r="B34" s="4">
        <f>B17-B18-B19-B20-B21</f>
        <v>4364.420000000001</v>
      </c>
      <c r="C34" s="4">
        <f t="shared" ref="C34:K34" si="0">C17-C18-C19-C20-C21</f>
        <v>4957.21</v>
      </c>
      <c r="D34" s="4">
        <f t="shared" si="0"/>
        <v>6251.29</v>
      </c>
      <c r="E34" s="4">
        <f t="shared" si="0"/>
        <v>5312.0199999999986</v>
      </c>
      <c r="F34" s="4">
        <f t="shared" si="0"/>
        <v>7036.5299999999988</v>
      </c>
      <c r="G34" s="4">
        <f t="shared" si="0"/>
        <v>6990.4900000000016</v>
      </c>
      <c r="H34" s="4">
        <f t="shared" si="0"/>
        <v>7946.2</v>
      </c>
      <c r="I34" s="4">
        <f t="shared" si="0"/>
        <v>9040.4300000000021</v>
      </c>
      <c r="J34" s="4">
        <f t="shared" si="0"/>
        <v>7655.38</v>
      </c>
      <c r="K34" s="4">
        <f t="shared" si="0"/>
        <v>12138.839999999997</v>
      </c>
    </row>
    <row r="35" spans="1:11">
      <c r="A35" s="6" t="s">
        <v>100</v>
      </c>
      <c r="B35" s="34">
        <f>B34/B17</f>
        <v>0.35714303249410623</v>
      </c>
      <c r="C35" s="34">
        <f t="shared" ref="C35:K35" si="1">C34/C17</f>
        <v>0.36409220242580753</v>
      </c>
      <c r="D35" s="34">
        <f t="shared" si="1"/>
        <v>0.43802644292922466</v>
      </c>
      <c r="E35" s="34">
        <f t="shared" si="1"/>
        <v>0.35267716948424471</v>
      </c>
      <c r="F35" s="34">
        <f t="shared" si="1"/>
        <v>0.418229908080751</v>
      </c>
      <c r="G35" s="34">
        <f t="shared" si="1"/>
        <v>0.36332862615793143</v>
      </c>
      <c r="H35" s="34">
        <f t="shared" si="1"/>
        <v>0.39315727626940439</v>
      </c>
      <c r="I35" s="34">
        <f t="shared" si="1"/>
        <v>0.41636427193373132</v>
      </c>
      <c r="J35" s="34">
        <f t="shared" si="1"/>
        <v>0.26305990664328166</v>
      </c>
      <c r="K35" s="34">
        <f t="shared" si="1"/>
        <v>0.35196683888787561</v>
      </c>
    </row>
    <row r="36" spans="1:11">
      <c r="A36" s="6"/>
    </row>
    <row r="37" spans="1:11">
      <c r="A37" s="6"/>
    </row>
    <row r="38" spans="1:11">
      <c r="A38" s="6"/>
    </row>
    <row r="39" spans="1:11">
      <c r="A39" s="6"/>
    </row>
    <row r="40" spans="1:11">
      <c r="A40" s="1" t="s">
        <v>39</v>
      </c>
    </row>
    <row r="41" spans="1:11" s="18" customFormat="1">
      <c r="A41" s="17" t="s">
        <v>38</v>
      </c>
      <c r="B41" s="12">
        <v>44286</v>
      </c>
      <c r="C41" s="12">
        <v>44377</v>
      </c>
      <c r="D41" s="12">
        <v>44469</v>
      </c>
      <c r="E41" s="12">
        <v>44561</v>
      </c>
      <c r="F41" s="12">
        <v>44651</v>
      </c>
      <c r="G41" s="12">
        <v>44742</v>
      </c>
      <c r="H41" s="12">
        <v>44834</v>
      </c>
      <c r="I41" s="12">
        <v>44926</v>
      </c>
      <c r="J41" s="12">
        <v>45016</v>
      </c>
      <c r="K41" s="12">
        <v>45107</v>
      </c>
    </row>
    <row r="42" spans="1:11" s="6" customFormat="1">
      <c r="A42" s="6" t="s">
        <v>6</v>
      </c>
      <c r="B42">
        <v>6651.43</v>
      </c>
      <c r="C42">
        <v>5585.36</v>
      </c>
      <c r="D42">
        <v>7096.01</v>
      </c>
      <c r="E42">
        <v>8527.24</v>
      </c>
      <c r="F42">
        <v>7892.67</v>
      </c>
      <c r="G42">
        <v>8606.94</v>
      </c>
      <c r="H42">
        <v>8457.57</v>
      </c>
      <c r="I42">
        <v>8636.74</v>
      </c>
      <c r="J42">
        <v>8787.34</v>
      </c>
      <c r="K42">
        <v>9182.31</v>
      </c>
    </row>
    <row r="43" spans="1:11" s="6" customFormat="1">
      <c r="A43" s="6" t="s">
        <v>7</v>
      </c>
      <c r="B43">
        <v>5333.17</v>
      </c>
      <c r="C43">
        <v>4674.32</v>
      </c>
      <c r="D43">
        <v>6191.56</v>
      </c>
      <c r="E43">
        <v>6984.93</v>
      </c>
      <c r="F43">
        <v>6449.38</v>
      </c>
      <c r="G43">
        <v>7050.99</v>
      </c>
      <c r="H43">
        <v>7229.87</v>
      </c>
      <c r="I43">
        <v>7025.31</v>
      </c>
      <c r="J43">
        <v>6922.58</v>
      </c>
      <c r="K43">
        <v>7061.02</v>
      </c>
    </row>
    <row r="44" spans="1:11" s="6" customFormat="1">
      <c r="A44" s="6" t="s">
        <v>9</v>
      </c>
      <c r="B44">
        <v>81.260000000000005</v>
      </c>
      <c r="C44">
        <v>89.61</v>
      </c>
      <c r="D44">
        <v>148.4</v>
      </c>
      <c r="E44">
        <v>86.77</v>
      </c>
      <c r="F44">
        <v>-26.38</v>
      </c>
      <c r="G44">
        <v>87.52</v>
      </c>
      <c r="H44">
        <v>117.56</v>
      </c>
      <c r="I44">
        <v>122.21</v>
      </c>
      <c r="J44">
        <v>104.17</v>
      </c>
      <c r="K44">
        <v>227.74</v>
      </c>
    </row>
    <row r="45" spans="1:11" s="6" customFormat="1">
      <c r="A45" s="6" t="s">
        <v>10</v>
      </c>
      <c r="B45">
        <v>213.35</v>
      </c>
      <c r="C45">
        <v>200.59</v>
      </c>
      <c r="D45">
        <v>202.75</v>
      </c>
      <c r="E45">
        <v>207.91</v>
      </c>
      <c r="F45">
        <v>205.11</v>
      </c>
      <c r="G45">
        <v>208.1</v>
      </c>
      <c r="H45">
        <v>215.7</v>
      </c>
      <c r="I45">
        <v>214.05</v>
      </c>
      <c r="J45">
        <v>220.17</v>
      </c>
      <c r="K45">
        <v>198.32</v>
      </c>
    </row>
    <row r="46" spans="1:11" s="6" customFormat="1">
      <c r="A46" s="6" t="s">
        <v>11</v>
      </c>
      <c r="B46">
        <v>29.86</v>
      </c>
      <c r="C46">
        <v>21.48</v>
      </c>
      <c r="D46">
        <v>23.86</v>
      </c>
      <c r="E46">
        <v>27.45</v>
      </c>
      <c r="F46">
        <v>22.62</v>
      </c>
      <c r="G46">
        <v>28.75</v>
      </c>
      <c r="H46">
        <v>35.4</v>
      </c>
      <c r="I46">
        <v>41.39</v>
      </c>
      <c r="J46">
        <v>38.909999999999997</v>
      </c>
      <c r="K46">
        <v>45.75</v>
      </c>
    </row>
    <row r="47" spans="1:11" s="6" customFormat="1">
      <c r="A47" s="6" t="s">
        <v>12</v>
      </c>
      <c r="B47">
        <v>1156.31</v>
      </c>
      <c r="C47">
        <v>778.58</v>
      </c>
      <c r="D47">
        <v>826.24</v>
      </c>
      <c r="E47">
        <v>1393.72</v>
      </c>
      <c r="F47">
        <v>1189.18</v>
      </c>
      <c r="G47">
        <v>1406.62</v>
      </c>
      <c r="H47">
        <v>1094.1600000000001</v>
      </c>
      <c r="I47">
        <v>1478.2</v>
      </c>
      <c r="J47">
        <v>1709.85</v>
      </c>
      <c r="K47">
        <v>2104.96</v>
      </c>
    </row>
    <row r="48" spans="1:11" s="6" customFormat="1">
      <c r="A48" s="6" t="s">
        <v>13</v>
      </c>
      <c r="B48">
        <v>286.42</v>
      </c>
      <c r="C48">
        <v>204.28</v>
      </c>
      <c r="D48">
        <v>221.07</v>
      </c>
      <c r="E48">
        <v>362.43</v>
      </c>
      <c r="F48">
        <v>315.13</v>
      </c>
      <c r="G48">
        <v>370.59</v>
      </c>
      <c r="H48">
        <v>290.33</v>
      </c>
      <c r="I48">
        <v>381.14</v>
      </c>
      <c r="J48">
        <v>451.44</v>
      </c>
      <c r="K48">
        <v>530.12</v>
      </c>
    </row>
    <row r="49" spans="1:11" s="6" customFormat="1">
      <c r="A49" s="6" t="s">
        <v>14</v>
      </c>
      <c r="B49">
        <v>852.13</v>
      </c>
      <c r="C49">
        <v>568.5</v>
      </c>
      <c r="D49">
        <v>595.96</v>
      </c>
      <c r="E49">
        <v>1015.69</v>
      </c>
      <c r="F49">
        <v>850.42</v>
      </c>
      <c r="G49">
        <v>1016.93</v>
      </c>
      <c r="H49">
        <v>782.71</v>
      </c>
      <c r="I49">
        <v>1072.67</v>
      </c>
      <c r="J49">
        <v>1234.1400000000001</v>
      </c>
      <c r="K49">
        <v>1550.37</v>
      </c>
    </row>
    <row r="50" spans="1:11">
      <c r="A50" s="6" t="s">
        <v>8</v>
      </c>
      <c r="B50">
        <v>1318.26</v>
      </c>
      <c r="C50">
        <v>911.04</v>
      </c>
      <c r="D50">
        <v>904.45</v>
      </c>
      <c r="E50">
        <v>1542.31</v>
      </c>
      <c r="F50">
        <v>1443.29</v>
      </c>
      <c r="G50">
        <v>1555.95</v>
      </c>
      <c r="H50">
        <v>1227.7</v>
      </c>
      <c r="I50">
        <v>1611.43</v>
      </c>
      <c r="J50">
        <v>1864.76</v>
      </c>
      <c r="K50">
        <v>2121.29</v>
      </c>
    </row>
    <row r="51" spans="1:11">
      <c r="A51" s="6"/>
    </row>
    <row r="52" spans="1:11">
      <c r="A52" s="6"/>
    </row>
    <row r="53" spans="1:11">
      <c r="A53" s="6"/>
    </row>
    <row r="54" spans="1:11">
      <c r="A54" s="6"/>
    </row>
    <row r="55" spans="1:11">
      <c r="A55" s="1" t="s">
        <v>40</v>
      </c>
    </row>
    <row r="56" spans="1:11" s="18" customFormat="1">
      <c r="A56" s="17" t="s">
        <v>38</v>
      </c>
      <c r="B56" s="12">
        <v>41729</v>
      </c>
      <c r="C56" s="12">
        <v>42094</v>
      </c>
      <c r="D56" s="12">
        <v>42460</v>
      </c>
      <c r="E56" s="12">
        <v>42825</v>
      </c>
      <c r="F56" s="12">
        <v>43190</v>
      </c>
      <c r="G56" s="12">
        <v>43555</v>
      </c>
      <c r="H56" s="12">
        <v>43921</v>
      </c>
      <c r="I56" s="12">
        <v>44286</v>
      </c>
      <c r="J56" s="12">
        <v>44651</v>
      </c>
      <c r="K56" s="12">
        <v>45016</v>
      </c>
    </row>
    <row r="57" spans="1:11">
      <c r="A57" s="6" t="s">
        <v>24</v>
      </c>
      <c r="B57">
        <v>95.92</v>
      </c>
      <c r="C57">
        <v>95.92</v>
      </c>
      <c r="D57">
        <v>95.92</v>
      </c>
      <c r="E57">
        <v>95.92</v>
      </c>
      <c r="F57">
        <v>95.92</v>
      </c>
      <c r="G57">
        <v>95.92</v>
      </c>
      <c r="H57">
        <v>95.92</v>
      </c>
      <c r="I57">
        <v>95.92</v>
      </c>
      <c r="J57">
        <v>95.92</v>
      </c>
      <c r="K57">
        <v>95.92</v>
      </c>
    </row>
    <row r="58" spans="1:11">
      <c r="A58" s="6" t="s">
        <v>25</v>
      </c>
      <c r="B58">
        <v>3943.3</v>
      </c>
      <c r="C58">
        <v>4646.4399999999996</v>
      </c>
      <c r="D58">
        <v>6428.9</v>
      </c>
      <c r="E58">
        <v>7507.97</v>
      </c>
      <c r="F58">
        <v>8314.31</v>
      </c>
      <c r="G58">
        <v>9374.6299999999992</v>
      </c>
      <c r="H58">
        <v>10034.24</v>
      </c>
      <c r="I58">
        <v>12710.37</v>
      </c>
      <c r="J58">
        <v>13715.64</v>
      </c>
      <c r="K58">
        <v>15896.31</v>
      </c>
    </row>
    <row r="59" spans="1:11">
      <c r="A59" s="6" t="s">
        <v>71</v>
      </c>
      <c r="B59">
        <v>249.15</v>
      </c>
      <c r="C59">
        <v>418.17</v>
      </c>
      <c r="D59">
        <v>323.29000000000002</v>
      </c>
      <c r="E59">
        <v>560.34</v>
      </c>
      <c r="F59">
        <v>533.42999999999995</v>
      </c>
      <c r="G59">
        <v>1319.6</v>
      </c>
      <c r="H59">
        <v>1118.5</v>
      </c>
      <c r="I59">
        <v>1093.1199999999999</v>
      </c>
      <c r="J59">
        <v>1586.88</v>
      </c>
      <c r="K59">
        <v>1932.62</v>
      </c>
    </row>
    <row r="60" spans="1:11">
      <c r="A60" s="6" t="s">
        <v>72</v>
      </c>
      <c r="B60">
        <v>3787.03</v>
      </c>
      <c r="C60">
        <v>3753.97</v>
      </c>
      <c r="D60">
        <v>3710.92</v>
      </c>
      <c r="E60">
        <v>4240.96</v>
      </c>
      <c r="F60">
        <v>4819.82</v>
      </c>
      <c r="G60">
        <v>5458.69</v>
      </c>
      <c r="H60">
        <v>4889.3100000000004</v>
      </c>
      <c r="I60">
        <v>6455.93</v>
      </c>
      <c r="J60">
        <v>7559.99</v>
      </c>
      <c r="K60">
        <v>7854.48</v>
      </c>
    </row>
    <row r="61" spans="1:11" s="1" customFormat="1">
      <c r="A61" s="1" t="s">
        <v>26</v>
      </c>
      <c r="B61">
        <v>8075.4</v>
      </c>
      <c r="C61">
        <v>8914.5</v>
      </c>
      <c r="D61">
        <v>10559.03</v>
      </c>
      <c r="E61">
        <v>12405.19</v>
      </c>
      <c r="F61">
        <v>13763.48</v>
      </c>
      <c r="G61">
        <v>16248.84</v>
      </c>
      <c r="H61">
        <v>16137.97</v>
      </c>
      <c r="I61">
        <v>20355.34</v>
      </c>
      <c r="J61">
        <v>22958.43</v>
      </c>
      <c r="K61">
        <v>25779.33</v>
      </c>
    </row>
    <row r="62" spans="1:11">
      <c r="A62" s="6" t="s">
        <v>27</v>
      </c>
      <c r="B62">
        <v>2561.58</v>
      </c>
      <c r="C62">
        <v>2660.04</v>
      </c>
      <c r="D62">
        <v>3416.35</v>
      </c>
      <c r="E62">
        <v>3303.74</v>
      </c>
      <c r="F62">
        <v>3732.24</v>
      </c>
      <c r="G62">
        <v>6496.56</v>
      </c>
      <c r="H62">
        <v>6272.31</v>
      </c>
      <c r="I62">
        <v>5858.52</v>
      </c>
      <c r="J62">
        <v>5519.06</v>
      </c>
      <c r="K62">
        <v>5770.46</v>
      </c>
    </row>
    <row r="63" spans="1:11">
      <c r="A63" s="6" t="s">
        <v>28</v>
      </c>
      <c r="B63">
        <v>71.599999999999994</v>
      </c>
      <c r="C63">
        <v>196</v>
      </c>
      <c r="D63">
        <v>106.59</v>
      </c>
      <c r="E63">
        <v>257.54000000000002</v>
      </c>
      <c r="F63">
        <v>1405.11</v>
      </c>
      <c r="G63">
        <v>209.67</v>
      </c>
      <c r="H63">
        <v>140.24</v>
      </c>
      <c r="I63">
        <v>182.98</v>
      </c>
      <c r="J63">
        <v>426.43</v>
      </c>
      <c r="K63">
        <v>1019.59</v>
      </c>
    </row>
    <row r="64" spans="1:11">
      <c r="A64" s="6" t="s">
        <v>29</v>
      </c>
      <c r="B64">
        <v>1423.55</v>
      </c>
      <c r="C64">
        <v>1587.79</v>
      </c>
      <c r="D64">
        <v>2712.13</v>
      </c>
      <c r="E64">
        <v>2651.99</v>
      </c>
      <c r="F64">
        <v>2140.6999999999998</v>
      </c>
      <c r="G64">
        <v>2568.58</v>
      </c>
      <c r="H64">
        <v>2018.85</v>
      </c>
      <c r="I64">
        <v>4736.8</v>
      </c>
      <c r="J64">
        <v>3247.53</v>
      </c>
      <c r="K64">
        <v>4261.71</v>
      </c>
    </row>
    <row r="65" spans="1:11">
      <c r="A65" s="6" t="s">
        <v>73</v>
      </c>
      <c r="B65">
        <v>4018.67</v>
      </c>
      <c r="C65">
        <v>4470.67</v>
      </c>
      <c r="D65">
        <v>4323.96</v>
      </c>
      <c r="E65">
        <v>6191.92</v>
      </c>
      <c r="F65">
        <v>6485.43</v>
      </c>
      <c r="G65">
        <v>6974.03</v>
      </c>
      <c r="H65">
        <v>7706.57</v>
      </c>
      <c r="I65">
        <v>9577.0400000000009</v>
      </c>
      <c r="J65">
        <v>13765.41</v>
      </c>
      <c r="K65">
        <v>14727.57</v>
      </c>
    </row>
    <row r="66" spans="1:11" s="1" customFormat="1">
      <c r="A66" s="1" t="s">
        <v>26</v>
      </c>
      <c r="B66">
        <v>8075.4</v>
      </c>
      <c r="C66">
        <v>8914.5</v>
      </c>
      <c r="D66">
        <v>10559.03</v>
      </c>
      <c r="E66">
        <v>12405.19</v>
      </c>
      <c r="F66">
        <v>13763.48</v>
      </c>
      <c r="G66">
        <v>16248.84</v>
      </c>
      <c r="H66">
        <v>16137.97</v>
      </c>
      <c r="I66">
        <v>20355.34</v>
      </c>
      <c r="J66">
        <v>22958.43</v>
      </c>
      <c r="K66">
        <v>25779.33</v>
      </c>
    </row>
    <row r="67" spans="1:11" s="6" customFormat="1">
      <c r="A67" s="6" t="s">
        <v>78</v>
      </c>
      <c r="B67">
        <v>1110.3</v>
      </c>
      <c r="C67">
        <v>1182.07</v>
      </c>
      <c r="D67">
        <v>1186.8399999999999</v>
      </c>
      <c r="E67">
        <v>1446.6</v>
      </c>
      <c r="F67">
        <v>1730.63</v>
      </c>
      <c r="G67">
        <v>1907.33</v>
      </c>
      <c r="H67">
        <v>1795.22</v>
      </c>
      <c r="I67">
        <v>2602.17</v>
      </c>
      <c r="J67">
        <v>3871.44</v>
      </c>
      <c r="K67">
        <v>4636.9399999999996</v>
      </c>
    </row>
    <row r="68" spans="1:11">
      <c r="A68" s="6" t="s">
        <v>45</v>
      </c>
      <c r="B68">
        <v>2069.86</v>
      </c>
      <c r="C68">
        <v>2258.52</v>
      </c>
      <c r="D68">
        <v>1998.24</v>
      </c>
      <c r="E68">
        <v>2626.94</v>
      </c>
      <c r="F68">
        <v>2658.31</v>
      </c>
      <c r="G68">
        <v>3149.86</v>
      </c>
      <c r="H68">
        <v>3389.81</v>
      </c>
      <c r="I68">
        <v>3798.6</v>
      </c>
      <c r="J68">
        <v>6152.98</v>
      </c>
      <c r="K68">
        <v>6210.64</v>
      </c>
    </row>
    <row r="69" spans="1:11">
      <c r="A69" s="4" t="s">
        <v>87</v>
      </c>
      <c r="B69">
        <v>229</v>
      </c>
      <c r="C69">
        <v>204.39</v>
      </c>
      <c r="D69">
        <v>424.2</v>
      </c>
      <c r="E69">
        <v>801.21</v>
      </c>
      <c r="F69">
        <v>404.65</v>
      </c>
      <c r="G69">
        <v>444.88</v>
      </c>
      <c r="H69">
        <v>782.83</v>
      </c>
      <c r="I69">
        <v>610.75</v>
      </c>
      <c r="J69">
        <v>864.33</v>
      </c>
      <c r="K69">
        <v>843.82</v>
      </c>
    </row>
    <row r="70" spans="1:11">
      <c r="A70" s="4" t="s">
        <v>74</v>
      </c>
      <c r="B70">
        <v>959197800</v>
      </c>
      <c r="C70">
        <v>959197790</v>
      </c>
      <c r="D70">
        <v>959197790</v>
      </c>
      <c r="E70">
        <v>959197790</v>
      </c>
      <c r="F70">
        <v>959197790</v>
      </c>
      <c r="G70">
        <v>959197790</v>
      </c>
      <c r="H70">
        <v>959197790</v>
      </c>
      <c r="I70">
        <v>959197790</v>
      </c>
      <c r="J70">
        <v>959197790</v>
      </c>
      <c r="K70">
        <v>959197790</v>
      </c>
    </row>
    <row r="71" spans="1:11">
      <c r="A71" s="4" t="s">
        <v>75</v>
      </c>
    </row>
    <row r="72" spans="1:11">
      <c r="A72" s="4" t="s">
        <v>88</v>
      </c>
      <c r="B72">
        <v>1</v>
      </c>
      <c r="C72">
        <v>1</v>
      </c>
      <c r="D72">
        <v>1</v>
      </c>
      <c r="E72">
        <v>1</v>
      </c>
      <c r="F72">
        <v>1</v>
      </c>
      <c r="G72">
        <v>1</v>
      </c>
      <c r="H72">
        <v>1</v>
      </c>
      <c r="I72">
        <v>1</v>
      </c>
      <c r="J72">
        <v>1</v>
      </c>
      <c r="K72">
        <v>1</v>
      </c>
    </row>
    <row r="74" spans="1:11">
      <c r="A74" s="6"/>
    </row>
    <row r="75" spans="1:11">
      <c r="A75" s="6"/>
    </row>
    <row r="76" spans="1:11">
      <c r="A76" s="6"/>
    </row>
    <row r="77" spans="1:11">
      <c r="A77" s="6"/>
    </row>
    <row r="78" spans="1:11">
      <c r="A78" s="6"/>
    </row>
    <row r="79" spans="1:11">
      <c r="A79" s="6"/>
    </row>
    <row r="80" spans="1:11">
      <c r="A80" s="1" t="s">
        <v>41</v>
      </c>
    </row>
    <row r="81" spans="1:11" s="18" customFormat="1">
      <c r="A81" s="17" t="s">
        <v>38</v>
      </c>
      <c r="B81" s="12">
        <v>41729</v>
      </c>
      <c r="C81" s="12">
        <v>42094</v>
      </c>
      <c r="D81" s="12">
        <v>42460</v>
      </c>
      <c r="E81" s="12">
        <v>42825</v>
      </c>
      <c r="F81" s="12">
        <v>43190</v>
      </c>
      <c r="G81" s="12">
        <v>43555</v>
      </c>
      <c r="H81" s="12">
        <v>43921</v>
      </c>
      <c r="I81" s="12">
        <v>44286</v>
      </c>
      <c r="J81" s="12">
        <v>44651</v>
      </c>
      <c r="K81" s="12">
        <v>45016</v>
      </c>
    </row>
    <row r="82" spans="1:11" s="1" customFormat="1">
      <c r="A82" s="6" t="s">
        <v>32</v>
      </c>
      <c r="B82">
        <v>1402.03</v>
      </c>
      <c r="C82">
        <v>1187.69</v>
      </c>
      <c r="D82">
        <v>2242.9499999999998</v>
      </c>
      <c r="E82">
        <v>1527.33</v>
      </c>
      <c r="F82">
        <v>2113.44</v>
      </c>
      <c r="G82">
        <v>2469.54</v>
      </c>
      <c r="H82">
        <v>3038.15</v>
      </c>
      <c r="I82">
        <v>3683.35</v>
      </c>
      <c r="J82">
        <v>986.49</v>
      </c>
      <c r="K82">
        <v>4193.43</v>
      </c>
    </row>
    <row r="83" spans="1:11" s="6" customFormat="1">
      <c r="A83" s="6" t="s">
        <v>33</v>
      </c>
      <c r="B83">
        <v>-585.99</v>
      </c>
      <c r="C83">
        <v>-464.99</v>
      </c>
      <c r="D83">
        <v>-866.21</v>
      </c>
      <c r="E83">
        <v>-681.11</v>
      </c>
      <c r="F83">
        <v>-1556.14</v>
      </c>
      <c r="G83">
        <v>-917.79</v>
      </c>
      <c r="H83">
        <v>-517.91</v>
      </c>
      <c r="I83">
        <v>-540.54</v>
      </c>
      <c r="J83">
        <v>-316.75</v>
      </c>
      <c r="K83">
        <v>-1282.3399999999999</v>
      </c>
    </row>
    <row r="84" spans="1:11" s="6" customFormat="1">
      <c r="A84" s="6" t="s">
        <v>34</v>
      </c>
      <c r="B84">
        <v>-625.91</v>
      </c>
      <c r="C84">
        <v>-576.09</v>
      </c>
      <c r="D84">
        <v>-848.98</v>
      </c>
      <c r="E84">
        <v>-756.43</v>
      </c>
      <c r="F84">
        <v>-1379.14</v>
      </c>
      <c r="G84">
        <v>-1117.46</v>
      </c>
      <c r="H84">
        <v>-2871.46</v>
      </c>
      <c r="I84">
        <v>-650.4</v>
      </c>
      <c r="J84">
        <v>-1807.61</v>
      </c>
      <c r="K84">
        <v>-2140.0500000000002</v>
      </c>
    </row>
    <row r="85" spans="1:11" s="1" customFormat="1">
      <c r="A85" s="6" t="s">
        <v>35</v>
      </c>
      <c r="B85">
        <v>190.13</v>
      </c>
      <c r="C85">
        <v>146.61000000000001</v>
      </c>
      <c r="D85">
        <v>527.76</v>
      </c>
      <c r="E85">
        <v>89.79</v>
      </c>
      <c r="F85">
        <v>-821.84</v>
      </c>
      <c r="G85">
        <v>434.29</v>
      </c>
      <c r="H85">
        <v>-351.22</v>
      </c>
      <c r="I85">
        <v>2492.41</v>
      </c>
      <c r="J85">
        <v>-1137.8699999999999</v>
      </c>
      <c r="K85">
        <v>771.04</v>
      </c>
    </row>
    <row r="86" spans="1:11">
      <c r="A86" s="6"/>
    </row>
    <row r="87" spans="1:11">
      <c r="A87" s="6"/>
    </row>
    <row r="88" spans="1:11">
      <c r="A88" s="6"/>
    </row>
    <row r="89" spans="1:11">
      <c r="A89" s="6"/>
    </row>
    <row r="90" spans="1:11" s="1" customFormat="1">
      <c r="A90" s="1" t="s">
        <v>77</v>
      </c>
      <c r="B90">
        <v>547.95000000000005</v>
      </c>
      <c r="C90">
        <v>811.3</v>
      </c>
      <c r="D90">
        <v>868.4</v>
      </c>
      <c r="E90">
        <v>1073.5</v>
      </c>
      <c r="F90">
        <v>1120.4000000000001</v>
      </c>
      <c r="G90">
        <v>1492.7</v>
      </c>
      <c r="H90">
        <v>1666.5</v>
      </c>
      <c r="I90">
        <v>2537.4</v>
      </c>
      <c r="J90">
        <v>3079.95</v>
      </c>
      <c r="K90">
        <v>2761.65</v>
      </c>
    </row>
    <row r="92" spans="1:11" s="1" customFormat="1">
      <c r="A92" s="1" t="s">
        <v>76</v>
      </c>
    </row>
    <row r="93" spans="1:11">
      <c r="A93" s="4" t="s">
        <v>89</v>
      </c>
      <c r="B93" s="24">
        <v>95.92</v>
      </c>
      <c r="C93" s="24">
        <v>95.92</v>
      </c>
      <c r="D93" s="24">
        <v>95.92</v>
      </c>
      <c r="E93" s="24">
        <v>95.92</v>
      </c>
      <c r="F93" s="24">
        <v>95.92</v>
      </c>
      <c r="G93" s="24">
        <v>95.92</v>
      </c>
      <c r="H93" s="24">
        <v>95.92</v>
      </c>
      <c r="I93" s="24">
        <v>95.92</v>
      </c>
      <c r="J93" s="24">
        <v>95.92</v>
      </c>
      <c r="K93" s="24">
        <v>95.92</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B50D5-0FC2-4B60-81C8-823F6ECEDB42}">
  <dimension ref="B1:K63"/>
  <sheetViews>
    <sheetView showGridLines="0" tabSelected="1" zoomScale="86" zoomScaleNormal="86" workbookViewId="0">
      <selection activeCell="M14" sqref="M14"/>
    </sheetView>
  </sheetViews>
  <sheetFormatPr defaultRowHeight="15"/>
  <cols>
    <col min="1" max="1" width="1.85546875" customWidth="1"/>
    <col min="2" max="2" width="47.5703125" customWidth="1"/>
    <col min="3" max="3" width="13.140625" bestFit="1" customWidth="1"/>
    <col min="4" max="4" width="10.42578125" customWidth="1"/>
    <col min="5" max="5" width="12.7109375" customWidth="1"/>
    <col min="6" max="6" width="10.42578125" customWidth="1"/>
    <col min="7" max="7" width="10.42578125" bestFit="1" customWidth="1"/>
    <col min="8" max="8" width="2.7109375" customWidth="1"/>
    <col min="9" max="9" width="12" customWidth="1"/>
    <col min="10" max="10" width="13.28515625" customWidth="1"/>
    <col min="11" max="11" width="13.42578125" customWidth="1"/>
  </cols>
  <sheetData>
    <row r="1" spans="2:11">
      <c r="B1" s="73"/>
    </row>
    <row r="2" spans="2:11">
      <c r="B2" s="78" t="str">
        <f>'Data Sheet'!B1&amp;" - One Page Profile"</f>
        <v>ASIAN PAINTS LTD - One Page Profile</v>
      </c>
      <c r="C2" s="79"/>
      <c r="D2" s="79"/>
      <c r="E2" s="79"/>
      <c r="F2" s="79"/>
      <c r="G2" s="79"/>
      <c r="H2" s="79"/>
      <c r="I2" s="79"/>
      <c r="J2" s="79"/>
      <c r="K2" s="79"/>
    </row>
    <row r="3" spans="2:11" ht="5.25" customHeight="1">
      <c r="B3" s="26"/>
      <c r="C3" s="27"/>
      <c r="D3" s="27"/>
      <c r="E3" s="27"/>
      <c r="F3" s="27"/>
      <c r="G3" s="27"/>
      <c r="H3" s="27"/>
      <c r="I3" s="27"/>
      <c r="J3" s="27"/>
      <c r="K3" s="27"/>
    </row>
    <row r="4" spans="2:11" ht="72" customHeight="1">
      <c r="B4" s="28"/>
      <c r="C4" s="80" t="str">
        <f>Inputs!C3</f>
        <v>Asian Paints Ltd is an Indian multinational paint company, headquartered in Mumbai, Maharashtra, India. The company is engaged in the business of manufacturing, selling and distribution of paints, coatings, products related to home décor, bath fittings and providing related services.</v>
      </c>
      <c r="D4" s="80"/>
      <c r="E4" s="80"/>
      <c r="F4" s="80"/>
      <c r="G4" s="80"/>
      <c r="H4" s="80"/>
      <c r="I4" s="80"/>
      <c r="J4" s="80"/>
      <c r="K4" s="80"/>
    </row>
    <row r="5" spans="2:11">
      <c r="B5" s="30" t="s">
        <v>97</v>
      </c>
    </row>
    <row r="6" spans="2:11">
      <c r="B6" s="32" t="s">
        <v>95</v>
      </c>
      <c r="C6" s="33">
        <f>'Data Sheet'!G16</f>
        <v>43555</v>
      </c>
      <c r="D6" s="33">
        <f>'Data Sheet'!H16</f>
        <v>43921</v>
      </c>
      <c r="E6" s="33">
        <f>'Data Sheet'!I16</f>
        <v>44286</v>
      </c>
      <c r="F6" s="33">
        <f>'Data Sheet'!J16</f>
        <v>44651</v>
      </c>
      <c r="G6" s="33">
        <f>'Data Sheet'!K16</f>
        <v>45016</v>
      </c>
      <c r="H6" s="2"/>
      <c r="I6" s="81" t="s">
        <v>114</v>
      </c>
      <c r="J6" s="81"/>
      <c r="K6" s="81"/>
    </row>
    <row r="8" spans="2:11">
      <c r="B8" s="53" t="s">
        <v>96</v>
      </c>
      <c r="C8" s="54">
        <f>'Profit &amp; Loss'!G4</f>
        <v>19240.13</v>
      </c>
      <c r="D8" s="54">
        <f>'Profit &amp; Loss'!H4</f>
        <v>20211.25</v>
      </c>
      <c r="E8" s="54">
        <f>'Profit &amp; Loss'!I4</f>
        <v>21712.79</v>
      </c>
      <c r="F8" s="54">
        <f>'Profit &amp; Loss'!J4</f>
        <v>29101.279999999999</v>
      </c>
      <c r="G8" s="54">
        <f>'Profit &amp; Loss'!K4</f>
        <v>34488.589999999997</v>
      </c>
    </row>
    <row r="9" spans="2:11">
      <c r="B9" s="55" t="s">
        <v>98</v>
      </c>
      <c r="C9" s="56">
        <f>'Profit &amp; Loss'!G4/'Profit &amp; Loss'!F4-1</f>
        <v>0.14357471670861943</v>
      </c>
      <c r="D9" s="56">
        <f>'Profit &amp; Loss'!H4/'Profit &amp; Loss'!G4-1</f>
        <v>5.0473671435691925E-2</v>
      </c>
      <c r="E9" s="56">
        <f>'Profit &amp; Loss'!I4/'Profit &amp; Loss'!H4-1</f>
        <v>7.4292287711052118E-2</v>
      </c>
      <c r="F9" s="56">
        <f>'Profit &amp; Loss'!J4/'Profit &amp; Loss'!I4-1</f>
        <v>0.34028284711453471</v>
      </c>
      <c r="G9" s="56">
        <f>'Profit &amp; Loss'!K4/'Profit &amp; Loss'!J4-1</f>
        <v>0.18512278497715551</v>
      </c>
    </row>
    <row r="10" spans="2:11">
      <c r="B10" s="53" t="s">
        <v>101</v>
      </c>
      <c r="C10" s="57">
        <f>'Data Sheet'!G35</f>
        <v>0.36332862615793143</v>
      </c>
      <c r="D10" s="57">
        <f>'Data Sheet'!H35</f>
        <v>0.39315727626940439</v>
      </c>
      <c r="E10" s="57">
        <f>'Data Sheet'!I35</f>
        <v>0.41636427193373132</v>
      </c>
      <c r="F10" s="57">
        <f>'Data Sheet'!J35</f>
        <v>0.26305990664328166</v>
      </c>
      <c r="G10" s="57">
        <f>'Data Sheet'!K35</f>
        <v>0.35196683888787561</v>
      </c>
    </row>
    <row r="11" spans="2:11">
      <c r="B11" s="53" t="s">
        <v>102</v>
      </c>
      <c r="C11" s="57">
        <f>'Profit &amp; Loss'!G6/'Profit &amp; Loss'!G4</f>
        <v>0.19568163000977656</v>
      </c>
      <c r="D11" s="57">
        <f>'Profit &amp; Loss'!H6/'Profit &amp; Loss'!H4</f>
        <v>0.20566862514688591</v>
      </c>
      <c r="E11" s="57">
        <f>'Profit &amp; Loss'!I6/'Profit &amp; Loss'!I4</f>
        <v>0.22362856178317028</v>
      </c>
      <c r="F11" s="57">
        <f>'Profit &amp; Loss'!J6/'Profit &amp; Loss'!J4</f>
        <v>0.16506524798909192</v>
      </c>
      <c r="G11" s="57">
        <f>'Profit &amp; Loss'!K6/'Profit &amp; Loss'!K4</f>
        <v>0.18150466574597562</v>
      </c>
    </row>
    <row r="12" spans="2:11">
      <c r="B12" s="53" t="s">
        <v>103</v>
      </c>
      <c r="C12" s="57">
        <f>('Profit &amp; Loss'!G6-'Profit &amp; Loss'!G8)/'Profit &amp; Loss'!G4</f>
        <v>0.1633460896573985</v>
      </c>
      <c r="D12" s="57">
        <f>('Profit &amp; Loss'!H6-'Profit &amp; Loss'!H8)/'Profit &amp; Loss'!H4</f>
        <v>0.16705151833755943</v>
      </c>
      <c r="E12" s="57">
        <f>('Profit &amp; Loss'!I6-'Profit &amp; Loss'!I8)/'Profit &amp; Loss'!I4</f>
        <v>0.18718598577152001</v>
      </c>
      <c r="F12" s="57">
        <f>('Profit &amp; Loss'!J6-'Profit &amp; Loss'!J8)/'Profit &amp; Loss'!J4</f>
        <v>0.13701287366054005</v>
      </c>
      <c r="G12" s="57">
        <f>('Profit &amp; Loss'!K6-'Profit &amp; Loss'!K8)/'Profit &amp; Loss'!K4</f>
        <v>0.15662629292760291</v>
      </c>
    </row>
    <row r="13" spans="2:11">
      <c r="B13" s="53" t="s">
        <v>104</v>
      </c>
      <c r="C13" s="57">
        <f>'Profit &amp; Loss'!G12/'Profit &amp; Loss'!G4</f>
        <v>0.11205329693718286</v>
      </c>
      <c r="D13" s="57">
        <f>'Profit &amp; Loss'!H12/'Profit &amp; Loss'!H4</f>
        <v>0.13384476467313997</v>
      </c>
      <c r="E13" s="57">
        <f>'Profit &amp; Loss'!I12/'Profit &amp; Loss'!I4</f>
        <v>0.14458252486207437</v>
      </c>
      <c r="F13" s="57">
        <f>'Profit &amp; Loss'!J12/'Profit &amp; Loss'!J4</f>
        <v>0.10413871829692715</v>
      </c>
      <c r="G13" s="57">
        <f>'Profit &amp; Loss'!K12/'Profit &amp; Loss'!K4</f>
        <v>0.11906691459407301</v>
      </c>
    </row>
    <row r="14" spans="2:11">
      <c r="B14" s="53" t="s">
        <v>105</v>
      </c>
      <c r="C14" s="58">
        <f>'Profit &amp; Loss'!G13</f>
        <v>22.476230191826524</v>
      </c>
      <c r="D14" s="58">
        <f>'Profit &amp; Loss'!H13</f>
        <v>28.202356130108424</v>
      </c>
      <c r="E14" s="58">
        <f>'Profit &amp; Loss'!I13</f>
        <v>32.728211009174309</v>
      </c>
      <c r="F14" s="58">
        <f>'Profit &amp; Loss'!J13</f>
        <v>31.594766472060051</v>
      </c>
      <c r="G14" s="58">
        <f>'Profit &amp; Loss'!K13</f>
        <v>42.811196830692239</v>
      </c>
    </row>
    <row r="15" spans="2:11">
      <c r="B15" s="55" t="s">
        <v>106</v>
      </c>
      <c r="C15" s="56">
        <f>'Profit &amp; Loss'!G13/'Profit &amp; Loss'!F13-1</f>
        <v>5.7378134609819886E-2</v>
      </c>
      <c r="D15" s="56">
        <f>'Profit &amp; Loss'!H13/'Profit &amp; Loss'!G13-1</f>
        <v>0.25476362759286042</v>
      </c>
      <c r="E15" s="56">
        <f>'Profit &amp; Loss'!I13/'Profit &amp; Loss'!H13-1</f>
        <v>0.16047789972534066</v>
      </c>
      <c r="F15" s="56">
        <f>'Profit &amp; Loss'!J13/'Profit &amp; Loss'!I13-1</f>
        <v>-3.4632034632034459E-2</v>
      </c>
      <c r="G15" s="56">
        <f>'Profit &amp; Loss'!K13/'Profit &amp; Loss'!J13-1</f>
        <v>0.35500912369620208</v>
      </c>
    </row>
    <row r="16" spans="2:11">
      <c r="B16" s="53" t="s">
        <v>107</v>
      </c>
      <c r="C16" s="58">
        <f>'Profit &amp; Loss'!G17</f>
        <v>10.5</v>
      </c>
      <c r="D16" s="58">
        <f>'Profit &amp; Loss'!H17</f>
        <v>11.999999999999998</v>
      </c>
      <c r="E16" s="58">
        <f>'Profit &amp; Loss'!I17</f>
        <v>17.849979149291077</v>
      </c>
      <c r="F16" s="58">
        <f>'Profit &amp; Loss'!J17</f>
        <v>19.150020850708923</v>
      </c>
      <c r="G16" s="58">
        <f>'Profit &amp; Loss'!K17</f>
        <v>25.650020850708923</v>
      </c>
    </row>
    <row r="17" spans="2:11">
      <c r="B17" s="55" t="s">
        <v>110</v>
      </c>
      <c r="C17" s="59">
        <f>'Profit &amp; Loss'!G18</f>
        <v>0.20690233672858005</v>
      </c>
      <c r="D17" s="59">
        <f>'Profit &amp; Loss'!H18</f>
        <v>0.14285714285714279</v>
      </c>
      <c r="E17" s="59">
        <f>'Profit &amp; Loss'!I18</f>
        <v>0.4874982624409232</v>
      </c>
      <c r="F17" s="59">
        <f>'Profit &amp; Loss'!J18</f>
        <v>7.2831552941588606E-2</v>
      </c>
      <c r="G17" s="59">
        <f>'Profit &amp; Loss'!K18</f>
        <v>0.33942521789783719</v>
      </c>
    </row>
    <row r="19" spans="2:11">
      <c r="B19" s="32" t="s">
        <v>123</v>
      </c>
      <c r="C19" s="33">
        <f>C6</f>
        <v>43555</v>
      </c>
      <c r="D19" s="33">
        <f t="shared" ref="D19:G19" si="0">D6</f>
        <v>43921</v>
      </c>
      <c r="E19" s="33">
        <f t="shared" si="0"/>
        <v>44286</v>
      </c>
      <c r="F19" s="33">
        <f t="shared" si="0"/>
        <v>44651</v>
      </c>
      <c r="G19" s="33">
        <f t="shared" si="0"/>
        <v>45016</v>
      </c>
      <c r="I19" s="81" t="s">
        <v>113</v>
      </c>
      <c r="J19" s="81"/>
      <c r="K19" s="81"/>
    </row>
    <row r="20" spans="2:11" ht="3" customHeight="1"/>
    <row r="21" spans="2:11">
      <c r="B21" s="53" t="s">
        <v>124</v>
      </c>
      <c r="C21" s="60">
        <f>'Profit &amp; Loss'!G14</f>
        <v>66.41238264870681</v>
      </c>
      <c r="D21" s="60">
        <f>'Profit &amp; Loss'!H14</f>
        <v>59.090807601740373</v>
      </c>
      <c r="E21" s="60">
        <f>'Profit &amp; Loss'!I14</f>
        <v>77.529443918847903</v>
      </c>
      <c r="F21" s="60">
        <f>'Profit &amp; Loss'!J14</f>
        <v>97.482917075005687</v>
      </c>
      <c r="G21" s="60">
        <f>'Profit &amp; Loss'!K14</f>
        <v>64.507656978655532</v>
      </c>
    </row>
    <row r="22" spans="2:11">
      <c r="B22" s="53" t="s">
        <v>119</v>
      </c>
      <c r="C22" s="60">
        <f>'Profit &amp; Loss'!G36</f>
        <v>38.262098200768122</v>
      </c>
      <c r="D22" s="60">
        <f>'Profit &amp; Loss'!H36</f>
        <v>38.535791783141939</v>
      </c>
      <c r="E22" s="60">
        <f>'Profit &amp; Loss'!I36</f>
        <v>50.22443735068785</v>
      </c>
      <c r="F22" s="60">
        <f>'Profit &amp; Loss'!J36</f>
        <v>61.651831435108171</v>
      </c>
      <c r="G22" s="60">
        <f>'Profit &amp; Loss'!K36</f>
        <v>42.490905198854946</v>
      </c>
    </row>
    <row r="23" spans="2:11">
      <c r="B23" s="53" t="s">
        <v>125</v>
      </c>
      <c r="C23" s="60">
        <f>'Profit &amp; Loss'!G37</f>
        <v>7.4871897435204442</v>
      </c>
      <c r="D23" s="60">
        <f>'Profit &amp; Loss'!H37</f>
        <v>7.9256033149854659</v>
      </c>
      <c r="E23" s="60">
        <f>'Profit &amp; Loss'!I37</f>
        <v>11.231618691103263</v>
      </c>
      <c r="F23" s="60">
        <f>'Profit &amp; Loss'!J37</f>
        <v>10.176574844817823</v>
      </c>
      <c r="G23" s="60">
        <f>'Profit &amp; Loss'!K37</f>
        <v>7.7122975453621043</v>
      </c>
    </row>
    <row r="24" spans="2:11">
      <c r="B24" s="53" t="s">
        <v>126</v>
      </c>
      <c r="C24" s="60">
        <f>'Profit &amp; Loss'!G40</f>
        <v>15.118423322827082</v>
      </c>
      <c r="D24" s="60">
        <f>'Profit &amp; Loss'!H40</f>
        <v>15.779679689165818</v>
      </c>
      <c r="E24" s="60">
        <f>'Profit &amp; Loss'!I40</f>
        <v>19.0053019258505</v>
      </c>
      <c r="F24" s="60">
        <f>'Profit &amp; Loss'!J40</f>
        <v>21.389966375992287</v>
      </c>
      <c r="G24" s="60">
        <f>'Profit &amp; Loss'!K40</f>
        <v>16.564135708403395</v>
      </c>
    </row>
    <row r="25" spans="2:11">
      <c r="B25" s="53" t="s">
        <v>127</v>
      </c>
      <c r="C25" s="57">
        <f>'Balance Sheet'!G23</f>
        <v>0.22764464577030905</v>
      </c>
      <c r="D25" s="57">
        <f>'Balance Sheet'!H23</f>
        <v>0.26704119184692049</v>
      </c>
      <c r="E25" s="57">
        <f>'Balance Sheet'!I23</f>
        <v>0.24513656960759125</v>
      </c>
      <c r="F25" s="57">
        <f>'Balance Sheet'!J23</f>
        <v>0.21942271546443706</v>
      </c>
      <c r="G25" s="57">
        <f>'Balance Sheet'!K23</f>
        <v>0.25677782273016331</v>
      </c>
    </row>
    <row r="26" spans="2:11">
      <c r="B26" s="53" t="s">
        <v>128</v>
      </c>
      <c r="C26" s="57">
        <f>'Balance Sheet'!G24</f>
        <v>0.34626562230000191</v>
      </c>
      <c r="D26" s="57">
        <f>'Balance Sheet'!H24</f>
        <v>0.33861810143106641</v>
      </c>
      <c r="E26" s="57">
        <f>'Balance Sheet'!I24</f>
        <v>0.34960774325823019</v>
      </c>
      <c r="F26" s="57">
        <f>'Balance Sheet'!J24</f>
        <v>0.29238527741796749</v>
      </c>
      <c r="G26" s="57">
        <f>'Balance Sheet'!K24</f>
        <v>0.35010228581871716</v>
      </c>
    </row>
    <row r="28" spans="2:11">
      <c r="B28" s="32" t="s">
        <v>142</v>
      </c>
      <c r="C28" s="81" t="str">
        <f>Shareholders!H2</f>
        <v>No. Shares (In Crs.)</v>
      </c>
      <c r="D28" s="81"/>
      <c r="E28" s="33" t="str">
        <f>Shareholders!I2</f>
        <v>% Holding</v>
      </c>
      <c r="F28" s="32" t="str">
        <f>Shareholders!J2</f>
        <v>Market Value (In Crs.)</v>
      </c>
      <c r="G28" s="32"/>
      <c r="I28" s="81" t="s">
        <v>146</v>
      </c>
      <c r="J28" s="81"/>
      <c r="K28" s="81"/>
    </row>
    <row r="29" spans="2:11" ht="4.5" customHeight="1">
      <c r="B29" s="50"/>
      <c r="C29" s="51"/>
      <c r="D29" s="51"/>
      <c r="E29" s="52"/>
      <c r="F29" s="50"/>
      <c r="G29" s="50"/>
      <c r="I29" s="51"/>
      <c r="J29" s="51"/>
      <c r="K29" s="51"/>
    </row>
    <row r="30" spans="2:11">
      <c r="B30" s="61" t="str">
        <f>Shareholders!G3</f>
        <v>Smiti Holding and Trading Company Private Limited</v>
      </c>
      <c r="C30" s="77">
        <f>Shareholders!H3</f>
        <v>5.5339067999999996</v>
      </c>
      <c r="D30" s="77"/>
      <c r="E30" s="62">
        <f>Shareholders!I3</f>
        <v>5.7699999999999994E-2</v>
      </c>
      <c r="F30" s="82">
        <f>Shareholders!J3</f>
        <v>17425.165731839999</v>
      </c>
      <c r="G30" s="82"/>
    </row>
    <row r="31" spans="2:11">
      <c r="B31" s="61" t="str">
        <f>Shareholders!G4</f>
        <v>Sattva Holding and Trading Private Limited</v>
      </c>
      <c r="C31" s="77">
        <f>Shareholders!H4</f>
        <v>5.4789183000000001</v>
      </c>
      <c r="D31" s="77"/>
      <c r="E31" s="62">
        <f>Shareholders!I4</f>
        <v>5.7099999999999998E-2</v>
      </c>
      <c r="F31" s="82">
        <f>Shareholders!J4</f>
        <v>17252.017943040002</v>
      </c>
      <c r="G31" s="82"/>
    </row>
    <row r="32" spans="2:11">
      <c r="B32" s="61" t="str">
        <f>Shareholders!G5</f>
        <v>Siddhant Commercials Private Limited</v>
      </c>
      <c r="C32" s="77">
        <f>Shareholders!H5</f>
        <v>4.698785</v>
      </c>
      <c r="D32" s="77"/>
      <c r="E32" s="62">
        <f>Shareholders!I5</f>
        <v>4.9000000000000002E-2</v>
      </c>
      <c r="F32" s="82">
        <f>Shareholders!J5</f>
        <v>14795.534208000001</v>
      </c>
      <c r="G32" s="82"/>
    </row>
    <row r="33" spans="2:11">
      <c r="B33" s="61" t="str">
        <f>Shareholders!G6</f>
        <v>Geetanjali Trading and Investments Private Limited</v>
      </c>
      <c r="C33" s="77">
        <f>Shareholders!H6</f>
        <v>4.570614</v>
      </c>
      <c r="D33" s="77"/>
      <c r="E33" s="62">
        <f>Shareholders!I6</f>
        <v>4.7699999999999992E-2</v>
      </c>
      <c r="F33" s="82">
        <f>Shareholders!J6</f>
        <v>14391.949363200001</v>
      </c>
      <c r="G33" s="82"/>
    </row>
    <row r="34" spans="2:11">
      <c r="B34" s="61" t="str">
        <f>Shareholders!G7</f>
        <v>Life Insurance Corporation Of India</v>
      </c>
      <c r="C34" s="77">
        <f>Shareholders!H7</f>
        <v>3.9233357999999998</v>
      </c>
      <c r="D34" s="77"/>
      <c r="E34" s="62">
        <f>Shareholders!I7</f>
        <v>4.0899999999999999E-2</v>
      </c>
      <c r="F34" s="82">
        <f>Shareholders!J7</f>
        <v>12353.79976704</v>
      </c>
      <c r="G34" s="82"/>
    </row>
    <row r="35" spans="2:11">
      <c r="B35" s="61" t="str">
        <f>Shareholders!G8</f>
        <v>Elcid Investments Limited</v>
      </c>
      <c r="C35" s="77">
        <f>Shareholders!H8</f>
        <v>2.8313860000000002</v>
      </c>
      <c r="D35" s="77"/>
      <c r="E35" s="62">
        <f>Shareholders!I8</f>
        <v>2.9500000000000002E-2</v>
      </c>
      <c r="F35" s="82">
        <f>Shareholders!J8</f>
        <v>8915.4682368000013</v>
      </c>
      <c r="G35" s="82"/>
    </row>
    <row r="36" spans="2:11">
      <c r="B36" s="61" t="str">
        <f>Shareholders!G9</f>
        <v>Gujarat Organics Pvt Ltd</v>
      </c>
      <c r="C36" s="77">
        <f>Shareholders!H9</f>
        <v>2.3150729999999999</v>
      </c>
      <c r="D36" s="77"/>
      <c r="E36" s="62">
        <f>Shareholders!I9</f>
        <v>2.41E-2</v>
      </c>
      <c r="F36" s="82">
        <f>Shareholders!J9</f>
        <v>7289.7018624000002</v>
      </c>
      <c r="G36" s="82"/>
    </row>
    <row r="37" spans="2:11">
      <c r="B37" s="61" t="str">
        <f>Shareholders!G10</f>
        <v>Sudhanava Investments and Trading Company Private Limited</v>
      </c>
      <c r="C37" s="77">
        <f>Shareholders!H10</f>
        <v>1.9001760000000001</v>
      </c>
      <c r="D37" s="77"/>
      <c r="E37" s="62">
        <f>Shareholders!I10</f>
        <v>1.9799999999999998E-2</v>
      </c>
      <c r="F37" s="82">
        <f>Shareholders!J10</f>
        <v>5983.274188800001</v>
      </c>
      <c r="G37" s="82"/>
    </row>
    <row r="38" spans="2:11">
      <c r="B38" s="61" t="str">
        <f>Shareholders!G11</f>
        <v>Rupen Investment &amp; Industries Private Limited</v>
      </c>
      <c r="C38" s="77">
        <f>Shareholders!H11</f>
        <v>1.8849825</v>
      </c>
      <c r="D38" s="77"/>
      <c r="E38" s="62">
        <f>Shareholders!I11</f>
        <v>1.9699999999999999E-2</v>
      </c>
      <c r="F38" s="82">
        <f>Shareholders!J11</f>
        <v>5935.4328960000003</v>
      </c>
      <c r="G38" s="82"/>
    </row>
    <row r="39" spans="2:11">
      <c r="B39" s="61" t="str">
        <f>Shareholders!G12</f>
        <v>Satyadharma Investments and Trading Company Private Ltd.</v>
      </c>
      <c r="C39" s="77">
        <f>Shareholders!H12</f>
        <v>1.8334280000000001</v>
      </c>
      <c r="D39" s="77"/>
      <c r="E39" s="62">
        <f>Shareholders!I12</f>
        <v>1.9099999999999999E-2</v>
      </c>
      <c r="F39" s="82">
        <f>Shareholders!J12</f>
        <v>5773.0980864000003</v>
      </c>
      <c r="G39" s="82"/>
    </row>
    <row r="40" spans="2:11">
      <c r="B40" s="37"/>
    </row>
    <row r="41" spans="2:11">
      <c r="B41" s="32" t="s">
        <v>161</v>
      </c>
      <c r="C41" s="81" t="s">
        <v>170</v>
      </c>
      <c r="D41" s="81"/>
      <c r="E41" s="33" t="s">
        <v>171</v>
      </c>
      <c r="F41" s="79" t="s">
        <v>172</v>
      </c>
      <c r="G41" s="79"/>
      <c r="I41" s="81" t="s">
        <v>153</v>
      </c>
      <c r="J41" s="81"/>
      <c r="K41" s="81"/>
    </row>
    <row r="42" spans="2:11" ht="6" customHeight="1"/>
    <row r="43" spans="2:11">
      <c r="B43" s="53" t="s">
        <v>162</v>
      </c>
      <c r="C43" s="82">
        <v>184033160</v>
      </c>
      <c r="D43" s="82"/>
      <c r="E43" s="60">
        <v>154.53</v>
      </c>
      <c r="F43" s="83">
        <v>33.83</v>
      </c>
      <c r="G43" s="83"/>
      <c r="I43" s="53" t="s">
        <v>155</v>
      </c>
      <c r="J43" s="53"/>
      <c r="K43" s="54">
        <f>'Data Sheet'!B8</f>
        <v>3148.8</v>
      </c>
    </row>
    <row r="44" spans="2:11">
      <c r="B44" s="53" t="s">
        <v>163</v>
      </c>
      <c r="C44" s="82">
        <v>36925647</v>
      </c>
      <c r="D44" s="82"/>
      <c r="E44" s="60">
        <v>31.01</v>
      </c>
      <c r="F44" s="83">
        <v>20.74</v>
      </c>
      <c r="G44" s="83"/>
      <c r="I44" s="64" t="s">
        <v>154</v>
      </c>
      <c r="J44" s="64"/>
      <c r="K44" s="65">
        <f>'Data Sheet'!B6</f>
        <v>95.919778963414629</v>
      </c>
    </row>
    <row r="45" spans="2:11" ht="15.75" thickBot="1">
      <c r="B45" s="53" t="s">
        <v>164</v>
      </c>
      <c r="C45" s="82">
        <v>6220000</v>
      </c>
      <c r="D45" s="82"/>
      <c r="E45" s="60">
        <v>5.22</v>
      </c>
      <c r="F45" s="83">
        <v>8.74</v>
      </c>
      <c r="G45" s="83"/>
      <c r="I45" s="68" t="s">
        <v>79</v>
      </c>
      <c r="J45" s="68"/>
      <c r="K45" s="69">
        <f>K44*K43</f>
        <v>302032.2</v>
      </c>
    </row>
    <row r="46" spans="2:11">
      <c r="B46" s="53" t="s">
        <v>165</v>
      </c>
      <c r="C46" s="82">
        <v>6320000</v>
      </c>
      <c r="D46" s="82"/>
      <c r="E46" s="60">
        <v>5.31</v>
      </c>
      <c r="F46" s="83">
        <v>15.12</v>
      </c>
      <c r="G46" s="83"/>
      <c r="I46" s="66" t="s">
        <v>156</v>
      </c>
      <c r="J46" s="28"/>
      <c r="K46" s="67">
        <f>'Data Sheet'!K69*-1</f>
        <v>-843.82</v>
      </c>
    </row>
    <row r="47" spans="2:11">
      <c r="B47" s="53" t="s">
        <v>166</v>
      </c>
      <c r="C47" s="82">
        <v>5735000</v>
      </c>
      <c r="D47" s="82"/>
      <c r="E47" s="60">
        <v>4.82</v>
      </c>
      <c r="F47" s="83">
        <v>8.51</v>
      </c>
      <c r="G47" s="83"/>
      <c r="I47" s="63" t="s">
        <v>157</v>
      </c>
      <c r="J47" s="53"/>
      <c r="K47" s="54">
        <f>'Data Sheet'!K59</f>
        <v>1932.62</v>
      </c>
    </row>
    <row r="48" spans="2:11">
      <c r="B48" s="53" t="s">
        <v>167</v>
      </c>
      <c r="C48" s="82">
        <v>5680000</v>
      </c>
      <c r="D48" s="82"/>
      <c r="E48" s="60">
        <v>4.7699999999999996</v>
      </c>
      <c r="F48" s="83">
        <v>14.75</v>
      </c>
      <c r="G48" s="83"/>
      <c r="I48" s="70" t="s">
        <v>158</v>
      </c>
      <c r="J48" s="64"/>
      <c r="K48" s="71" t="s">
        <v>159</v>
      </c>
    </row>
    <row r="49" spans="2:11" ht="15.75" thickBot="1">
      <c r="B49" s="53" t="s">
        <v>168</v>
      </c>
      <c r="C49" s="82">
        <v>5480000</v>
      </c>
      <c r="D49" s="82"/>
      <c r="E49" s="60">
        <v>4.5999999999999996</v>
      </c>
      <c r="F49" s="83">
        <v>20.440000000000001</v>
      </c>
      <c r="G49" s="83"/>
      <c r="I49" s="68" t="s">
        <v>160</v>
      </c>
      <c r="J49" s="72"/>
      <c r="K49" s="69">
        <f>SUM(K45:K48)</f>
        <v>303121</v>
      </c>
    </row>
    <row r="50" spans="2:11">
      <c r="B50" s="53" t="s">
        <v>169</v>
      </c>
      <c r="C50" s="82">
        <v>5280000</v>
      </c>
      <c r="D50" s="82"/>
      <c r="E50" s="60">
        <v>4.43</v>
      </c>
      <c r="F50" s="83">
        <v>19.190000000000001</v>
      </c>
      <c r="G50" s="83"/>
    </row>
    <row r="52" spans="2:11">
      <c r="B52" s="32" t="s">
        <v>173</v>
      </c>
      <c r="C52" s="32"/>
      <c r="D52" s="32"/>
      <c r="E52" s="32"/>
      <c r="F52" s="32"/>
      <c r="G52" s="32"/>
      <c r="H52" s="32"/>
      <c r="I52" s="32"/>
      <c r="J52" s="32"/>
      <c r="K52" s="32"/>
    </row>
    <row r="53" spans="2:11" ht="6" customHeight="1"/>
    <row r="54" spans="2:11" ht="31.5" customHeight="1">
      <c r="B54" s="76" t="s">
        <v>178</v>
      </c>
      <c r="C54" s="76"/>
      <c r="D54" s="76"/>
      <c r="E54" s="76"/>
      <c r="F54" s="76"/>
      <c r="G54" s="76"/>
      <c r="H54" s="76"/>
      <c r="I54" s="76"/>
      <c r="J54" s="76"/>
      <c r="K54" s="76"/>
    </row>
    <row r="55" spans="2:11" ht="32.25" customHeight="1">
      <c r="B55" s="76" t="s">
        <v>177</v>
      </c>
      <c r="C55" s="76"/>
      <c r="D55" s="76"/>
      <c r="E55" s="76"/>
      <c r="F55" s="76"/>
      <c r="G55" s="76"/>
      <c r="H55" s="76"/>
      <c r="I55" s="76"/>
      <c r="J55" s="76"/>
      <c r="K55" s="76"/>
    </row>
    <row r="56" spans="2:11">
      <c r="B56" t="s">
        <v>176</v>
      </c>
    </row>
    <row r="57" spans="2:11">
      <c r="B57" t="s">
        <v>179</v>
      </c>
    </row>
    <row r="58" spans="2:11">
      <c r="B58" t="s">
        <v>180</v>
      </c>
    </row>
    <row r="59" spans="2:11">
      <c r="B59" t="s">
        <v>181</v>
      </c>
    </row>
    <row r="61" spans="2:11">
      <c r="B61" s="32" t="s">
        <v>183</v>
      </c>
      <c r="C61" s="32"/>
      <c r="D61" s="32"/>
      <c r="E61" s="32"/>
      <c r="F61" s="32"/>
      <c r="G61" s="32"/>
      <c r="H61" s="32"/>
      <c r="I61" s="32"/>
      <c r="J61" s="32"/>
      <c r="K61" s="32"/>
    </row>
    <row r="62" spans="2:11" ht="6" customHeight="1"/>
    <row r="63" spans="2:11">
      <c r="B63" s="75" t="s">
        <v>182</v>
      </c>
      <c r="J63" s="74" t="s">
        <v>174</v>
      </c>
      <c r="K63" s="73" t="s">
        <v>175</v>
      </c>
    </row>
  </sheetData>
  <mergeCells count="47">
    <mergeCell ref="F48:G48"/>
    <mergeCell ref="F49:G49"/>
    <mergeCell ref="F50:G50"/>
    <mergeCell ref="C47:D47"/>
    <mergeCell ref="C48:D48"/>
    <mergeCell ref="C49:D49"/>
    <mergeCell ref="C50:D50"/>
    <mergeCell ref="F43:G43"/>
    <mergeCell ref="F44:G44"/>
    <mergeCell ref="F45:G45"/>
    <mergeCell ref="F46:G46"/>
    <mergeCell ref="F47:G47"/>
    <mergeCell ref="F36:G36"/>
    <mergeCell ref="F37:G37"/>
    <mergeCell ref="F38:G38"/>
    <mergeCell ref="F39:G39"/>
    <mergeCell ref="C41:D41"/>
    <mergeCell ref="F41:G41"/>
    <mergeCell ref="C30:D30"/>
    <mergeCell ref="C31:D31"/>
    <mergeCell ref="C32:D32"/>
    <mergeCell ref="C33:D33"/>
    <mergeCell ref="C46:D46"/>
    <mergeCell ref="C43:D43"/>
    <mergeCell ref="C44:D44"/>
    <mergeCell ref="C45:D45"/>
    <mergeCell ref="F31:G31"/>
    <mergeCell ref="F32:G32"/>
    <mergeCell ref="F33:G33"/>
    <mergeCell ref="F34:G34"/>
    <mergeCell ref="F35:G35"/>
    <mergeCell ref="B54:K54"/>
    <mergeCell ref="B55:K55"/>
    <mergeCell ref="C34:D34"/>
    <mergeCell ref="C35:D35"/>
    <mergeCell ref="B2:K2"/>
    <mergeCell ref="C4:K4"/>
    <mergeCell ref="I6:K6"/>
    <mergeCell ref="I19:K19"/>
    <mergeCell ref="C28:D28"/>
    <mergeCell ref="I28:K28"/>
    <mergeCell ref="I41:K41"/>
    <mergeCell ref="C36:D36"/>
    <mergeCell ref="C37:D37"/>
    <mergeCell ref="C38:D38"/>
    <mergeCell ref="C39:D39"/>
    <mergeCell ref="F30:G30"/>
  </mergeCells>
  <hyperlinks>
    <hyperlink ref="B57" r:id="rId1" display="https://www.cnbctv18.com/market/asian-paints-share-price-falls-as-co-founder-ashwin-dani-passes-away-17904331.htm" xr:uid="{A090C134-FAAB-4D5E-8358-19B8A40E6ADB}"/>
  </hyperlinks>
  <pageMargins left="0.25" right="0.25" top="0.75" bottom="0.75" header="0.3" footer="0.3"/>
  <pageSetup scale="64" orientation="portrait" r:id="rId2"/>
  <colBreaks count="1" manualBreakCount="1">
    <brk id="11" max="1048575" man="1"/>
  </col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4762D-010A-4621-8A31-1DF82E65B666}">
  <dimension ref="A1:J22"/>
  <sheetViews>
    <sheetView zoomScale="95" workbookViewId="0">
      <selection activeCell="G1" sqref="G1"/>
    </sheetView>
  </sheetViews>
  <sheetFormatPr defaultRowHeight="15"/>
  <cols>
    <col min="7" max="7" width="47.42578125" bestFit="1" customWidth="1"/>
    <col min="8" max="8" width="16.42578125" bestFit="1" customWidth="1"/>
    <col min="9" max="9" width="16.28515625" bestFit="1" customWidth="1"/>
  </cols>
  <sheetData>
    <row r="1" spans="1:10" ht="15.75" thickBot="1">
      <c r="A1" t="s">
        <v>141</v>
      </c>
      <c r="H1" t="s">
        <v>140</v>
      </c>
    </row>
    <row r="2" spans="1:10" ht="16.5" thickTop="1" thickBot="1">
      <c r="B2" s="44"/>
      <c r="C2" s="45"/>
      <c r="D2" s="45"/>
      <c r="E2" s="46"/>
      <c r="G2" t="s">
        <v>129</v>
      </c>
      <c r="H2" t="s">
        <v>143</v>
      </c>
      <c r="I2" t="s">
        <v>145</v>
      </c>
      <c r="J2" t="s">
        <v>144</v>
      </c>
    </row>
    <row r="3" spans="1:10" ht="15.75" thickBot="1">
      <c r="B3" s="38"/>
      <c r="C3" s="39"/>
      <c r="D3" s="40"/>
      <c r="E3" s="47"/>
      <c r="G3" s="31" t="s">
        <v>130</v>
      </c>
      <c r="H3">
        <v>5.5339067999999996</v>
      </c>
      <c r="I3" s="35">
        <v>5.7699999999999994E-2</v>
      </c>
      <c r="J3">
        <f>'Data Sheet'!$B$8*Shareholders!H3</f>
        <v>17425.165731839999</v>
      </c>
    </row>
    <row r="4" spans="1:10" ht="15.75" thickBot="1">
      <c r="B4" s="38"/>
      <c r="C4" s="39"/>
      <c r="D4" s="40"/>
      <c r="E4" s="47"/>
      <c r="G4" t="s">
        <v>131</v>
      </c>
      <c r="H4">
        <v>5.4789183000000001</v>
      </c>
      <c r="I4" s="35">
        <v>5.7099999999999998E-2</v>
      </c>
      <c r="J4">
        <f>'Data Sheet'!$B$8*Shareholders!H4</f>
        <v>17252.017943040002</v>
      </c>
    </row>
    <row r="5" spans="1:10" ht="15.75" thickBot="1">
      <c r="B5" s="38"/>
      <c r="C5" s="39"/>
      <c r="D5" s="40"/>
      <c r="E5" s="47"/>
      <c r="G5" t="s">
        <v>132</v>
      </c>
      <c r="H5">
        <v>4.698785</v>
      </c>
      <c r="I5" s="35">
        <v>4.9000000000000002E-2</v>
      </c>
      <c r="J5">
        <f>'Data Sheet'!$B$8*Shareholders!H5</f>
        <v>14795.534208000001</v>
      </c>
    </row>
    <row r="6" spans="1:10" ht="15.75" thickBot="1">
      <c r="B6" s="38"/>
      <c r="C6" s="39"/>
      <c r="D6" s="40"/>
      <c r="E6" s="47"/>
      <c r="G6" t="s">
        <v>133</v>
      </c>
      <c r="H6">
        <v>4.570614</v>
      </c>
      <c r="I6" s="35">
        <v>4.7699999999999992E-2</v>
      </c>
      <c r="J6">
        <f>'Data Sheet'!$B$8*Shareholders!H6</f>
        <v>14391.949363200001</v>
      </c>
    </row>
    <row r="7" spans="1:10" ht="15.75" thickBot="1">
      <c r="B7" s="38"/>
      <c r="C7" s="39"/>
      <c r="D7" s="40"/>
      <c r="E7" s="47"/>
      <c r="G7" t="s">
        <v>134</v>
      </c>
      <c r="H7">
        <v>3.9233357999999998</v>
      </c>
      <c r="I7" s="35">
        <v>4.0899999999999999E-2</v>
      </c>
      <c r="J7">
        <f>'Data Sheet'!$B$8*Shareholders!H7</f>
        <v>12353.79976704</v>
      </c>
    </row>
    <row r="8" spans="1:10" ht="15.75" thickBot="1">
      <c r="B8" s="38"/>
      <c r="C8" s="39"/>
      <c r="D8" s="40"/>
      <c r="E8" s="47"/>
      <c r="G8" t="s">
        <v>135</v>
      </c>
      <c r="H8">
        <v>2.8313860000000002</v>
      </c>
      <c r="I8" s="35">
        <v>2.9500000000000002E-2</v>
      </c>
      <c r="J8">
        <f>'Data Sheet'!$B$8*Shareholders!H8</f>
        <v>8915.4682368000013</v>
      </c>
    </row>
    <row r="9" spans="1:10" ht="15.75" thickBot="1">
      <c r="B9" s="38"/>
      <c r="C9" s="39"/>
      <c r="D9" s="40"/>
      <c r="E9" s="47"/>
      <c r="G9" t="s">
        <v>136</v>
      </c>
      <c r="H9">
        <v>2.3150729999999999</v>
      </c>
      <c r="I9" s="35">
        <v>2.41E-2</v>
      </c>
      <c r="J9">
        <f>'Data Sheet'!$B$8*Shareholders!H9</f>
        <v>7289.7018624000002</v>
      </c>
    </row>
    <row r="10" spans="1:10" ht="15.75" thickBot="1">
      <c r="B10" s="38"/>
      <c r="C10" s="39"/>
      <c r="D10" s="40"/>
      <c r="E10" s="47"/>
      <c r="G10" t="s">
        <v>137</v>
      </c>
      <c r="H10">
        <v>1.9001760000000001</v>
      </c>
      <c r="I10" s="35">
        <v>1.9799999999999998E-2</v>
      </c>
      <c r="J10">
        <f>'Data Sheet'!$B$8*Shareholders!H10</f>
        <v>5983.274188800001</v>
      </c>
    </row>
    <row r="11" spans="1:10" ht="15.75" thickBot="1">
      <c r="B11" s="38"/>
      <c r="C11" s="39"/>
      <c r="D11" s="40"/>
      <c r="E11" s="47"/>
      <c r="G11" t="s">
        <v>138</v>
      </c>
      <c r="H11">
        <v>1.8849825</v>
      </c>
      <c r="I11" s="35">
        <v>1.9699999999999999E-2</v>
      </c>
      <c r="J11">
        <f>'Data Sheet'!$B$8*Shareholders!H11</f>
        <v>5935.4328960000003</v>
      </c>
    </row>
    <row r="12" spans="1:10" ht="15.75" thickBot="1">
      <c r="B12" s="41"/>
      <c r="C12" s="42"/>
      <c r="D12" s="43"/>
      <c r="E12" s="48"/>
      <c r="G12" t="s">
        <v>139</v>
      </c>
      <c r="H12">
        <v>1.8334280000000001</v>
      </c>
      <c r="I12" s="35">
        <v>1.9099999999999999E-2</v>
      </c>
      <c r="J12">
        <f>'Data Sheet'!$B$8*Shareholders!H12</f>
        <v>5773.0980864000003</v>
      </c>
    </row>
    <row r="15" spans="1:10">
      <c r="G15" t="s">
        <v>146</v>
      </c>
      <c r="H15" t="s">
        <v>147</v>
      </c>
    </row>
    <row r="17" spans="7:10">
      <c r="G17" t="s">
        <v>152</v>
      </c>
      <c r="H17" s="37">
        <v>0.52629999999999999</v>
      </c>
    </row>
    <row r="18" spans="7:10">
      <c r="G18" t="s">
        <v>150</v>
      </c>
      <c r="H18" s="5">
        <f>19.82%+0.05%</f>
        <v>0.19870000000000002</v>
      </c>
    </row>
    <row r="19" spans="7:10">
      <c r="G19" t="s">
        <v>148</v>
      </c>
      <c r="H19" s="49">
        <v>0.17480000000000001</v>
      </c>
    </row>
    <row r="20" spans="7:10">
      <c r="G20" t="s">
        <v>149</v>
      </c>
      <c r="H20" s="5">
        <v>0.10009999999999999</v>
      </c>
    </row>
    <row r="22" spans="7:10">
      <c r="J22" t="s">
        <v>151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0"/>
  <sheetViews>
    <sheetView zoomScale="87" zoomScaleNormal="87" zoomScaleSheetLayoutView="100" zoomScalePageLayoutView="120" workbookViewId="0">
      <pane xSplit="1" ySplit="4" topLeftCell="B34" activePane="bottomRight" state="frozen"/>
      <selection activeCell="I2" sqref="I2"/>
      <selection pane="topRight" activeCell="I2" sqref="I2"/>
      <selection pane="bottomLeft" activeCell="I2" sqref="I2"/>
      <selection pane="bottomRight" activeCell="B40" sqref="B40"/>
    </sheetView>
  </sheetViews>
  <sheetFormatPr defaultColWidth="8.85546875" defaultRowHeight="15"/>
  <cols>
    <col min="1" max="1" width="20.7109375" customWidth="1"/>
    <col min="2" max="6" width="13.42578125" customWidth="1"/>
    <col min="7" max="7" width="14.85546875" bestFit="1" customWidth="1"/>
    <col min="8" max="11" width="13.42578125" customWidth="1"/>
    <col min="12" max="12" width="13.28515625" customWidth="1"/>
    <col min="13" max="14" width="12.140625" customWidth="1"/>
  </cols>
  <sheetData>
    <row r="1" spans="1:14" s="2" customFormat="1">
      <c r="A1" s="2" t="str">
        <f>'Data Sheet'!B1</f>
        <v>ASIAN PAINTS LTD</v>
      </c>
      <c r="H1" t="str">
        <f>UPDATE</f>
        <v/>
      </c>
      <c r="J1" s="3"/>
      <c r="K1" s="3"/>
      <c r="M1" s="2" t="s">
        <v>1</v>
      </c>
    </row>
    <row r="3" spans="1:14" s="2" customFormat="1">
      <c r="A3" s="11" t="s">
        <v>2</v>
      </c>
      <c r="B3" s="12">
        <f>'Data Sheet'!B16</f>
        <v>41729</v>
      </c>
      <c r="C3" s="12">
        <f>'Data Sheet'!C16</f>
        <v>42094</v>
      </c>
      <c r="D3" s="12">
        <f>'Data Sheet'!D16</f>
        <v>42460</v>
      </c>
      <c r="E3" s="12">
        <f>'Data Sheet'!E16</f>
        <v>42825</v>
      </c>
      <c r="F3" s="12">
        <f>'Data Sheet'!F16</f>
        <v>43190</v>
      </c>
      <c r="G3" s="12">
        <f>'Data Sheet'!G16</f>
        <v>43555</v>
      </c>
      <c r="H3" s="12">
        <f>'Data Sheet'!H16</f>
        <v>43921</v>
      </c>
      <c r="I3" s="12">
        <f>'Data Sheet'!I16</f>
        <v>44286</v>
      </c>
      <c r="J3" s="12">
        <f>'Data Sheet'!J16</f>
        <v>44651</v>
      </c>
      <c r="K3" s="12">
        <f>'Data Sheet'!K16</f>
        <v>45016</v>
      </c>
      <c r="L3" s="13" t="s">
        <v>3</v>
      </c>
      <c r="M3" s="13" t="s">
        <v>4</v>
      </c>
      <c r="N3" s="13" t="s">
        <v>5</v>
      </c>
    </row>
    <row r="4" spans="1:14" s="2" customFormat="1">
      <c r="A4" s="2" t="s">
        <v>6</v>
      </c>
      <c r="B4" s="1">
        <f>'Data Sheet'!B17</f>
        <v>12220.37</v>
      </c>
      <c r="C4" s="1">
        <f>'Data Sheet'!C17</f>
        <v>13615.26</v>
      </c>
      <c r="D4" s="1">
        <f>'Data Sheet'!D17</f>
        <v>14271.49</v>
      </c>
      <c r="E4" s="1">
        <f>'Data Sheet'!E17</f>
        <v>15061.99</v>
      </c>
      <c r="F4" s="1">
        <f>'Data Sheet'!F17</f>
        <v>16824.55</v>
      </c>
      <c r="G4" s="1">
        <f>'Data Sheet'!G17</f>
        <v>19240.13</v>
      </c>
      <c r="H4" s="1">
        <f>'Data Sheet'!H17</f>
        <v>20211.25</v>
      </c>
      <c r="I4" s="1">
        <f>'Data Sheet'!I17</f>
        <v>21712.79</v>
      </c>
      <c r="J4" s="1">
        <f>'Data Sheet'!J17</f>
        <v>29101.279999999999</v>
      </c>
      <c r="K4" s="1">
        <f>'Data Sheet'!K17</f>
        <v>34488.589999999997</v>
      </c>
      <c r="L4" s="1">
        <f>SUM(Quarters!H4:K4)</f>
        <v>35063.96</v>
      </c>
      <c r="M4" s="1">
        <f>$K4+M26*K4</f>
        <v>41213.186517048933</v>
      </c>
      <c r="N4" s="1">
        <f>$K4+N26*L4</f>
        <v>38772.990190741366</v>
      </c>
    </row>
    <row r="5" spans="1:14">
      <c r="A5" t="s">
        <v>7</v>
      </c>
      <c r="B5" s="6">
        <f>SUM('Data Sheet'!B18,'Data Sheet'!B20:B24, -1*'Data Sheet'!B19)</f>
        <v>10216.709999999999</v>
      </c>
      <c r="C5" s="6">
        <f>SUM('Data Sheet'!C18,'Data Sheet'!C20:C24, -1*'Data Sheet'!C19)</f>
        <v>11372.37</v>
      </c>
      <c r="D5" s="6">
        <f>SUM('Data Sheet'!D18,'Data Sheet'!D20:D24, -1*'Data Sheet'!D19)</f>
        <v>11546.449999999997</v>
      </c>
      <c r="E5" s="6">
        <f>SUM('Data Sheet'!E18,'Data Sheet'!E20:E24, -1*'Data Sheet'!E19)</f>
        <v>12068.23</v>
      </c>
      <c r="F5" s="6">
        <f>SUM('Data Sheet'!F18,'Data Sheet'!F20:F24, -1*'Data Sheet'!F19)</f>
        <v>13620.539999999999</v>
      </c>
      <c r="G5" s="6">
        <f>SUM('Data Sheet'!G18,'Data Sheet'!G20:G24, -1*'Data Sheet'!G19)</f>
        <v>15475.189999999999</v>
      </c>
      <c r="H5" s="6">
        <f>SUM('Data Sheet'!H18,'Data Sheet'!H20:H24, -1*'Data Sheet'!H19)</f>
        <v>16054.430000000002</v>
      </c>
      <c r="I5" s="6">
        <f>SUM('Data Sheet'!I18,'Data Sheet'!I20:I24, -1*'Data Sheet'!I19)</f>
        <v>16857.189999999999</v>
      </c>
      <c r="J5" s="6">
        <f>SUM('Data Sheet'!J18,'Data Sheet'!J20:J24, -1*'Data Sheet'!J19)</f>
        <v>24297.67</v>
      </c>
      <c r="K5" s="6">
        <f>SUM('Data Sheet'!K18,'Data Sheet'!K20:K24, -1*'Data Sheet'!K19)</f>
        <v>28228.75</v>
      </c>
      <c r="L5" s="6">
        <f>SUM(Quarters!H5:K5)</f>
        <v>28238.780000000002</v>
      </c>
      <c r="M5" s="6">
        <f t="shared" ref="M5:N5" si="0">M4-M6</f>
        <v>33191.063050320357</v>
      </c>
      <c r="N5" s="6">
        <f t="shared" si="0"/>
        <v>31537.234945876538</v>
      </c>
    </row>
    <row r="6" spans="1:14" s="2" customFormat="1">
      <c r="A6" s="2" t="s">
        <v>8</v>
      </c>
      <c r="B6" s="1">
        <f>B4-B5</f>
        <v>2003.6600000000017</v>
      </c>
      <c r="C6" s="1">
        <f t="shared" ref="C6:K6" si="1">C4-C5</f>
        <v>2242.8899999999994</v>
      </c>
      <c r="D6" s="1">
        <f t="shared" si="1"/>
        <v>2725.0400000000027</v>
      </c>
      <c r="E6" s="1">
        <f t="shared" si="1"/>
        <v>2993.76</v>
      </c>
      <c r="F6" s="1">
        <f t="shared" si="1"/>
        <v>3204.01</v>
      </c>
      <c r="G6" s="1">
        <f t="shared" si="1"/>
        <v>3764.9400000000023</v>
      </c>
      <c r="H6" s="1">
        <f t="shared" si="1"/>
        <v>4156.8199999999979</v>
      </c>
      <c r="I6" s="1">
        <f t="shared" si="1"/>
        <v>4855.6000000000022</v>
      </c>
      <c r="J6" s="1">
        <f t="shared" si="1"/>
        <v>4803.6100000000006</v>
      </c>
      <c r="K6" s="1">
        <f t="shared" si="1"/>
        <v>6259.8399999999965</v>
      </c>
      <c r="L6" s="1">
        <f>SUM(Quarters!H6:K6)</f>
        <v>6825.18</v>
      </c>
      <c r="M6" s="1">
        <f>M4*M27</f>
        <v>8022.1234667285735</v>
      </c>
      <c r="N6" s="1">
        <f>N4*N27</f>
        <v>7235.7552448648285</v>
      </c>
    </row>
    <row r="7" spans="1:14">
      <c r="A7" t="s">
        <v>9</v>
      </c>
      <c r="B7" s="6">
        <f>'Data Sheet'!B25</f>
        <v>124.26</v>
      </c>
      <c r="C7" s="6">
        <f>'Data Sheet'!C25</f>
        <v>142.13999999999999</v>
      </c>
      <c r="D7" s="6">
        <f>'Data Sheet'!D25</f>
        <v>213.39</v>
      </c>
      <c r="E7" s="6">
        <f>'Data Sheet'!E25</f>
        <v>337.9</v>
      </c>
      <c r="F7" s="6">
        <f>'Data Sheet'!F25</f>
        <v>336.41</v>
      </c>
      <c r="G7" s="6">
        <f>'Data Sheet'!G25</f>
        <v>273.77</v>
      </c>
      <c r="H7" s="6">
        <f>'Data Sheet'!H25</f>
        <v>355.05</v>
      </c>
      <c r="I7" s="6">
        <f>'Data Sheet'!I25</f>
        <v>331.65</v>
      </c>
      <c r="J7" s="6">
        <f>'Data Sheet'!J25</f>
        <v>295.88</v>
      </c>
      <c r="K7" s="6">
        <f>'Data Sheet'!K25</f>
        <v>431.46</v>
      </c>
      <c r="L7" s="6">
        <f>SUM(Quarters!H7:K7)</f>
        <v>571.68000000000006</v>
      </c>
      <c r="M7" s="6">
        <v>0</v>
      </c>
      <c r="N7" s="6">
        <v>0</v>
      </c>
    </row>
    <row r="8" spans="1:14">
      <c r="A8" t="s">
        <v>10</v>
      </c>
      <c r="B8" s="6">
        <f>'Data Sheet'!B26</f>
        <v>245.66</v>
      </c>
      <c r="C8" s="6">
        <f>'Data Sheet'!C26</f>
        <v>265.92</v>
      </c>
      <c r="D8" s="6">
        <f>'Data Sheet'!D26</f>
        <v>275.58</v>
      </c>
      <c r="E8" s="6">
        <f>'Data Sheet'!E26</f>
        <v>334.79</v>
      </c>
      <c r="F8" s="6">
        <f>'Data Sheet'!F26</f>
        <v>360.47</v>
      </c>
      <c r="G8" s="6">
        <f>'Data Sheet'!G26</f>
        <v>622.14</v>
      </c>
      <c r="H8" s="6">
        <f>'Data Sheet'!H26</f>
        <v>780.5</v>
      </c>
      <c r="I8" s="6">
        <f>'Data Sheet'!I26</f>
        <v>791.27</v>
      </c>
      <c r="J8" s="6">
        <f>'Data Sheet'!J26</f>
        <v>816.36</v>
      </c>
      <c r="K8" s="6">
        <f>'Data Sheet'!K26</f>
        <v>858.02</v>
      </c>
      <c r="L8" s="6">
        <f>SUM(Quarters!H8:K8)</f>
        <v>848.24</v>
      </c>
      <c r="M8" s="6">
        <f>+$L8</f>
        <v>848.24</v>
      </c>
      <c r="N8" s="6">
        <f>+$L8</f>
        <v>848.24</v>
      </c>
    </row>
    <row r="9" spans="1:14">
      <c r="A9" t="s">
        <v>11</v>
      </c>
      <c r="B9" s="6">
        <f>'Data Sheet'!B27</f>
        <v>47.99</v>
      </c>
      <c r="C9" s="6">
        <f>'Data Sheet'!C27</f>
        <v>42.24</v>
      </c>
      <c r="D9" s="6">
        <f>'Data Sheet'!D27</f>
        <v>49</v>
      </c>
      <c r="E9" s="6">
        <f>'Data Sheet'!E27</f>
        <v>37.33</v>
      </c>
      <c r="F9" s="6">
        <f>'Data Sheet'!F27</f>
        <v>41.47</v>
      </c>
      <c r="G9" s="6">
        <f>'Data Sheet'!G27</f>
        <v>110.47</v>
      </c>
      <c r="H9" s="6">
        <f>'Data Sheet'!H27</f>
        <v>102.33</v>
      </c>
      <c r="I9" s="6">
        <f>'Data Sheet'!I27</f>
        <v>91.63</v>
      </c>
      <c r="J9" s="6">
        <f>'Data Sheet'!J27</f>
        <v>95.41</v>
      </c>
      <c r="K9" s="6">
        <f>'Data Sheet'!K27</f>
        <v>144.44999999999999</v>
      </c>
      <c r="L9" s="6">
        <f>SUM(Quarters!H9:K9)</f>
        <v>161.44999999999999</v>
      </c>
      <c r="M9" s="6">
        <f>+$L9</f>
        <v>161.44999999999999</v>
      </c>
      <c r="N9" s="6">
        <f>+$L9</f>
        <v>161.44999999999999</v>
      </c>
    </row>
    <row r="10" spans="1:14">
      <c r="A10" s="2" t="s">
        <v>12</v>
      </c>
      <c r="B10" s="6">
        <f>'Data Sheet'!B28</f>
        <v>1834.27</v>
      </c>
      <c r="C10" s="6">
        <f>'Data Sheet'!C28</f>
        <v>2076.87</v>
      </c>
      <c r="D10" s="6">
        <f>'Data Sheet'!D28</f>
        <v>2613.85</v>
      </c>
      <c r="E10" s="6">
        <f>'Data Sheet'!E28</f>
        <v>2959.54</v>
      </c>
      <c r="F10" s="6">
        <f>'Data Sheet'!F28</f>
        <v>3138.48</v>
      </c>
      <c r="G10" s="6">
        <f>'Data Sheet'!G28</f>
        <v>3306.1</v>
      </c>
      <c r="H10" s="6">
        <f>'Data Sheet'!H28</f>
        <v>3629.04</v>
      </c>
      <c r="I10" s="6">
        <f>'Data Sheet'!I28</f>
        <v>4304.3500000000004</v>
      </c>
      <c r="J10" s="6">
        <f>'Data Sheet'!J28</f>
        <v>4187.72</v>
      </c>
      <c r="K10" s="6">
        <f>'Data Sheet'!K28</f>
        <v>5688.83</v>
      </c>
      <c r="L10" s="6">
        <f>SUM(Quarters!H10:K10)</f>
        <v>6387.17</v>
      </c>
      <c r="M10" s="6">
        <f>M6+M7-SUM(M8:M9)</f>
        <v>7012.433466728573</v>
      </c>
      <c r="N10" s="6">
        <f>N6+N7-SUM(N8:N9)</f>
        <v>6226.0652448648289</v>
      </c>
    </row>
    <row r="11" spans="1:14">
      <c r="A11" t="s">
        <v>13</v>
      </c>
      <c r="B11" s="6">
        <f>'Data Sheet'!B29</f>
        <v>571.51</v>
      </c>
      <c r="C11" s="6">
        <f>'Data Sheet'!C29</f>
        <v>649.54</v>
      </c>
      <c r="D11" s="6">
        <f>'Data Sheet'!D29</f>
        <v>844.49</v>
      </c>
      <c r="E11" s="6">
        <f>'Data Sheet'!E29</f>
        <v>943.29</v>
      </c>
      <c r="F11" s="6">
        <f>'Data Sheet'!F29</f>
        <v>1040.96</v>
      </c>
      <c r="G11" s="6">
        <f>'Data Sheet'!G29</f>
        <v>1098.06</v>
      </c>
      <c r="H11" s="6">
        <f>'Data Sheet'!H29</f>
        <v>854.85</v>
      </c>
      <c r="I11" s="6">
        <f>'Data Sheet'!I29</f>
        <v>1097.5999999999999</v>
      </c>
      <c r="J11" s="6">
        <f>'Data Sheet'!J29</f>
        <v>1102.9100000000001</v>
      </c>
      <c r="K11" s="6">
        <f>'Data Sheet'!K29</f>
        <v>1493.5</v>
      </c>
      <c r="L11" s="6">
        <f>SUM(Quarters!H11:K11)</f>
        <v>1653.0300000000002</v>
      </c>
      <c r="M11" s="7">
        <f>IF($L10&gt;0,$L11/$L10,0)</f>
        <v>0.25880476016764858</v>
      </c>
      <c r="N11" s="7">
        <f>IF($L10&gt;0,$L11/$L10,0)</f>
        <v>0.25880476016764858</v>
      </c>
    </row>
    <row r="12" spans="1:14" s="2" customFormat="1">
      <c r="A12" s="2" t="s">
        <v>14</v>
      </c>
      <c r="B12" s="1">
        <f>'Data Sheet'!B30</f>
        <v>1218.81</v>
      </c>
      <c r="C12" s="1">
        <f>'Data Sheet'!C30</f>
        <v>1395.15</v>
      </c>
      <c r="D12" s="1">
        <f>'Data Sheet'!D30</f>
        <v>1745.16</v>
      </c>
      <c r="E12" s="1">
        <f>'Data Sheet'!E30</f>
        <v>1939.43</v>
      </c>
      <c r="F12" s="1">
        <f>'Data Sheet'!F30</f>
        <v>2038.93</v>
      </c>
      <c r="G12" s="1">
        <f>'Data Sheet'!G30</f>
        <v>2155.92</v>
      </c>
      <c r="H12" s="1">
        <f>'Data Sheet'!H30</f>
        <v>2705.17</v>
      </c>
      <c r="I12" s="1">
        <f>'Data Sheet'!I30</f>
        <v>3139.29</v>
      </c>
      <c r="J12" s="1">
        <f>'Data Sheet'!J30</f>
        <v>3030.57</v>
      </c>
      <c r="K12" s="1">
        <f>'Data Sheet'!K30</f>
        <v>4106.45</v>
      </c>
      <c r="L12" s="1">
        <f>SUM(Quarters!H12:K12)</f>
        <v>4639.8900000000003</v>
      </c>
      <c r="M12" s="1">
        <f>M10-M11*M10</f>
        <v>5197.5823051802927</v>
      </c>
      <c r="N12" s="1">
        <f>N10-N11*N10</f>
        <v>4614.7299223794544</v>
      </c>
    </row>
    <row r="13" spans="1:14">
      <c r="A13" t="s">
        <v>57</v>
      </c>
      <c r="B13" s="6">
        <f>IF('Data Sheet'!B93&gt;0,B12/'Data Sheet'!B93,0)</f>
        <v>12.706526271893244</v>
      </c>
      <c r="C13" s="6">
        <f>IF('Data Sheet'!C93&gt;0,C12/'Data Sheet'!C93,0)</f>
        <v>14.544933277731444</v>
      </c>
      <c r="D13" s="6">
        <f>IF('Data Sheet'!D93&gt;0,D12/'Data Sheet'!D93,0)</f>
        <v>18.193911592994162</v>
      </c>
      <c r="E13" s="6">
        <f>IF('Data Sheet'!E93&gt;0,E12/'Data Sheet'!E93,0)</f>
        <v>20.219245204336946</v>
      </c>
      <c r="F13" s="6">
        <f>IF('Data Sheet'!F93&gt;0,F12/'Data Sheet'!F93,0)</f>
        <v>21.256567973311093</v>
      </c>
      <c r="G13" s="6">
        <f>IF('Data Sheet'!G93&gt;0,G12/'Data Sheet'!G93,0)</f>
        <v>22.476230191826524</v>
      </c>
      <c r="H13" s="6">
        <f>IF('Data Sheet'!H93&gt;0,H12/'Data Sheet'!H93,0)</f>
        <v>28.202356130108424</v>
      </c>
      <c r="I13" s="6">
        <f>IF('Data Sheet'!I93&gt;0,I12/'Data Sheet'!I93,0)</f>
        <v>32.728211009174309</v>
      </c>
      <c r="J13" s="6">
        <f>IF('Data Sheet'!J93&gt;0,J12/'Data Sheet'!J93,0)</f>
        <v>31.594766472060051</v>
      </c>
      <c r="K13" s="6">
        <f>IF('Data Sheet'!K93&gt;0,K12/'Data Sheet'!K93,0)</f>
        <v>42.811196830692239</v>
      </c>
      <c r="L13" s="6">
        <f>IF('Data Sheet'!$B6&gt;0,'Profit &amp; Loss'!L12/'Data Sheet'!$B6,0)</f>
        <v>48.372609384032572</v>
      </c>
      <c r="M13" s="6">
        <f>IF('Data Sheet'!$B6&gt;0,'Profit &amp; Loss'!M12/'Data Sheet'!$B6,0)</f>
        <v>54.186762744342182</v>
      </c>
      <c r="N13" s="6">
        <f>IF('Data Sheet'!$B6&gt;0,'Profit &amp; Loss'!N12/'Data Sheet'!$B6,0)</f>
        <v>48.110306052097847</v>
      </c>
    </row>
    <row r="14" spans="1:14">
      <c r="A14" t="s">
        <v>16</v>
      </c>
      <c r="B14" s="6">
        <f>IF(B15&gt;0,B15/B13,"")</f>
        <v>43.123508996480176</v>
      </c>
      <c r="C14" s="6">
        <f t="shared" ref="C14:K14" si="2">IF(C15&gt;0,C15/C13,"")</f>
        <v>55.778873956205423</v>
      </c>
      <c r="D14" s="6">
        <f t="shared" si="2"/>
        <v>47.730252813495611</v>
      </c>
      <c r="E14" s="6">
        <f t="shared" si="2"/>
        <v>53.092980927385881</v>
      </c>
      <c r="F14" s="6">
        <f t="shared" si="2"/>
        <v>52.708414707714347</v>
      </c>
      <c r="G14" s="6">
        <f t="shared" si="2"/>
        <v>66.41238264870681</v>
      </c>
      <c r="H14" s="6">
        <f t="shared" si="2"/>
        <v>59.090807601740373</v>
      </c>
      <c r="I14" s="6">
        <f t="shared" si="2"/>
        <v>77.529443918847903</v>
      </c>
      <c r="J14" s="6">
        <f t="shared" si="2"/>
        <v>97.482917075005687</v>
      </c>
      <c r="K14" s="6">
        <f t="shared" si="2"/>
        <v>64.507656978655532</v>
      </c>
      <c r="L14" s="6">
        <f t="shared" ref="L14" si="3">IF(L13&gt;0,L15/L13,0)</f>
        <v>65.094689744799979</v>
      </c>
      <c r="M14" s="6">
        <f>M28</f>
        <v>76.153676929327276</v>
      </c>
      <c r="N14" s="6">
        <f>N28</f>
        <v>62.050175397185257</v>
      </c>
    </row>
    <row r="15" spans="1:14" s="2" customFormat="1">
      <c r="A15" s="2" t="s">
        <v>58</v>
      </c>
      <c r="B15" s="1">
        <f>'Data Sheet'!B90</f>
        <v>547.95000000000005</v>
      </c>
      <c r="C15" s="1">
        <f>'Data Sheet'!C90</f>
        <v>811.3</v>
      </c>
      <c r="D15" s="1">
        <f>'Data Sheet'!D90</f>
        <v>868.4</v>
      </c>
      <c r="E15" s="1">
        <f>'Data Sheet'!E90</f>
        <v>1073.5</v>
      </c>
      <c r="F15" s="1">
        <f>'Data Sheet'!F90</f>
        <v>1120.4000000000001</v>
      </c>
      <c r="G15" s="1">
        <f>'Data Sheet'!G90</f>
        <v>1492.7</v>
      </c>
      <c r="H15" s="1">
        <f>'Data Sheet'!H90</f>
        <v>1666.5</v>
      </c>
      <c r="I15" s="1">
        <f>'Data Sheet'!I90</f>
        <v>2537.4</v>
      </c>
      <c r="J15" s="1">
        <f>'Data Sheet'!J90</f>
        <v>3079.95</v>
      </c>
      <c r="K15" s="1">
        <f>'Data Sheet'!K90</f>
        <v>2761.65</v>
      </c>
      <c r="L15" s="1">
        <f>'Data Sheet'!B8</f>
        <v>3148.8</v>
      </c>
      <c r="M15" s="8">
        <f>M13*M14</f>
        <v>4126.5212238787417</v>
      </c>
      <c r="N15" s="9">
        <f>N13*N14</f>
        <v>2985.2529289449349</v>
      </c>
    </row>
    <row r="17" spans="1:14">
      <c r="A17" t="s">
        <v>108</v>
      </c>
      <c r="B17" s="29">
        <f>B13*B21</f>
        <v>5.3000417014178485</v>
      </c>
      <c r="C17" s="29">
        <f t="shared" ref="C17:K17" si="4">C13*C21</f>
        <v>6.0999791492910758</v>
      </c>
      <c r="D17" s="29">
        <f t="shared" si="4"/>
        <v>7.5</v>
      </c>
      <c r="E17" s="29">
        <f t="shared" si="4"/>
        <v>10.300041701417847</v>
      </c>
      <c r="F17" s="29">
        <f t="shared" si="4"/>
        <v>8.6999582985821515</v>
      </c>
      <c r="G17" s="29">
        <f t="shared" si="4"/>
        <v>10.5</v>
      </c>
      <c r="H17" s="29">
        <f t="shared" si="4"/>
        <v>11.999999999999998</v>
      </c>
      <c r="I17" s="29">
        <f t="shared" si="4"/>
        <v>17.849979149291077</v>
      </c>
      <c r="J17" s="29">
        <f t="shared" si="4"/>
        <v>19.150020850708923</v>
      </c>
      <c r="K17" s="29">
        <f t="shared" si="4"/>
        <v>25.650020850708923</v>
      </c>
    </row>
    <row r="18" spans="1:14">
      <c r="A18" t="s">
        <v>109</v>
      </c>
      <c r="C18" s="35">
        <f>C17/B17-1</f>
        <v>0.15093040638892163</v>
      </c>
      <c r="D18" s="35">
        <f t="shared" ref="D18:K18" si="5">D17/C17-1</f>
        <v>0.22951239937789469</v>
      </c>
      <c r="E18" s="35">
        <f t="shared" si="5"/>
        <v>0.37333889352237959</v>
      </c>
      <c r="F18" s="35">
        <f t="shared" si="5"/>
        <v>-0.15534727423632044</v>
      </c>
      <c r="G18" s="35">
        <f t="shared" si="5"/>
        <v>0.20690233672858005</v>
      </c>
      <c r="H18" s="35">
        <f t="shared" si="5"/>
        <v>0.14285714285714279</v>
      </c>
      <c r="I18" s="35">
        <f t="shared" si="5"/>
        <v>0.4874982624409232</v>
      </c>
      <c r="J18" s="35">
        <f t="shared" si="5"/>
        <v>7.2831552941588606E-2</v>
      </c>
      <c r="K18" s="35">
        <f t="shared" si="5"/>
        <v>0.33942521789783719</v>
      </c>
    </row>
    <row r="19" spans="1:14" s="2" customFormat="1">
      <c r="A19"/>
      <c r="B19"/>
      <c r="C19"/>
      <c r="D19"/>
      <c r="E19"/>
      <c r="F19"/>
      <c r="G19"/>
      <c r="H19"/>
      <c r="I19"/>
      <c r="J19"/>
      <c r="K19"/>
      <c r="L19"/>
      <c r="M19"/>
      <c r="N19"/>
    </row>
    <row r="20" spans="1:14">
      <c r="A20" s="2" t="s">
        <v>15</v>
      </c>
      <c r="B20" s="2"/>
      <c r="C20" s="2"/>
      <c r="D20" s="2"/>
      <c r="E20" s="2"/>
      <c r="F20" s="2"/>
      <c r="G20" s="2"/>
      <c r="H20" s="2"/>
      <c r="I20" s="2"/>
      <c r="J20" s="2"/>
      <c r="K20" s="2"/>
      <c r="L20" s="2"/>
      <c r="M20" s="2"/>
      <c r="N20" s="2"/>
    </row>
    <row r="21" spans="1:14">
      <c r="A21" t="s">
        <v>17</v>
      </c>
      <c r="B21" s="5">
        <f>IF('Data Sheet'!B30&gt;0, 'Data Sheet'!B31/'Data Sheet'!B30, 0)</f>
        <v>0.41711177295886975</v>
      </c>
      <c r="C21" s="5">
        <f>IF('Data Sheet'!C30&gt;0, 'Data Sheet'!C31/'Data Sheet'!C30, 0)</f>
        <v>0.419388596208293</v>
      </c>
      <c r="D21" s="5">
        <f>IF('Data Sheet'!D30&gt;0, 'Data Sheet'!D31/'Data Sheet'!D30, 0)</f>
        <v>0.41222581310596162</v>
      </c>
      <c r="E21" s="5">
        <f>IF('Data Sheet'!E30&gt;0, 'Data Sheet'!E31/'Data Sheet'!E30, 0)</f>
        <v>0.50941771551435211</v>
      </c>
      <c r="F21" s="5">
        <f>IF('Data Sheet'!F30&gt;0, 'Data Sheet'!F31/'Data Sheet'!F30, 0)</f>
        <v>0.40928330055470269</v>
      </c>
      <c r="G21" s="5">
        <f>IF('Data Sheet'!G30&gt;0, 'Data Sheet'!G31/'Data Sheet'!G30, 0)</f>
        <v>0.46716019147278187</v>
      </c>
      <c r="H21" s="5">
        <f>IF('Data Sheet'!H30&gt;0, 'Data Sheet'!H31/'Data Sheet'!H30, 0)</f>
        <v>0.42549636436896754</v>
      </c>
      <c r="I21" s="5">
        <f>IF('Data Sheet'!I30&gt;0, 'Data Sheet'!I31/'Data Sheet'!I30, 0)</f>
        <v>0.54540039308251231</v>
      </c>
      <c r="J21" s="5">
        <f>IF('Data Sheet'!J30&gt;0, 'Data Sheet'!J31/'Data Sheet'!J30, 0)</f>
        <v>0.6061137013829081</v>
      </c>
      <c r="K21" s="5">
        <f>IF('Data Sheet'!K30&gt;0, 'Data Sheet'!K31/'Data Sheet'!K30, 0)</f>
        <v>0.59914281191783658</v>
      </c>
    </row>
    <row r="22" spans="1:14">
      <c r="A22" t="s">
        <v>18</v>
      </c>
      <c r="B22" s="5">
        <f t="shared" ref="B22:L22" si="6">IF(B6&gt;0,B6/B4,0)</f>
        <v>0.16396066567542567</v>
      </c>
      <c r="C22" s="5">
        <f t="shared" ref="C22:K22" si="7">IF(C6&gt;0,C6/C4,0)</f>
        <v>0.16473354162902504</v>
      </c>
      <c r="D22" s="5">
        <f t="shared" si="7"/>
        <v>0.19094292186730347</v>
      </c>
      <c r="E22" s="5">
        <f t="shared" si="7"/>
        <v>0.19876258050895004</v>
      </c>
      <c r="F22" s="5">
        <f t="shared" si="7"/>
        <v>0.19043659414367697</v>
      </c>
      <c r="G22" s="5">
        <f t="shared" si="7"/>
        <v>0.19568163000977656</v>
      </c>
      <c r="H22" s="5">
        <f t="shared" si="7"/>
        <v>0.20566862514688591</v>
      </c>
      <c r="I22" s="5">
        <f t="shared" si="7"/>
        <v>0.22362856178317028</v>
      </c>
      <c r="J22" s="5">
        <f t="shared" si="7"/>
        <v>0.16506524798909192</v>
      </c>
      <c r="K22" s="5">
        <f t="shared" si="7"/>
        <v>0.18150466574597562</v>
      </c>
      <c r="L22" s="5">
        <f t="shared" si="6"/>
        <v>0.19464943491836062</v>
      </c>
    </row>
    <row r="23" spans="1:14">
      <c r="B23" s="5"/>
      <c r="C23" s="5"/>
      <c r="D23" s="5"/>
      <c r="E23" s="5"/>
      <c r="F23" s="5"/>
      <c r="G23" s="5"/>
      <c r="H23" s="5"/>
      <c r="I23" s="5"/>
      <c r="J23" s="5"/>
      <c r="K23" s="5"/>
      <c r="L23" s="5"/>
    </row>
    <row r="24" spans="1:14" s="2" customFormat="1">
      <c r="A24"/>
      <c r="B24" s="5"/>
      <c r="C24" s="5"/>
      <c r="D24" s="5"/>
      <c r="E24" s="5"/>
      <c r="F24" s="5"/>
      <c r="G24" s="5"/>
      <c r="H24" s="5"/>
      <c r="I24" s="5"/>
      <c r="J24" s="5"/>
      <c r="K24" s="5"/>
      <c r="L24" s="5"/>
      <c r="M24"/>
      <c r="N24"/>
    </row>
    <row r="25" spans="1:14" s="2" customFormat="1">
      <c r="A25" s="11"/>
      <c r="B25" s="12"/>
      <c r="C25" s="12"/>
      <c r="D25" s="12"/>
      <c r="E25" s="12"/>
      <c r="F25" s="12"/>
      <c r="G25" s="12" t="s">
        <v>19</v>
      </c>
      <c r="H25" s="12" t="s">
        <v>65</v>
      </c>
      <c r="I25" s="12" t="s">
        <v>66</v>
      </c>
      <c r="J25" s="12" t="s">
        <v>67</v>
      </c>
      <c r="K25" s="12" t="s">
        <v>68</v>
      </c>
      <c r="L25" s="13" t="s">
        <v>69</v>
      </c>
      <c r="M25" s="13" t="s">
        <v>20</v>
      </c>
      <c r="N25" s="13" t="s">
        <v>21</v>
      </c>
    </row>
    <row r="26" spans="1:14">
      <c r="G26" t="s">
        <v>22</v>
      </c>
      <c r="H26" s="5">
        <f>IF(B4=0,"",POWER($K4/B4,1/9)-1)</f>
        <v>0.12218814391590027</v>
      </c>
      <c r="I26" s="5">
        <f>IF(D4=0,"",POWER($K4/D4,1/7)-1)</f>
        <v>0.13434126653989709</v>
      </c>
      <c r="J26" s="5">
        <f>IF(F4=0,"",POWER($K4/F4,1/5)-1)</f>
        <v>0.15437362758332118</v>
      </c>
      <c r="K26" s="5">
        <f>IF(H4=0,"",POWER($K4/H4, 1/3)-1)</f>
        <v>0.19498032587151104</v>
      </c>
      <c r="L26" s="5">
        <f>IF(ISERROR(MAX(IF(J4=0,"",(K4-J4)/J4),IF(K4=0,"",(L4-K4)/K4))),"",MAX(IF(J4=0,"",(K4-J4)/J4),IF(K4=0,"",(L4-K4)/K4)))</f>
        <v>0.18512278497715556</v>
      </c>
      <c r="M26" s="16">
        <f>MAX(K26:L26)</f>
        <v>0.19498032587151104</v>
      </c>
      <c r="N26" s="16">
        <f>MIN(H26:L26)</f>
        <v>0.12218814391590027</v>
      </c>
    </row>
    <row r="27" spans="1:14">
      <c r="G27" t="s">
        <v>18</v>
      </c>
      <c r="H27" s="5">
        <f>IF(SUM(B4:$K$4)=0,"",SUMPRODUCT(B22:$K$22,B4:$K$4)/SUM(B4:$K$4))</f>
        <v>0.18810979747158416</v>
      </c>
      <c r="I27" s="5">
        <f>IF(SUM(E4:$K$4)=0,"",SUMPRODUCT(E22:$K$22,E4:$K$4)/SUM(E4:$K$4))</f>
        <v>0.19176754835815857</v>
      </c>
      <c r="J27" s="5">
        <f>IF(SUM(G4:$K$4)=0,"",SUMPRODUCT(G22:$K$22,G4:$K$4)/SUM(G4:$K$4))</f>
        <v>0.19110250858409072</v>
      </c>
      <c r="K27" s="5">
        <f>IF(SUM(I4:$K$4)=0, "", SUMPRODUCT(I22:$K$22,I4:$K$4)/SUM(I4:$K$4))</f>
        <v>0.18661844777173417</v>
      </c>
      <c r="L27" s="5">
        <f>L22</f>
        <v>0.19464943491836062</v>
      </c>
      <c r="M27" s="16">
        <f>MAX(K27:L27)</f>
        <v>0.19464943491836062</v>
      </c>
      <c r="N27" s="16">
        <f>MIN(H27:L27)</f>
        <v>0.18661844777173417</v>
      </c>
    </row>
    <row r="28" spans="1:14">
      <c r="G28" t="s">
        <v>23</v>
      </c>
      <c r="H28" s="6">
        <f>IF(ISERROR(AVERAGEIF(B14:$L14,"&gt;0")),"",AVERAGEIF(B14:$L14,"&gt;0"))</f>
        <v>62.050175397185257</v>
      </c>
      <c r="I28" s="6">
        <f>IF(ISERROR(AVERAGEIF(E14:$L14,"&gt;0")),"",AVERAGEIF(E14:$L14,"&gt;0"))</f>
        <v>66.989911700357055</v>
      </c>
      <c r="J28" s="6">
        <f>IF(ISERROR(AVERAGEIF(G14:$L14,"&gt;0")),"",AVERAGEIF(G14:$L14,"&gt;0"))</f>
        <v>71.686316327959375</v>
      </c>
      <c r="K28" s="6">
        <f>IF(ISERROR(AVERAGEIF(I14:$L14,"&gt;0")),"",AVERAGEIF(I14:$L14,"&gt;0"))</f>
        <v>76.153676929327276</v>
      </c>
      <c r="L28" s="6">
        <f>L14</f>
        <v>65.094689744799979</v>
      </c>
      <c r="M28" s="1">
        <f>MAX(K28:L28)</f>
        <v>76.153676929327276</v>
      </c>
      <c r="N28" s="1">
        <f>MIN(H28:L28)</f>
        <v>62.050175397185257</v>
      </c>
    </row>
    <row r="30" spans="1:14">
      <c r="A30" t="s">
        <v>117</v>
      </c>
      <c r="B30">
        <f>'Data Sheet'!B93*'Data Sheet'!B90</f>
        <v>52559.364000000009</v>
      </c>
      <c r="C30">
        <f>'Data Sheet'!C93*'Data Sheet'!C90</f>
        <v>77819.895999999993</v>
      </c>
      <c r="D30">
        <f>'Data Sheet'!D93*'Data Sheet'!D90</f>
        <v>83296.928</v>
      </c>
      <c r="E30">
        <f>'Data Sheet'!E93*'Data Sheet'!E90</f>
        <v>102970.12</v>
      </c>
      <c r="F30">
        <f>'Data Sheet'!F93*'Data Sheet'!F90</f>
        <v>107468.76800000001</v>
      </c>
      <c r="G30">
        <f>'Data Sheet'!G93*'Data Sheet'!G90</f>
        <v>143179.78400000001</v>
      </c>
      <c r="H30">
        <f>'Data Sheet'!H93*'Data Sheet'!H90</f>
        <v>159850.68</v>
      </c>
      <c r="I30">
        <f>'Data Sheet'!I93*'Data Sheet'!I90</f>
        <v>243387.40800000002</v>
      </c>
      <c r="J30">
        <f>'Data Sheet'!J93*'Data Sheet'!J90</f>
        <v>295428.804</v>
      </c>
      <c r="K30">
        <f>'Data Sheet'!K93*'Data Sheet'!K90</f>
        <v>264897.46799999999</v>
      </c>
    </row>
    <row r="31" spans="1:14">
      <c r="A31" t="s">
        <v>115</v>
      </c>
      <c r="B31">
        <f>'Data Sheet'!B59</f>
        <v>249.15</v>
      </c>
      <c r="C31">
        <f>'Data Sheet'!C59</f>
        <v>418.17</v>
      </c>
      <c r="D31">
        <f>'Data Sheet'!D59</f>
        <v>323.29000000000002</v>
      </c>
      <c r="E31">
        <f>'Data Sheet'!E59</f>
        <v>560.34</v>
      </c>
      <c r="F31">
        <f>'Data Sheet'!F59</f>
        <v>533.42999999999995</v>
      </c>
      <c r="G31">
        <f>'Data Sheet'!G59</f>
        <v>1319.6</v>
      </c>
      <c r="H31">
        <f>'Data Sheet'!H59</f>
        <v>1118.5</v>
      </c>
      <c r="I31">
        <f>'Data Sheet'!I59</f>
        <v>1093.1199999999999</v>
      </c>
      <c r="J31">
        <f>'Data Sheet'!J59</f>
        <v>1586.88</v>
      </c>
      <c r="K31">
        <f>'Data Sheet'!K59</f>
        <v>1932.62</v>
      </c>
    </row>
    <row r="32" spans="1:14">
      <c r="A32" t="s">
        <v>116</v>
      </c>
      <c r="B32">
        <f>'Data Sheet'!B69</f>
        <v>229</v>
      </c>
      <c r="C32">
        <f>'Data Sheet'!C69</f>
        <v>204.39</v>
      </c>
      <c r="D32">
        <f>'Data Sheet'!D69</f>
        <v>424.2</v>
      </c>
      <c r="E32">
        <f>'Data Sheet'!E69</f>
        <v>801.21</v>
      </c>
      <c r="F32">
        <f>'Data Sheet'!F69</f>
        <v>404.65</v>
      </c>
      <c r="G32">
        <f>'Data Sheet'!G69</f>
        <v>444.88</v>
      </c>
      <c r="H32">
        <f>'Data Sheet'!H69</f>
        <v>782.83</v>
      </c>
      <c r="I32">
        <f>'Data Sheet'!I69</f>
        <v>610.75</v>
      </c>
      <c r="J32">
        <f>'Data Sheet'!J69</f>
        <v>864.33</v>
      </c>
      <c r="K32">
        <f>'Data Sheet'!K69</f>
        <v>843.82</v>
      </c>
    </row>
    <row r="34" spans="1:11">
      <c r="A34" t="s">
        <v>118</v>
      </c>
      <c r="B34">
        <f>B30+(B31-B32)</f>
        <v>52579.51400000001</v>
      </c>
      <c r="C34">
        <f t="shared" ref="C34:K34" si="8">C30+(C31-C32)</f>
        <v>78033.675999999992</v>
      </c>
      <c r="D34">
        <f t="shared" si="8"/>
        <v>83196.017999999996</v>
      </c>
      <c r="E34">
        <f t="shared" si="8"/>
        <v>102729.25</v>
      </c>
      <c r="F34">
        <f t="shared" si="8"/>
        <v>107597.54800000001</v>
      </c>
      <c r="G34">
        <f t="shared" si="8"/>
        <v>144054.50400000002</v>
      </c>
      <c r="H34">
        <f t="shared" si="8"/>
        <v>160186.35</v>
      </c>
      <c r="I34">
        <f t="shared" si="8"/>
        <v>243869.77800000002</v>
      </c>
      <c r="J34">
        <f t="shared" si="8"/>
        <v>296151.35399999999</v>
      </c>
      <c r="K34">
        <f t="shared" si="8"/>
        <v>265986.26799999998</v>
      </c>
    </row>
    <row r="36" spans="1:11">
      <c r="A36" t="s">
        <v>119</v>
      </c>
      <c r="B36" s="29">
        <f>B34/B6</f>
        <v>26.241734625635072</v>
      </c>
      <c r="C36" s="29">
        <f t="shared" ref="C36:K36" si="9">C34/C6</f>
        <v>34.791575155268433</v>
      </c>
      <c r="D36" s="29">
        <f t="shared" si="9"/>
        <v>30.530200657604993</v>
      </c>
      <c r="E36" s="29">
        <f t="shared" si="9"/>
        <v>34.31445740473518</v>
      </c>
      <c r="F36" s="29">
        <f t="shared" si="9"/>
        <v>33.582151116881661</v>
      </c>
      <c r="G36" s="29">
        <f t="shared" si="9"/>
        <v>38.262098200768122</v>
      </c>
      <c r="H36" s="29">
        <f t="shared" si="9"/>
        <v>38.535791783141939</v>
      </c>
      <c r="I36" s="29">
        <f t="shared" si="9"/>
        <v>50.22443735068785</v>
      </c>
      <c r="J36" s="29">
        <f t="shared" si="9"/>
        <v>61.651831435108171</v>
      </c>
      <c r="K36" s="29">
        <f t="shared" si="9"/>
        <v>42.490905198854946</v>
      </c>
    </row>
    <row r="37" spans="1:11">
      <c r="A37" t="s">
        <v>120</v>
      </c>
      <c r="B37" s="29">
        <f>B34/B4</f>
        <v>4.3026122776969933</v>
      </c>
      <c r="C37" s="29">
        <f t="shared" ref="C37:K37" si="10">C34/C4</f>
        <v>5.7313393941797655</v>
      </c>
      <c r="D37" s="29">
        <f t="shared" si="10"/>
        <v>5.8295257187581671</v>
      </c>
      <c r="E37" s="29">
        <f t="shared" si="10"/>
        <v>6.8204301025296123</v>
      </c>
      <c r="F37" s="29">
        <f t="shared" si="10"/>
        <v>6.3952704827172209</v>
      </c>
      <c r="G37" s="29">
        <f t="shared" si="10"/>
        <v>7.4871897435204442</v>
      </c>
      <c r="H37" s="29">
        <f t="shared" si="10"/>
        <v>7.9256033149854659</v>
      </c>
      <c r="I37" s="29">
        <f t="shared" si="10"/>
        <v>11.231618691103263</v>
      </c>
      <c r="J37" s="29">
        <f t="shared" si="10"/>
        <v>10.176574844817823</v>
      </c>
      <c r="K37" s="29">
        <f t="shared" si="10"/>
        <v>7.7122975453621043</v>
      </c>
    </row>
    <row r="39" spans="1:11">
      <c r="A39" t="s">
        <v>121</v>
      </c>
      <c r="B39">
        <f>'Data Sheet'!B57+'Data Sheet'!B58</f>
        <v>4039.2200000000003</v>
      </c>
      <c r="C39">
        <f>'Data Sheet'!C57+'Data Sheet'!C58</f>
        <v>4742.3599999999997</v>
      </c>
      <c r="D39">
        <f>'Data Sheet'!D57+'Data Sheet'!D58</f>
        <v>6524.82</v>
      </c>
      <c r="E39">
        <f>'Data Sheet'!E57+'Data Sheet'!E58</f>
        <v>7603.89</v>
      </c>
      <c r="F39">
        <f>'Data Sheet'!F57+'Data Sheet'!F58</f>
        <v>8410.23</v>
      </c>
      <c r="G39">
        <f>'Data Sheet'!G57+'Data Sheet'!G58</f>
        <v>9470.5499999999993</v>
      </c>
      <c r="H39">
        <f>'Data Sheet'!H57+'Data Sheet'!H58</f>
        <v>10130.16</v>
      </c>
      <c r="I39">
        <f>'Data Sheet'!I57+'Data Sheet'!I58</f>
        <v>12806.29</v>
      </c>
      <c r="J39">
        <f>'Data Sheet'!J57+'Data Sheet'!J58</f>
        <v>13811.56</v>
      </c>
      <c r="K39">
        <f>'Data Sheet'!K57+'Data Sheet'!K58</f>
        <v>15992.23</v>
      </c>
    </row>
    <row r="40" spans="1:11">
      <c r="A40" t="s">
        <v>122</v>
      </c>
      <c r="B40">
        <f>B30/B39</f>
        <v>13.012255831571442</v>
      </c>
      <c r="C40">
        <f t="shared" ref="C40:K40" si="11">C30/C39</f>
        <v>16.409529432603176</v>
      </c>
      <c r="D40">
        <f t="shared" si="11"/>
        <v>12.766164890372455</v>
      </c>
      <c r="E40">
        <f t="shared" si="11"/>
        <v>13.541768752572695</v>
      </c>
      <c r="F40">
        <f t="shared" si="11"/>
        <v>12.778338761246722</v>
      </c>
      <c r="G40">
        <f t="shared" si="11"/>
        <v>15.118423322827082</v>
      </c>
      <c r="H40">
        <f t="shared" si="11"/>
        <v>15.779679689165818</v>
      </c>
      <c r="I40">
        <f t="shared" si="11"/>
        <v>19.0053019258505</v>
      </c>
      <c r="J40">
        <f t="shared" si="11"/>
        <v>21.389966375992287</v>
      </c>
      <c r="K40">
        <f t="shared" si="11"/>
        <v>16.564135708403395</v>
      </c>
    </row>
  </sheetData>
  <hyperlinks>
    <hyperlink ref="M1" r:id="rId1" xr:uid="{00000000-0004-0000-0000-000000000000}"/>
  </hyperlinks>
  <printOptions gridLines="1"/>
  <pageMargins left="0.7" right="0.7" top="0.75" bottom="0.75" header="0.3" footer="0.3"/>
  <pageSetup paperSize="9" orientation="landscape" horizontalDpi="300" verticalDpi="30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K22"/>
  <sheetViews>
    <sheetView zoomScale="80" zoomScaleNormal="80" workbookViewId="0">
      <pane xSplit="1" ySplit="3" topLeftCell="D4" activePane="bottomRight" state="frozen"/>
      <selection pane="topRight" activeCell="B1" sqref="B1"/>
      <selection pane="bottomLeft" activeCell="A4" sqref="A4"/>
      <selection pane="bottomRight" activeCell="K5" sqref="K5"/>
    </sheetView>
  </sheetViews>
  <sheetFormatPr defaultColWidth="8.85546875" defaultRowHeight="15"/>
  <cols>
    <col min="1" max="1" width="20.7109375" customWidth="1"/>
    <col min="2" max="11" width="13.42578125" bestFit="1" customWidth="1"/>
  </cols>
  <sheetData>
    <row r="1" spans="1:11" s="2" customFormat="1">
      <c r="A1" s="2" t="str">
        <f>'Profit &amp; Loss'!A1</f>
        <v>ASIAN PAINTS LTD</v>
      </c>
      <c r="E1" t="str">
        <f>UPDATE</f>
        <v/>
      </c>
      <c r="J1" s="2" t="s">
        <v>1</v>
      </c>
    </row>
    <row r="3" spans="1:11" s="2" customFormat="1">
      <c r="A3" s="11" t="s">
        <v>2</v>
      </c>
      <c r="B3" s="12">
        <f>'Data Sheet'!B41</f>
        <v>44286</v>
      </c>
      <c r="C3" s="12">
        <f>'Data Sheet'!C41</f>
        <v>44377</v>
      </c>
      <c r="D3" s="12">
        <f>'Data Sheet'!D41</f>
        <v>44469</v>
      </c>
      <c r="E3" s="12">
        <f>'Data Sheet'!E41</f>
        <v>44561</v>
      </c>
      <c r="F3" s="12">
        <f>'Data Sheet'!F41</f>
        <v>44651</v>
      </c>
      <c r="G3" s="12">
        <f>'Data Sheet'!G41</f>
        <v>44742</v>
      </c>
      <c r="H3" s="12">
        <f>'Data Sheet'!H41</f>
        <v>44834</v>
      </c>
      <c r="I3" s="12">
        <f>'Data Sheet'!I41</f>
        <v>44926</v>
      </c>
      <c r="J3" s="12">
        <f>'Data Sheet'!J41</f>
        <v>45016</v>
      </c>
      <c r="K3" s="12">
        <f>'Data Sheet'!K41</f>
        <v>45107</v>
      </c>
    </row>
    <row r="4" spans="1:11" s="2" customFormat="1">
      <c r="A4" s="2" t="s">
        <v>6</v>
      </c>
      <c r="B4" s="1">
        <f>'Data Sheet'!B42</f>
        <v>6651.43</v>
      </c>
      <c r="C4" s="1">
        <f>'Data Sheet'!C42</f>
        <v>5585.36</v>
      </c>
      <c r="D4" s="1">
        <f>'Data Sheet'!D42</f>
        <v>7096.01</v>
      </c>
      <c r="E4" s="1">
        <f>'Data Sheet'!E42</f>
        <v>8527.24</v>
      </c>
      <c r="F4" s="1">
        <f>'Data Sheet'!F42</f>
        <v>7892.67</v>
      </c>
      <c r="G4" s="1">
        <f>'Data Sheet'!G42</f>
        <v>8606.94</v>
      </c>
      <c r="H4" s="1">
        <f>'Data Sheet'!H42</f>
        <v>8457.57</v>
      </c>
      <c r="I4" s="1">
        <f>'Data Sheet'!I42</f>
        <v>8636.74</v>
      </c>
      <c r="J4" s="1">
        <f>'Data Sheet'!J42</f>
        <v>8787.34</v>
      </c>
      <c r="K4" s="1">
        <f>'Data Sheet'!K42</f>
        <v>9182.31</v>
      </c>
    </row>
    <row r="5" spans="1:11">
      <c r="A5" t="s">
        <v>7</v>
      </c>
      <c r="B5" s="6">
        <f>'Data Sheet'!B43</f>
        <v>5333.17</v>
      </c>
      <c r="C5" s="6">
        <f>'Data Sheet'!C43</f>
        <v>4674.32</v>
      </c>
      <c r="D5" s="6">
        <f>'Data Sheet'!D43</f>
        <v>6191.56</v>
      </c>
      <c r="E5" s="6">
        <f>'Data Sheet'!E43</f>
        <v>6984.93</v>
      </c>
      <c r="F5" s="6">
        <f>'Data Sheet'!F43</f>
        <v>6449.38</v>
      </c>
      <c r="G5" s="6">
        <f>'Data Sheet'!G43</f>
        <v>7050.99</v>
      </c>
      <c r="H5" s="6">
        <f>'Data Sheet'!H43</f>
        <v>7229.87</v>
      </c>
      <c r="I5" s="6">
        <f>'Data Sheet'!I43</f>
        <v>7025.31</v>
      </c>
      <c r="J5" s="6">
        <f>'Data Sheet'!J43</f>
        <v>6922.58</v>
      </c>
      <c r="K5" s="6">
        <f>'Data Sheet'!K43</f>
        <v>7061.02</v>
      </c>
    </row>
    <row r="6" spans="1:11" s="2" customFormat="1">
      <c r="A6" s="2" t="s">
        <v>8</v>
      </c>
      <c r="B6" s="1">
        <f>'Data Sheet'!B50</f>
        <v>1318.26</v>
      </c>
      <c r="C6" s="1">
        <f>'Data Sheet'!C50</f>
        <v>911.04</v>
      </c>
      <c r="D6" s="1">
        <f>'Data Sheet'!D50</f>
        <v>904.45</v>
      </c>
      <c r="E6" s="1">
        <f>'Data Sheet'!E50</f>
        <v>1542.31</v>
      </c>
      <c r="F6" s="1">
        <f>'Data Sheet'!F50</f>
        <v>1443.29</v>
      </c>
      <c r="G6" s="1">
        <f>'Data Sheet'!G50</f>
        <v>1555.95</v>
      </c>
      <c r="H6" s="1">
        <f>'Data Sheet'!H50</f>
        <v>1227.7</v>
      </c>
      <c r="I6" s="1">
        <f>'Data Sheet'!I50</f>
        <v>1611.43</v>
      </c>
      <c r="J6" s="1">
        <f>'Data Sheet'!J50</f>
        <v>1864.76</v>
      </c>
      <c r="K6" s="1">
        <f>'Data Sheet'!K50</f>
        <v>2121.29</v>
      </c>
    </row>
    <row r="7" spans="1:11">
      <c r="A7" t="s">
        <v>9</v>
      </c>
      <c r="B7" s="6">
        <f>'Data Sheet'!B44</f>
        <v>81.260000000000005</v>
      </c>
      <c r="C7" s="6">
        <f>'Data Sheet'!C44</f>
        <v>89.61</v>
      </c>
      <c r="D7" s="6">
        <f>'Data Sheet'!D44</f>
        <v>148.4</v>
      </c>
      <c r="E7" s="6">
        <f>'Data Sheet'!E44</f>
        <v>86.77</v>
      </c>
      <c r="F7" s="6">
        <f>'Data Sheet'!F44</f>
        <v>-26.38</v>
      </c>
      <c r="G7" s="6">
        <f>'Data Sheet'!G44</f>
        <v>87.52</v>
      </c>
      <c r="H7" s="6">
        <f>'Data Sheet'!H44</f>
        <v>117.56</v>
      </c>
      <c r="I7" s="6">
        <f>'Data Sheet'!I44</f>
        <v>122.21</v>
      </c>
      <c r="J7" s="6">
        <f>'Data Sheet'!J44</f>
        <v>104.17</v>
      </c>
      <c r="K7" s="6">
        <f>'Data Sheet'!K44</f>
        <v>227.74</v>
      </c>
    </row>
    <row r="8" spans="1:11">
      <c r="A8" t="s">
        <v>10</v>
      </c>
      <c r="B8" s="6">
        <f>'Data Sheet'!B45</f>
        <v>213.35</v>
      </c>
      <c r="C8" s="6">
        <f>'Data Sheet'!C45</f>
        <v>200.59</v>
      </c>
      <c r="D8" s="6">
        <f>'Data Sheet'!D45</f>
        <v>202.75</v>
      </c>
      <c r="E8" s="6">
        <f>'Data Sheet'!E45</f>
        <v>207.91</v>
      </c>
      <c r="F8" s="6">
        <f>'Data Sheet'!F45</f>
        <v>205.11</v>
      </c>
      <c r="G8" s="6">
        <f>'Data Sheet'!G45</f>
        <v>208.1</v>
      </c>
      <c r="H8" s="6">
        <f>'Data Sheet'!H45</f>
        <v>215.7</v>
      </c>
      <c r="I8" s="6">
        <f>'Data Sheet'!I45</f>
        <v>214.05</v>
      </c>
      <c r="J8" s="6">
        <f>'Data Sheet'!J45</f>
        <v>220.17</v>
      </c>
      <c r="K8" s="6">
        <f>'Data Sheet'!K45</f>
        <v>198.32</v>
      </c>
    </row>
    <row r="9" spans="1:11">
      <c r="A9" t="s">
        <v>11</v>
      </c>
      <c r="B9" s="6">
        <f>'Data Sheet'!B46</f>
        <v>29.86</v>
      </c>
      <c r="C9" s="6">
        <f>'Data Sheet'!C46</f>
        <v>21.48</v>
      </c>
      <c r="D9" s="6">
        <f>'Data Sheet'!D46</f>
        <v>23.86</v>
      </c>
      <c r="E9" s="6">
        <f>'Data Sheet'!E46</f>
        <v>27.45</v>
      </c>
      <c r="F9" s="6">
        <f>'Data Sheet'!F46</f>
        <v>22.62</v>
      </c>
      <c r="G9" s="6">
        <f>'Data Sheet'!G46</f>
        <v>28.75</v>
      </c>
      <c r="H9" s="6">
        <f>'Data Sheet'!H46</f>
        <v>35.4</v>
      </c>
      <c r="I9" s="6">
        <f>'Data Sheet'!I46</f>
        <v>41.39</v>
      </c>
      <c r="J9" s="6">
        <f>'Data Sheet'!J46</f>
        <v>38.909999999999997</v>
      </c>
      <c r="K9" s="6">
        <f>'Data Sheet'!K46</f>
        <v>45.75</v>
      </c>
    </row>
    <row r="10" spans="1:11">
      <c r="A10" t="s">
        <v>12</v>
      </c>
      <c r="B10" s="6">
        <f>'Data Sheet'!B47</f>
        <v>1156.31</v>
      </c>
      <c r="C10" s="6">
        <f>'Data Sheet'!C47</f>
        <v>778.58</v>
      </c>
      <c r="D10" s="6">
        <f>'Data Sheet'!D47</f>
        <v>826.24</v>
      </c>
      <c r="E10" s="6">
        <f>'Data Sheet'!E47</f>
        <v>1393.72</v>
      </c>
      <c r="F10" s="6">
        <f>'Data Sheet'!F47</f>
        <v>1189.18</v>
      </c>
      <c r="G10" s="6">
        <f>'Data Sheet'!G47</f>
        <v>1406.62</v>
      </c>
      <c r="H10" s="6">
        <f>'Data Sheet'!H47</f>
        <v>1094.1600000000001</v>
      </c>
      <c r="I10" s="6">
        <f>'Data Sheet'!I47</f>
        <v>1478.2</v>
      </c>
      <c r="J10" s="6">
        <f>'Data Sheet'!J47</f>
        <v>1709.85</v>
      </c>
      <c r="K10" s="6">
        <f>'Data Sheet'!K47</f>
        <v>2104.96</v>
      </c>
    </row>
    <row r="11" spans="1:11">
      <c r="A11" t="s">
        <v>13</v>
      </c>
      <c r="B11" s="6">
        <f>'Data Sheet'!B48</f>
        <v>286.42</v>
      </c>
      <c r="C11" s="6">
        <f>'Data Sheet'!C48</f>
        <v>204.28</v>
      </c>
      <c r="D11" s="6">
        <f>'Data Sheet'!D48</f>
        <v>221.07</v>
      </c>
      <c r="E11" s="6">
        <f>'Data Sheet'!E48</f>
        <v>362.43</v>
      </c>
      <c r="F11" s="6">
        <f>'Data Sheet'!F48</f>
        <v>315.13</v>
      </c>
      <c r="G11" s="6">
        <f>'Data Sheet'!G48</f>
        <v>370.59</v>
      </c>
      <c r="H11" s="6">
        <f>'Data Sheet'!H48</f>
        <v>290.33</v>
      </c>
      <c r="I11" s="6">
        <f>'Data Sheet'!I48</f>
        <v>381.14</v>
      </c>
      <c r="J11" s="6">
        <f>'Data Sheet'!J48</f>
        <v>451.44</v>
      </c>
      <c r="K11" s="6">
        <f>'Data Sheet'!K48</f>
        <v>530.12</v>
      </c>
    </row>
    <row r="12" spans="1:11" s="2" customFormat="1">
      <c r="A12" s="2" t="s">
        <v>14</v>
      </c>
      <c r="B12" s="1">
        <f>'Data Sheet'!B49</f>
        <v>852.13</v>
      </c>
      <c r="C12" s="1">
        <f>'Data Sheet'!C49</f>
        <v>568.5</v>
      </c>
      <c r="D12" s="1">
        <f>'Data Sheet'!D49</f>
        <v>595.96</v>
      </c>
      <c r="E12" s="1">
        <f>'Data Sheet'!E49</f>
        <v>1015.69</v>
      </c>
      <c r="F12" s="1">
        <f>'Data Sheet'!F49</f>
        <v>850.42</v>
      </c>
      <c r="G12" s="1">
        <f>'Data Sheet'!G49</f>
        <v>1016.93</v>
      </c>
      <c r="H12" s="1">
        <f>'Data Sheet'!H49</f>
        <v>782.71</v>
      </c>
      <c r="I12" s="1">
        <f>'Data Sheet'!I49</f>
        <v>1072.67</v>
      </c>
      <c r="J12" s="1">
        <f>'Data Sheet'!J49</f>
        <v>1234.1400000000001</v>
      </c>
      <c r="K12" s="1">
        <f>'Data Sheet'!K49</f>
        <v>1550.37</v>
      </c>
    </row>
    <row r="14" spans="1:11" s="2" customFormat="1">
      <c r="A14" s="2" t="s">
        <v>18</v>
      </c>
      <c r="B14" s="10">
        <f>IF(B4&gt;0,B6/B4,"")</f>
        <v>0.19819196774227496</v>
      </c>
      <c r="C14" s="10">
        <f t="shared" ref="C14:K14" si="0">IF(C4&gt;0,C6/C4,"")</f>
        <v>0.16311213601271896</v>
      </c>
      <c r="D14" s="10">
        <f t="shared" si="0"/>
        <v>0.12745895228445281</v>
      </c>
      <c r="E14" s="10">
        <f t="shared" si="0"/>
        <v>0.18086860461298146</v>
      </c>
      <c r="F14" s="10">
        <f t="shared" si="0"/>
        <v>0.18286460728752121</v>
      </c>
      <c r="G14" s="10">
        <f t="shared" si="0"/>
        <v>0.18077853453143625</v>
      </c>
      <c r="H14" s="10">
        <f t="shared" si="0"/>
        <v>0.14515989817406183</v>
      </c>
      <c r="I14" s="10">
        <f t="shared" si="0"/>
        <v>0.18657850068428597</v>
      </c>
      <c r="J14" s="10">
        <f t="shared" si="0"/>
        <v>0.21220983824456546</v>
      </c>
      <c r="K14" s="10">
        <f t="shared" si="0"/>
        <v>0.23101920976312063</v>
      </c>
    </row>
    <row r="22" s="23" customFormat="1"/>
  </sheetData>
  <hyperlinks>
    <hyperlink ref="J1"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K24"/>
  <sheetViews>
    <sheetView zoomScale="91" zoomScaleNormal="91" workbookViewId="0">
      <pane xSplit="1" ySplit="3" topLeftCell="B11" activePane="bottomRight" state="frozen"/>
      <selection activeCell="C4" sqref="C4"/>
      <selection pane="topRight" activeCell="C4" sqref="C4"/>
      <selection pane="bottomLeft" activeCell="C4" sqref="C4"/>
      <selection pane="bottomRight" activeCell="G23" sqref="G23"/>
    </sheetView>
  </sheetViews>
  <sheetFormatPr defaultColWidth="8.85546875" defaultRowHeight="15"/>
  <cols>
    <col min="1" max="1" width="22.85546875" bestFit="1" customWidth="1"/>
    <col min="2" max="2" width="13.42578125" customWidth="1"/>
    <col min="3" max="11" width="15.42578125" customWidth="1"/>
  </cols>
  <sheetData>
    <row r="1" spans="1:11" s="2" customFormat="1">
      <c r="A1" s="2" t="str">
        <f>'Profit &amp; Loss'!A1</f>
        <v>ASIAN PAINTS LTD</v>
      </c>
      <c r="E1" t="str">
        <f>UPDATE</f>
        <v/>
      </c>
      <c r="G1"/>
      <c r="J1" s="2" t="s">
        <v>1</v>
      </c>
    </row>
    <row r="2" spans="1:11">
      <c r="G2" s="2"/>
      <c r="H2" s="2"/>
    </row>
    <row r="3" spans="1:11">
      <c r="A3" s="11" t="s">
        <v>2</v>
      </c>
      <c r="B3" s="12">
        <f>'Data Sheet'!B56</f>
        <v>41729</v>
      </c>
      <c r="C3" s="12">
        <f>'Data Sheet'!C56</f>
        <v>42094</v>
      </c>
      <c r="D3" s="12">
        <f>'Data Sheet'!D56</f>
        <v>42460</v>
      </c>
      <c r="E3" s="12">
        <f>'Data Sheet'!E56</f>
        <v>42825</v>
      </c>
      <c r="F3" s="12">
        <f>'Data Sheet'!F56</f>
        <v>43190</v>
      </c>
      <c r="G3" s="12">
        <f>'Data Sheet'!G56</f>
        <v>43555</v>
      </c>
      <c r="H3" s="12">
        <f>'Data Sheet'!H56</f>
        <v>43921</v>
      </c>
      <c r="I3" s="12">
        <f>'Data Sheet'!I56</f>
        <v>44286</v>
      </c>
      <c r="J3" s="12">
        <f>'Data Sheet'!J56</f>
        <v>44651</v>
      </c>
      <c r="K3" s="12">
        <f>'Data Sheet'!K56</f>
        <v>45016</v>
      </c>
    </row>
    <row r="4" spans="1:11">
      <c r="A4" t="s">
        <v>24</v>
      </c>
      <c r="B4" s="14">
        <f>'Data Sheet'!B57</f>
        <v>95.92</v>
      </c>
      <c r="C4" s="14">
        <f>'Data Sheet'!C57</f>
        <v>95.92</v>
      </c>
      <c r="D4" s="14">
        <f>'Data Sheet'!D57</f>
        <v>95.92</v>
      </c>
      <c r="E4" s="14">
        <f>'Data Sheet'!E57</f>
        <v>95.92</v>
      </c>
      <c r="F4" s="14">
        <f>'Data Sheet'!F57</f>
        <v>95.92</v>
      </c>
      <c r="G4" s="14">
        <f>'Data Sheet'!G57</f>
        <v>95.92</v>
      </c>
      <c r="H4" s="14">
        <f>'Data Sheet'!H57</f>
        <v>95.92</v>
      </c>
      <c r="I4" s="14">
        <f>'Data Sheet'!I57</f>
        <v>95.92</v>
      </c>
      <c r="J4" s="14">
        <f>'Data Sheet'!J57</f>
        <v>95.92</v>
      </c>
      <c r="K4" s="14">
        <f>'Data Sheet'!K57</f>
        <v>95.92</v>
      </c>
    </row>
    <row r="5" spans="1:11">
      <c r="A5" t="s">
        <v>25</v>
      </c>
      <c r="B5" s="14">
        <f>'Data Sheet'!B58</f>
        <v>3943.3</v>
      </c>
      <c r="C5" s="14">
        <f>'Data Sheet'!C58</f>
        <v>4646.4399999999996</v>
      </c>
      <c r="D5" s="14">
        <f>'Data Sheet'!D58</f>
        <v>6428.9</v>
      </c>
      <c r="E5" s="14">
        <f>'Data Sheet'!E58</f>
        <v>7507.97</v>
      </c>
      <c r="F5" s="14">
        <f>'Data Sheet'!F58</f>
        <v>8314.31</v>
      </c>
      <c r="G5" s="14">
        <f>'Data Sheet'!G58</f>
        <v>9374.6299999999992</v>
      </c>
      <c r="H5" s="14">
        <f>'Data Sheet'!H58</f>
        <v>10034.24</v>
      </c>
      <c r="I5" s="14">
        <f>'Data Sheet'!I58</f>
        <v>12710.37</v>
      </c>
      <c r="J5" s="14">
        <f>'Data Sheet'!J58</f>
        <v>13715.64</v>
      </c>
      <c r="K5" s="14">
        <f>'Data Sheet'!K58</f>
        <v>15896.31</v>
      </c>
    </row>
    <row r="6" spans="1:11">
      <c r="A6" t="s">
        <v>71</v>
      </c>
      <c r="B6" s="14">
        <f>'Data Sheet'!B59</f>
        <v>249.15</v>
      </c>
      <c r="C6" s="14">
        <f>'Data Sheet'!C59</f>
        <v>418.17</v>
      </c>
      <c r="D6" s="14">
        <f>'Data Sheet'!D59</f>
        <v>323.29000000000002</v>
      </c>
      <c r="E6" s="14">
        <f>'Data Sheet'!E59</f>
        <v>560.34</v>
      </c>
      <c r="F6" s="14">
        <f>'Data Sheet'!F59</f>
        <v>533.42999999999995</v>
      </c>
      <c r="G6" s="14">
        <f>'Data Sheet'!G59</f>
        <v>1319.6</v>
      </c>
      <c r="H6" s="14">
        <f>'Data Sheet'!H59</f>
        <v>1118.5</v>
      </c>
      <c r="I6" s="14">
        <f>'Data Sheet'!I59</f>
        <v>1093.1199999999999</v>
      </c>
      <c r="J6" s="14">
        <f>'Data Sheet'!J59</f>
        <v>1586.88</v>
      </c>
      <c r="K6" s="14">
        <f>'Data Sheet'!K59</f>
        <v>1932.62</v>
      </c>
    </row>
    <row r="7" spans="1:11">
      <c r="A7" t="s">
        <v>72</v>
      </c>
      <c r="B7" s="14">
        <f>'Data Sheet'!B60</f>
        <v>3787.03</v>
      </c>
      <c r="C7" s="14">
        <f>'Data Sheet'!C60</f>
        <v>3753.97</v>
      </c>
      <c r="D7" s="14">
        <f>'Data Sheet'!D60</f>
        <v>3710.92</v>
      </c>
      <c r="E7" s="14">
        <f>'Data Sheet'!E60</f>
        <v>4240.96</v>
      </c>
      <c r="F7" s="14">
        <f>'Data Sheet'!F60</f>
        <v>4819.82</v>
      </c>
      <c r="G7" s="14">
        <f>'Data Sheet'!G60</f>
        <v>5458.69</v>
      </c>
      <c r="H7" s="14">
        <f>'Data Sheet'!H60</f>
        <v>4889.3100000000004</v>
      </c>
      <c r="I7" s="14">
        <f>'Data Sheet'!I60</f>
        <v>6455.93</v>
      </c>
      <c r="J7" s="14">
        <f>'Data Sheet'!J60</f>
        <v>7559.99</v>
      </c>
      <c r="K7" s="14">
        <f>'Data Sheet'!K60</f>
        <v>7854.48</v>
      </c>
    </row>
    <row r="8" spans="1:11" s="2" customFormat="1">
      <c r="A8" s="2" t="s">
        <v>26</v>
      </c>
      <c r="B8" s="15">
        <f>'Data Sheet'!B61</f>
        <v>8075.4</v>
      </c>
      <c r="C8" s="15">
        <f>'Data Sheet'!C61</f>
        <v>8914.5</v>
      </c>
      <c r="D8" s="15">
        <f>'Data Sheet'!D61</f>
        <v>10559.03</v>
      </c>
      <c r="E8" s="15">
        <f>'Data Sheet'!E61</f>
        <v>12405.19</v>
      </c>
      <c r="F8" s="15">
        <f>'Data Sheet'!F61</f>
        <v>13763.48</v>
      </c>
      <c r="G8" s="15">
        <f>'Data Sheet'!G61</f>
        <v>16248.84</v>
      </c>
      <c r="H8" s="15">
        <f>'Data Sheet'!H61</f>
        <v>16137.97</v>
      </c>
      <c r="I8" s="15">
        <f>'Data Sheet'!I61</f>
        <v>20355.34</v>
      </c>
      <c r="J8" s="15">
        <f>'Data Sheet'!J61</f>
        <v>22958.43</v>
      </c>
      <c r="K8" s="15">
        <f>'Data Sheet'!K61</f>
        <v>25779.33</v>
      </c>
    </row>
    <row r="9" spans="1:11" s="2" customFormat="1">
      <c r="B9" s="15"/>
      <c r="C9" s="15"/>
      <c r="D9" s="15"/>
      <c r="E9" s="15"/>
      <c r="F9" s="15"/>
      <c r="G9" s="15"/>
      <c r="H9" s="15"/>
      <c r="I9" s="15"/>
      <c r="J9" s="15"/>
      <c r="K9" s="15"/>
    </row>
    <row r="10" spans="1:11">
      <c r="A10" t="s">
        <v>27</v>
      </c>
      <c r="B10" s="14">
        <f>'Data Sheet'!B62</f>
        <v>2561.58</v>
      </c>
      <c r="C10" s="14">
        <f>'Data Sheet'!C62</f>
        <v>2660.04</v>
      </c>
      <c r="D10" s="14">
        <f>'Data Sheet'!D62</f>
        <v>3416.35</v>
      </c>
      <c r="E10" s="14">
        <f>'Data Sheet'!E62</f>
        <v>3303.74</v>
      </c>
      <c r="F10" s="14">
        <f>'Data Sheet'!F62</f>
        <v>3732.24</v>
      </c>
      <c r="G10" s="14">
        <f>'Data Sheet'!G62</f>
        <v>6496.56</v>
      </c>
      <c r="H10" s="14">
        <f>'Data Sheet'!H62</f>
        <v>6272.31</v>
      </c>
      <c r="I10" s="14">
        <f>'Data Sheet'!I62</f>
        <v>5858.52</v>
      </c>
      <c r="J10" s="14">
        <f>'Data Sheet'!J62</f>
        <v>5519.06</v>
      </c>
      <c r="K10" s="14">
        <f>'Data Sheet'!K62</f>
        <v>5770.46</v>
      </c>
    </row>
    <row r="11" spans="1:11">
      <c r="A11" t="s">
        <v>28</v>
      </c>
      <c r="B11" s="14">
        <f>'Data Sheet'!B63</f>
        <v>71.599999999999994</v>
      </c>
      <c r="C11" s="14">
        <f>'Data Sheet'!C63</f>
        <v>196</v>
      </c>
      <c r="D11" s="14">
        <f>'Data Sheet'!D63</f>
        <v>106.59</v>
      </c>
      <c r="E11" s="14">
        <f>'Data Sheet'!E63</f>
        <v>257.54000000000002</v>
      </c>
      <c r="F11" s="14">
        <f>'Data Sheet'!F63</f>
        <v>1405.11</v>
      </c>
      <c r="G11" s="14">
        <f>'Data Sheet'!G63</f>
        <v>209.67</v>
      </c>
      <c r="H11" s="14">
        <f>'Data Sheet'!H63</f>
        <v>140.24</v>
      </c>
      <c r="I11" s="14">
        <f>'Data Sheet'!I63</f>
        <v>182.98</v>
      </c>
      <c r="J11" s="14">
        <f>'Data Sheet'!J63</f>
        <v>426.43</v>
      </c>
      <c r="K11" s="14">
        <f>'Data Sheet'!K63</f>
        <v>1019.59</v>
      </c>
    </row>
    <row r="12" spans="1:11">
      <c r="A12" t="s">
        <v>29</v>
      </c>
      <c r="B12" s="14">
        <f>'Data Sheet'!B64</f>
        <v>1423.55</v>
      </c>
      <c r="C12" s="14">
        <f>'Data Sheet'!C64</f>
        <v>1587.79</v>
      </c>
      <c r="D12" s="14">
        <f>'Data Sheet'!D64</f>
        <v>2712.13</v>
      </c>
      <c r="E12" s="14">
        <f>'Data Sheet'!E64</f>
        <v>2651.99</v>
      </c>
      <c r="F12" s="14">
        <f>'Data Sheet'!F64</f>
        <v>2140.6999999999998</v>
      </c>
      <c r="G12" s="14">
        <f>'Data Sheet'!G64</f>
        <v>2568.58</v>
      </c>
      <c r="H12" s="14">
        <f>'Data Sheet'!H64</f>
        <v>2018.85</v>
      </c>
      <c r="I12" s="14">
        <f>'Data Sheet'!I64</f>
        <v>4736.8</v>
      </c>
      <c r="J12" s="14">
        <f>'Data Sheet'!J64</f>
        <v>3247.53</v>
      </c>
      <c r="K12" s="14">
        <f>'Data Sheet'!K64</f>
        <v>4261.71</v>
      </c>
    </row>
    <row r="13" spans="1:11">
      <c r="A13" t="s">
        <v>73</v>
      </c>
      <c r="B13" s="14">
        <f>'Data Sheet'!B65</f>
        <v>4018.67</v>
      </c>
      <c r="C13" s="14">
        <f>'Data Sheet'!C65</f>
        <v>4470.67</v>
      </c>
      <c r="D13" s="14">
        <f>'Data Sheet'!D65</f>
        <v>4323.96</v>
      </c>
      <c r="E13" s="14">
        <f>'Data Sheet'!E65</f>
        <v>6191.92</v>
      </c>
      <c r="F13" s="14">
        <f>'Data Sheet'!F65</f>
        <v>6485.43</v>
      </c>
      <c r="G13" s="14">
        <f>'Data Sheet'!G65</f>
        <v>6974.03</v>
      </c>
      <c r="H13" s="14">
        <f>'Data Sheet'!H65</f>
        <v>7706.57</v>
      </c>
      <c r="I13" s="14">
        <f>'Data Sheet'!I65</f>
        <v>9577.0400000000009</v>
      </c>
      <c r="J13" s="14">
        <f>'Data Sheet'!J65</f>
        <v>13765.41</v>
      </c>
      <c r="K13" s="14">
        <f>'Data Sheet'!K65</f>
        <v>14727.57</v>
      </c>
    </row>
    <row r="14" spans="1:11" s="2" customFormat="1">
      <c r="A14" s="2" t="s">
        <v>26</v>
      </c>
      <c r="B14" s="14">
        <f>'Data Sheet'!B66</f>
        <v>8075.4</v>
      </c>
      <c r="C14" s="14">
        <f>'Data Sheet'!C66</f>
        <v>8914.5</v>
      </c>
      <c r="D14" s="14">
        <f>'Data Sheet'!D66</f>
        <v>10559.03</v>
      </c>
      <c r="E14" s="14">
        <f>'Data Sheet'!E66</f>
        <v>12405.19</v>
      </c>
      <c r="F14" s="14">
        <f>'Data Sheet'!F66</f>
        <v>13763.48</v>
      </c>
      <c r="G14" s="14">
        <f>'Data Sheet'!G66</f>
        <v>16248.84</v>
      </c>
      <c r="H14" s="14">
        <f>'Data Sheet'!H66</f>
        <v>16137.97</v>
      </c>
      <c r="I14" s="14">
        <f>'Data Sheet'!I66</f>
        <v>20355.34</v>
      </c>
      <c r="J14" s="14">
        <f>'Data Sheet'!J66</f>
        <v>22958.43</v>
      </c>
      <c r="K14" s="14">
        <f>'Data Sheet'!K66</f>
        <v>25779.33</v>
      </c>
    </row>
    <row r="15" spans="1:11">
      <c r="B15" s="4"/>
      <c r="C15" s="4"/>
      <c r="D15" s="4"/>
      <c r="E15" s="4"/>
      <c r="F15" s="4"/>
      <c r="G15" s="4"/>
      <c r="H15" s="4"/>
      <c r="I15" s="4"/>
      <c r="J15" s="4"/>
      <c r="K15" s="4"/>
    </row>
    <row r="16" spans="1:11">
      <c r="A16" t="s">
        <v>30</v>
      </c>
      <c r="B16" s="4">
        <f>B13-B7</f>
        <v>231.63999999999987</v>
      </c>
      <c r="C16" s="4">
        <f t="shared" ref="C16:K16" si="0">C13-C7</f>
        <v>716.70000000000027</v>
      </c>
      <c r="D16" s="4">
        <f t="shared" si="0"/>
        <v>613.04</v>
      </c>
      <c r="E16" s="4">
        <f t="shared" si="0"/>
        <v>1950.96</v>
      </c>
      <c r="F16" s="4">
        <f t="shared" si="0"/>
        <v>1665.6100000000006</v>
      </c>
      <c r="G16" s="4">
        <f t="shared" si="0"/>
        <v>1515.3400000000001</v>
      </c>
      <c r="H16" s="4">
        <f t="shared" si="0"/>
        <v>2817.2599999999993</v>
      </c>
      <c r="I16" s="4">
        <f t="shared" si="0"/>
        <v>3121.1100000000006</v>
      </c>
      <c r="J16" s="4">
        <f t="shared" si="0"/>
        <v>6205.42</v>
      </c>
      <c r="K16" s="4">
        <f t="shared" si="0"/>
        <v>6873.09</v>
      </c>
    </row>
    <row r="17" spans="1:11">
      <c r="A17" t="s">
        <v>44</v>
      </c>
      <c r="B17" s="4">
        <f>'Data Sheet'!B67</f>
        <v>1110.3</v>
      </c>
      <c r="C17" s="4">
        <f>'Data Sheet'!C67</f>
        <v>1182.07</v>
      </c>
      <c r="D17" s="4">
        <f>'Data Sheet'!D67</f>
        <v>1186.8399999999999</v>
      </c>
      <c r="E17" s="4">
        <f>'Data Sheet'!E67</f>
        <v>1446.6</v>
      </c>
      <c r="F17" s="4">
        <f>'Data Sheet'!F67</f>
        <v>1730.63</v>
      </c>
      <c r="G17" s="4">
        <f>'Data Sheet'!G67</f>
        <v>1907.33</v>
      </c>
      <c r="H17" s="4">
        <f>'Data Sheet'!H67</f>
        <v>1795.22</v>
      </c>
      <c r="I17" s="4">
        <f>'Data Sheet'!I67</f>
        <v>2602.17</v>
      </c>
      <c r="J17" s="4">
        <f>'Data Sheet'!J67</f>
        <v>3871.44</v>
      </c>
      <c r="K17" s="4">
        <f>'Data Sheet'!K67</f>
        <v>4636.9399999999996</v>
      </c>
    </row>
    <row r="18" spans="1:11">
      <c r="A18" t="s">
        <v>45</v>
      </c>
      <c r="B18" s="4">
        <f>'Data Sheet'!B68</f>
        <v>2069.86</v>
      </c>
      <c r="C18" s="4">
        <f>'Data Sheet'!C68</f>
        <v>2258.52</v>
      </c>
      <c r="D18" s="4">
        <f>'Data Sheet'!D68</f>
        <v>1998.24</v>
      </c>
      <c r="E18" s="4">
        <f>'Data Sheet'!E68</f>
        <v>2626.94</v>
      </c>
      <c r="F18" s="4">
        <f>'Data Sheet'!F68</f>
        <v>2658.31</v>
      </c>
      <c r="G18" s="4">
        <f>'Data Sheet'!G68</f>
        <v>3149.86</v>
      </c>
      <c r="H18" s="4">
        <f>'Data Sheet'!H68</f>
        <v>3389.81</v>
      </c>
      <c r="I18" s="4">
        <f>'Data Sheet'!I68</f>
        <v>3798.6</v>
      </c>
      <c r="J18" s="4">
        <f>'Data Sheet'!J68</f>
        <v>6152.98</v>
      </c>
      <c r="K18" s="4">
        <f>'Data Sheet'!K68</f>
        <v>6210.64</v>
      </c>
    </row>
    <row r="20" spans="1:11">
      <c r="A20" t="s">
        <v>46</v>
      </c>
      <c r="B20" s="4">
        <f>IF('Profit &amp; Loss'!B4&gt;0,'Balance Sheet'!B17/('Profit &amp; Loss'!B4/365),0)</f>
        <v>33.162621099033821</v>
      </c>
      <c r="C20" s="4">
        <f>IF('Profit &amp; Loss'!C4&gt;0,'Balance Sheet'!C17/('Profit &amp; Loss'!C4/365),0)</f>
        <v>31.68911574218928</v>
      </c>
      <c r="D20" s="4">
        <f>IF('Profit &amp; Loss'!D4&gt;0,'Balance Sheet'!D17/('Profit &amp; Loss'!D4/365),0)</f>
        <v>30.353985463325831</v>
      </c>
      <c r="E20" s="4">
        <f>IF('Profit &amp; Loss'!E4&gt;0,'Balance Sheet'!E17/('Profit &amp; Loss'!E4/365),0)</f>
        <v>35.05572636816251</v>
      </c>
      <c r="F20" s="4">
        <f>IF('Profit &amp; Loss'!F4&gt;0,'Balance Sheet'!F17/('Profit &amp; Loss'!F4/365),0)</f>
        <v>37.545131964896541</v>
      </c>
      <c r="G20" s="4">
        <f>IF('Profit &amp; Loss'!G4&gt;0,'Balance Sheet'!G17/('Profit &amp; Loss'!G4/365),0)</f>
        <v>36.18351071432469</v>
      </c>
      <c r="H20" s="4">
        <f>IF('Profit &amp; Loss'!H4&gt;0,'Balance Sheet'!H17/('Profit &amp; Loss'!H4/365),0)</f>
        <v>32.420325313872226</v>
      </c>
      <c r="I20" s="4">
        <f>IF('Profit &amp; Loss'!I4&gt;0,'Balance Sheet'!I17/('Profit &amp; Loss'!I4/365),0)</f>
        <v>43.743436472235949</v>
      </c>
      <c r="J20" s="4">
        <f>IF('Profit &amp; Loss'!J4&gt;0,'Balance Sheet'!J17/('Profit &amp; Loss'!J4/365),0)</f>
        <v>48.557163121347244</v>
      </c>
      <c r="K20" s="4">
        <f>IF('Profit &amp; Loss'!K4&gt;0,'Balance Sheet'!K17/('Profit &amp; Loss'!K4/365),0)</f>
        <v>49.073711044725222</v>
      </c>
    </row>
    <row r="21" spans="1:11">
      <c r="A21" t="s">
        <v>47</v>
      </c>
      <c r="B21" s="4">
        <f>IF('Balance Sheet'!B18&gt;0,'Profit &amp; Loss'!B4/'Balance Sheet'!B18,0)</f>
        <v>5.9039596880948473</v>
      </c>
      <c r="C21" s="4">
        <f>IF('Balance Sheet'!C18&gt;0,'Profit &amp; Loss'!C4/'Balance Sheet'!C18,0)</f>
        <v>6.0283991286329099</v>
      </c>
      <c r="D21" s="4">
        <f>IF('Balance Sheet'!D18&gt;0,'Profit &amp; Loss'!D4/'Balance Sheet'!D18,0)</f>
        <v>7.142029986388021</v>
      </c>
      <c r="E21" s="4">
        <f>IF('Balance Sheet'!E18&gt;0,'Profit &amp; Loss'!E4/'Balance Sheet'!E18,0)</f>
        <v>5.7336635020213631</v>
      </c>
      <c r="F21" s="4">
        <f>IF('Balance Sheet'!F18&gt;0,'Profit &amp; Loss'!F4/'Balance Sheet'!F18,0)</f>
        <v>6.3290398787199385</v>
      </c>
      <c r="G21" s="4">
        <f>IF('Balance Sheet'!G18&gt;0,'Profit &amp; Loss'!G4/'Balance Sheet'!G18,0)</f>
        <v>6.1082492555224679</v>
      </c>
      <c r="H21" s="4">
        <f>IF('Balance Sheet'!H18&gt;0,'Profit &amp; Loss'!H4/'Balance Sheet'!H18,0)</f>
        <v>5.9623548222466747</v>
      </c>
      <c r="I21" s="4">
        <f>IF('Balance Sheet'!I18&gt;0,'Profit &amp; Loss'!I4/'Balance Sheet'!I18,0)</f>
        <v>5.7159979992628864</v>
      </c>
      <c r="J21" s="4">
        <f>IF('Balance Sheet'!J18&gt;0,'Profit &amp; Loss'!J4/'Balance Sheet'!J18,0)</f>
        <v>4.7296236945350056</v>
      </c>
      <c r="K21" s="4">
        <f>IF('Balance Sheet'!K18&gt;0,'Profit &amp; Loss'!K4/'Balance Sheet'!K18,0)</f>
        <v>5.5531458915667296</v>
      </c>
    </row>
    <row r="23" spans="1:11" s="2" customFormat="1">
      <c r="A23" s="2" t="s">
        <v>59</v>
      </c>
      <c r="B23" s="10">
        <f>IF(SUM('Balance Sheet'!B4:B5)&gt;0,'Profit &amp; Loss'!B12/SUM('Balance Sheet'!B4:B5),"")</f>
        <v>0.30174390105020271</v>
      </c>
      <c r="C23" s="10">
        <f>IF(SUM('Balance Sheet'!C4:C5)&gt;0,'Profit &amp; Loss'!C12/SUM('Balance Sheet'!C4:C5),"")</f>
        <v>0.29418896920520587</v>
      </c>
      <c r="D23" s="10">
        <f>IF(SUM('Balance Sheet'!D4:D5)&gt;0,'Profit &amp; Loss'!D12/SUM('Balance Sheet'!D4:D5),"")</f>
        <v>0.26746484960504657</v>
      </c>
      <c r="E23" s="10">
        <f>IF(SUM('Balance Sheet'!E4:E5)&gt;0,'Profit &amp; Loss'!E12/SUM('Balance Sheet'!E4:E5),"")</f>
        <v>0.25505760867135113</v>
      </c>
      <c r="F23" s="10">
        <f>IF(SUM('Balance Sheet'!F4:F5)&gt;0,'Profit &amp; Loss'!F12/SUM('Balance Sheet'!F4:F5),"")</f>
        <v>0.24243451130349589</v>
      </c>
      <c r="G23" s="10">
        <f>IF(SUM('Balance Sheet'!G4:G5)&gt;0,'Profit &amp; Loss'!G12/SUM('Balance Sheet'!G4:G5),"")</f>
        <v>0.22764464577030905</v>
      </c>
      <c r="H23" s="10">
        <f>IF(SUM('Balance Sheet'!H4:H5)&gt;0,'Profit &amp; Loss'!H12/SUM('Balance Sheet'!H4:H5),"")</f>
        <v>0.26704119184692049</v>
      </c>
      <c r="I23" s="10">
        <f>IF(SUM('Balance Sheet'!I4:I5)&gt;0,'Profit &amp; Loss'!I12/SUM('Balance Sheet'!I4:I5),"")</f>
        <v>0.24513656960759125</v>
      </c>
      <c r="J23" s="10">
        <f>IF(SUM('Balance Sheet'!J4:J5)&gt;0,'Profit &amp; Loss'!J12/SUM('Balance Sheet'!J4:J5),"")</f>
        <v>0.21942271546443706</v>
      </c>
      <c r="K23" s="10">
        <f>IF(SUM('Balance Sheet'!K4:K5)&gt;0,'Profit &amp; Loss'!K12/SUM('Balance Sheet'!K4:K5),"")</f>
        <v>0.25677782273016331</v>
      </c>
    </row>
    <row r="24" spans="1:11" s="2" customFormat="1">
      <c r="A24" s="2" t="s">
        <v>60</v>
      </c>
      <c r="B24" s="10"/>
      <c r="C24" s="10">
        <f>IF((B4+B5+B6+C4+C5+C6)&gt;0,('Profit &amp; Loss'!C10+'Profit &amp; Loss'!C9)*2/(B4+B5+B6+C4+C5+C6),"")</f>
        <v>0.44854110002222475</v>
      </c>
      <c r="D24" s="10">
        <f>IF((C4+C5+C6+D4+D5+D6)&gt;0,('Profit &amp; Loss'!D10+'Profit &amp; Loss'!D9)*2/(C4+C5+C6+D4+D5+D6),"")</f>
        <v>0.44348902123804196</v>
      </c>
      <c r="E24" s="10">
        <f>IF((D4+D5+D6+E4+E5+E6)&gt;0,('Profit &amp; Loss'!E10+'Profit &amp; Loss'!E9)*2/(D4+D5+D6+E4+E5+E6),"")</f>
        <v>0.3992542135336663</v>
      </c>
      <c r="F24" s="10">
        <f>IF((E4+E5+E6+F4+F5+F6)&gt;0,('Profit &amp; Loss'!F10+'Profit &amp; Loss'!F9)*2/(E4+E5+E6+F4+F5+F6),"")</f>
        <v>0.37175244872395136</v>
      </c>
      <c r="G24" s="10">
        <f>IF((F4+F5+F6+G4+G5+G6)&gt;0,('Profit &amp; Loss'!G10+'Profit &amp; Loss'!G9)*2/(F4+F5+F6+G4+G5+G6),"")</f>
        <v>0.34626562230000191</v>
      </c>
      <c r="H24" s="10">
        <f>IF((G4+G5+G6+H4+H5+H6)&gt;0,('Profit &amp; Loss'!H10+'Profit &amp; Loss'!H9)*2/(G4+G5+G6+H4+H5+H6),"")</f>
        <v>0.33861810143106641</v>
      </c>
      <c r="I24" s="10">
        <f>IF((H4+H5+H6+I4+I5+I6)&gt;0,('Profit &amp; Loss'!I10+'Profit &amp; Loss'!I9)*2/(H4+H5+H6+I4+I5+I6),"")</f>
        <v>0.34960774325823019</v>
      </c>
      <c r="J24" s="10">
        <f>IF((I4+I5+I6+J4+J5+J6)&gt;0,('Profit &amp; Loss'!J10+'Profit &amp; Loss'!J9)*2/(I4+I5+I6+J4+J5+J6),"")</f>
        <v>0.29238527741796749</v>
      </c>
      <c r="K24" s="10">
        <f>IF((J4+J5+J6+K4+K5+K6)&gt;0,('Profit &amp; Loss'!K10+'Profit &amp; Loss'!K9)*2/(J4+J5+J6+K4+K5+K6),"")</f>
        <v>0.35010228581871716</v>
      </c>
    </row>
  </sheetData>
  <hyperlinks>
    <hyperlink ref="J1" r:id="rId1" xr:uid="{00000000-0004-0000-0200-000000000000}"/>
  </hyperlinks>
  <printOptions gridLines="1"/>
  <pageMargins left="0.7" right="0.7" top="0.75" bottom="0.75" header="0.3" footer="0.3"/>
  <pageSetup paperSize="9" orientation="landscape"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K8"/>
  <sheetViews>
    <sheetView zoomScale="71" zoomScaleNormal="71" zoomScalePageLayoutView="150" workbookViewId="0">
      <pane xSplit="1" ySplit="3" topLeftCell="E4" activePane="bottomRight" state="frozen"/>
      <selection pane="topRight" activeCell="B1" sqref="B1"/>
      <selection pane="bottomLeft" activeCell="A4" sqref="A4"/>
      <selection pane="bottomRight" activeCell="K5" sqref="K5"/>
    </sheetView>
  </sheetViews>
  <sheetFormatPr defaultColWidth="8.85546875" defaultRowHeight="15"/>
  <cols>
    <col min="1" max="1" width="26.85546875" bestFit="1" customWidth="1"/>
    <col min="2" max="6" width="13.42578125" customWidth="1"/>
    <col min="7" max="11" width="13.42578125" bestFit="1" customWidth="1"/>
  </cols>
  <sheetData>
    <row r="1" spans="1:11" s="2" customFormat="1">
      <c r="A1" s="2" t="str">
        <f>'Balance Sheet'!A1</f>
        <v>ASIAN PAINTS LTD</v>
      </c>
      <c r="E1" t="str">
        <f>UPDATE</f>
        <v/>
      </c>
      <c r="F1"/>
      <c r="J1" s="2" t="s">
        <v>1</v>
      </c>
    </row>
    <row r="3" spans="1:11" s="2" customFormat="1">
      <c r="A3" s="11" t="s">
        <v>2</v>
      </c>
      <c r="B3" s="12">
        <f>'Data Sheet'!B81</f>
        <v>41729</v>
      </c>
      <c r="C3" s="12">
        <f>'Data Sheet'!C81</f>
        <v>42094</v>
      </c>
      <c r="D3" s="12">
        <f>'Data Sheet'!D81</f>
        <v>42460</v>
      </c>
      <c r="E3" s="12">
        <f>'Data Sheet'!E81</f>
        <v>42825</v>
      </c>
      <c r="F3" s="12">
        <f>'Data Sheet'!F81</f>
        <v>43190</v>
      </c>
      <c r="G3" s="12">
        <f>'Data Sheet'!G81</f>
        <v>43555</v>
      </c>
      <c r="H3" s="12">
        <f>'Data Sheet'!H81</f>
        <v>43921</v>
      </c>
      <c r="I3" s="12">
        <f>'Data Sheet'!I81</f>
        <v>44286</v>
      </c>
      <c r="J3" s="12">
        <f>'Data Sheet'!J81</f>
        <v>44651</v>
      </c>
      <c r="K3" s="12">
        <f>'Data Sheet'!K81</f>
        <v>45016</v>
      </c>
    </row>
    <row r="4" spans="1:11" s="2" customFormat="1">
      <c r="A4" s="2" t="s">
        <v>32</v>
      </c>
      <c r="B4" s="1">
        <f>'Data Sheet'!B82</f>
        <v>1402.03</v>
      </c>
      <c r="C4" s="1">
        <f>'Data Sheet'!C82</f>
        <v>1187.69</v>
      </c>
      <c r="D4" s="1">
        <f>'Data Sheet'!D82</f>
        <v>2242.9499999999998</v>
      </c>
      <c r="E4" s="1">
        <f>'Data Sheet'!E82</f>
        <v>1527.33</v>
      </c>
      <c r="F4" s="1">
        <f>'Data Sheet'!F82</f>
        <v>2113.44</v>
      </c>
      <c r="G4" s="1">
        <f>'Data Sheet'!G82</f>
        <v>2469.54</v>
      </c>
      <c r="H4" s="1">
        <f>'Data Sheet'!H82</f>
        <v>3038.15</v>
      </c>
      <c r="I4" s="1">
        <f>'Data Sheet'!I82</f>
        <v>3683.35</v>
      </c>
      <c r="J4" s="1">
        <f>'Data Sheet'!J82</f>
        <v>986.49</v>
      </c>
      <c r="K4" s="1">
        <f>'Data Sheet'!K82</f>
        <v>4193.43</v>
      </c>
    </row>
    <row r="5" spans="1:11">
      <c r="A5" t="s">
        <v>33</v>
      </c>
      <c r="B5" s="6">
        <f>'Data Sheet'!B83</f>
        <v>-585.99</v>
      </c>
      <c r="C5" s="6">
        <f>'Data Sheet'!C83</f>
        <v>-464.99</v>
      </c>
      <c r="D5" s="6">
        <f>'Data Sheet'!D83</f>
        <v>-866.21</v>
      </c>
      <c r="E5" s="6">
        <f>'Data Sheet'!E83</f>
        <v>-681.11</v>
      </c>
      <c r="F5" s="6">
        <f>'Data Sheet'!F83</f>
        <v>-1556.14</v>
      </c>
      <c r="G5" s="6">
        <f>'Data Sheet'!G83</f>
        <v>-917.79</v>
      </c>
      <c r="H5" s="6">
        <f>'Data Sheet'!H83</f>
        <v>-517.91</v>
      </c>
      <c r="I5" s="6">
        <f>'Data Sheet'!I83</f>
        <v>-540.54</v>
      </c>
      <c r="J5" s="6">
        <f>'Data Sheet'!J83</f>
        <v>-316.75</v>
      </c>
      <c r="K5" s="6">
        <f>'Data Sheet'!K83</f>
        <v>-1282.3399999999999</v>
      </c>
    </row>
    <row r="6" spans="1:11">
      <c r="A6" t="s">
        <v>34</v>
      </c>
      <c r="B6" s="6">
        <f>'Data Sheet'!B84</f>
        <v>-625.91</v>
      </c>
      <c r="C6" s="6">
        <f>'Data Sheet'!C84</f>
        <v>-576.09</v>
      </c>
      <c r="D6" s="6">
        <f>'Data Sheet'!D84</f>
        <v>-848.98</v>
      </c>
      <c r="E6" s="6">
        <f>'Data Sheet'!E84</f>
        <v>-756.43</v>
      </c>
      <c r="F6" s="6">
        <f>'Data Sheet'!F84</f>
        <v>-1379.14</v>
      </c>
      <c r="G6" s="6">
        <f>'Data Sheet'!G84</f>
        <v>-1117.46</v>
      </c>
      <c r="H6" s="6">
        <f>'Data Sheet'!H84</f>
        <v>-2871.46</v>
      </c>
      <c r="I6" s="6">
        <f>'Data Sheet'!I84</f>
        <v>-650.4</v>
      </c>
      <c r="J6" s="6">
        <f>'Data Sheet'!J84</f>
        <v>-1807.61</v>
      </c>
      <c r="K6" s="6">
        <f>'Data Sheet'!K84</f>
        <v>-2140.0500000000002</v>
      </c>
    </row>
    <row r="7" spans="1:11" s="2" customFormat="1">
      <c r="A7" s="2" t="s">
        <v>35</v>
      </c>
      <c r="B7" s="1">
        <f>'Data Sheet'!B85</f>
        <v>190.13</v>
      </c>
      <c r="C7" s="1">
        <f>'Data Sheet'!C85</f>
        <v>146.61000000000001</v>
      </c>
      <c r="D7" s="1">
        <f>'Data Sheet'!D85</f>
        <v>527.76</v>
      </c>
      <c r="E7" s="1">
        <f>'Data Sheet'!E85</f>
        <v>89.79</v>
      </c>
      <c r="F7" s="1">
        <f>'Data Sheet'!F85</f>
        <v>-821.84</v>
      </c>
      <c r="G7" s="1">
        <f>'Data Sheet'!G85</f>
        <v>434.29</v>
      </c>
      <c r="H7" s="1">
        <f>'Data Sheet'!H85</f>
        <v>-351.22</v>
      </c>
      <c r="I7" s="1">
        <f>'Data Sheet'!I85</f>
        <v>2492.41</v>
      </c>
      <c r="J7" s="1">
        <f>'Data Sheet'!J85</f>
        <v>-1137.8699999999999</v>
      </c>
      <c r="K7" s="1">
        <f>'Data Sheet'!K85</f>
        <v>771.04</v>
      </c>
    </row>
    <row r="8" spans="1:11">
      <c r="B8" s="6"/>
      <c r="C8" s="6"/>
      <c r="D8" s="6"/>
      <c r="E8" s="6"/>
      <c r="F8" s="6"/>
      <c r="G8" s="6"/>
      <c r="H8" s="6"/>
      <c r="I8" s="6"/>
      <c r="J8" s="6"/>
      <c r="K8" s="6"/>
    </row>
  </sheetData>
  <hyperlinks>
    <hyperlink ref="J1" r:id="rId1" xr:uid="{00000000-0004-0000-0300-000000000000}"/>
  </hyperlinks>
  <printOptions gridLines="1"/>
  <pageMargins left="0.7" right="0.7" top="0.75" bottom="0.75" header="0.3" footer="0.3"/>
  <pageSetup paperSize="9" orientation="landscape"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zoomScale="150" zoomScaleNormal="150" zoomScalePageLayoutView="150" workbookViewId="0">
      <selection activeCell="B16" sqref="B16"/>
    </sheetView>
  </sheetViews>
  <sheetFormatPr defaultColWidth="8.85546875" defaultRowHeight="15"/>
  <cols>
    <col min="1" max="1" width="8.85546875" style="2"/>
    <col min="2" max="2" width="10.42578125" customWidth="1"/>
    <col min="3" max="3" width="13.28515625" style="20" customWidth="1"/>
    <col min="6" max="6" width="6.85546875" customWidth="1"/>
  </cols>
  <sheetData>
    <row r="1" spans="1:7" ht="21">
      <c r="A1" s="19" t="s">
        <v>56</v>
      </c>
    </row>
    <row r="3" spans="1:7">
      <c r="A3" s="2" t="s">
        <v>48</v>
      </c>
    </row>
    <row r="4" spans="1:7">
      <c r="B4" t="s">
        <v>90</v>
      </c>
    </row>
    <row r="5" spans="1:7">
      <c r="B5" t="s">
        <v>49</v>
      </c>
    </row>
    <row r="7" spans="1:7">
      <c r="A7" s="2" t="s">
        <v>50</v>
      </c>
    </row>
    <row r="8" spans="1:7">
      <c r="B8" t="s">
        <v>51</v>
      </c>
      <c r="C8" s="21" t="s">
        <v>91</v>
      </c>
    </row>
    <row r="10" spans="1:7">
      <c r="A10" s="2" t="s">
        <v>52</v>
      </c>
    </row>
    <row r="11" spans="1:7">
      <c r="B11" t="s">
        <v>53</v>
      </c>
    </row>
    <row r="14" spans="1:7">
      <c r="A14" s="2" t="s">
        <v>54</v>
      </c>
    </row>
    <row r="15" spans="1:7">
      <c r="B15" t="s">
        <v>55</v>
      </c>
    </row>
    <row r="16" spans="1:7">
      <c r="B16" t="s">
        <v>92</v>
      </c>
      <c r="G16" s="22"/>
    </row>
  </sheetData>
  <hyperlinks>
    <hyperlink ref="C8" r:id="rId1" display=" http://www.screener.in/excel" xr:uid="{00000000-0004-0000-04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46E2-ADBD-4EBE-A13E-8E25A36890DE}">
  <dimension ref="A1:C62"/>
  <sheetViews>
    <sheetView workbookViewId="0">
      <selection activeCell="N15" sqref="N15"/>
    </sheetView>
  </sheetViews>
  <sheetFormatPr defaultRowHeight="15"/>
  <cols>
    <col min="1" max="1" width="10.42578125" bestFit="1" customWidth="1"/>
  </cols>
  <sheetData>
    <row r="1" spans="1:3">
      <c r="A1" t="s">
        <v>111</v>
      </c>
      <c r="B1" t="s">
        <v>112</v>
      </c>
      <c r="C1" t="s">
        <v>113</v>
      </c>
    </row>
    <row r="2" spans="1:3">
      <c r="A2" s="36">
        <v>43405</v>
      </c>
      <c r="B2">
        <v>1301.486206</v>
      </c>
      <c r="C2">
        <v>26.469291999999999</v>
      </c>
    </row>
    <row r="3" spans="1:3">
      <c r="A3" s="36">
        <v>43435</v>
      </c>
      <c r="B3">
        <v>1327.690918</v>
      </c>
      <c r="C3">
        <v>29.465696999999999</v>
      </c>
    </row>
    <row r="4" spans="1:3">
      <c r="A4" s="36">
        <v>43466</v>
      </c>
      <c r="B4">
        <v>1365.9343260000001</v>
      </c>
      <c r="C4">
        <v>34.445877000000003</v>
      </c>
    </row>
    <row r="5" spans="1:3">
      <c r="A5" s="36">
        <v>43497</v>
      </c>
      <c r="B5">
        <v>1358.778687</v>
      </c>
      <c r="C5">
        <v>19.647186000000001</v>
      </c>
    </row>
    <row r="6" spans="1:3">
      <c r="A6" s="36">
        <v>43525</v>
      </c>
      <c r="B6">
        <v>1443.3883060000001</v>
      </c>
      <c r="C6">
        <v>20.648664</v>
      </c>
    </row>
    <row r="7" spans="1:3">
      <c r="A7" s="36">
        <v>43556</v>
      </c>
      <c r="B7">
        <v>1414.8145750000001</v>
      </c>
      <c r="C7">
        <v>24.926407999999999</v>
      </c>
    </row>
    <row r="8" spans="1:3">
      <c r="A8" s="36">
        <v>43586</v>
      </c>
      <c r="B8">
        <v>1360.8093260000001</v>
      </c>
      <c r="C8">
        <v>30.965865000000001</v>
      </c>
    </row>
    <row r="9" spans="1:3">
      <c r="A9" s="36">
        <v>43617</v>
      </c>
      <c r="B9">
        <v>1313.283203</v>
      </c>
      <c r="C9">
        <v>23.179251000000001</v>
      </c>
    </row>
    <row r="10" spans="1:3">
      <c r="A10" s="36">
        <v>43647</v>
      </c>
      <c r="B10">
        <v>1478.7861330000001</v>
      </c>
      <c r="C10">
        <v>37.555638000000002</v>
      </c>
    </row>
    <row r="11" spans="1:3">
      <c r="A11" s="36">
        <v>43678</v>
      </c>
      <c r="B11">
        <v>1571.240845</v>
      </c>
      <c r="C11">
        <v>27.898854</v>
      </c>
    </row>
    <row r="12" spans="1:3">
      <c r="A12" s="36">
        <v>43709</v>
      </c>
      <c r="B12">
        <v>1713.130615</v>
      </c>
      <c r="C12">
        <v>30.602497</v>
      </c>
    </row>
    <row r="13" spans="1:3">
      <c r="A13" s="36">
        <v>43739</v>
      </c>
      <c r="B13">
        <v>1759.2608640000001</v>
      </c>
      <c r="C13">
        <v>27.645762000000001</v>
      </c>
    </row>
    <row r="14" spans="1:3">
      <c r="A14" s="36">
        <v>43770</v>
      </c>
      <c r="B14">
        <v>1661.7569579999999</v>
      </c>
      <c r="C14">
        <v>24.410492999999999</v>
      </c>
    </row>
    <row r="15" spans="1:3">
      <c r="A15" s="36">
        <v>43800</v>
      </c>
      <c r="B15">
        <v>1738.5069579999999</v>
      </c>
      <c r="C15">
        <v>21.906248999999999</v>
      </c>
    </row>
    <row r="16" spans="1:3">
      <c r="A16" s="36">
        <v>43831</v>
      </c>
      <c r="B16">
        <v>1748.9282229999999</v>
      </c>
      <c r="C16">
        <v>28.404112999999999</v>
      </c>
    </row>
    <row r="17" spans="1:3">
      <c r="A17" s="36">
        <v>43862</v>
      </c>
      <c r="B17">
        <v>1751.1683350000001</v>
      </c>
      <c r="C17">
        <v>25.485291</v>
      </c>
    </row>
    <row r="18" spans="1:3">
      <c r="A18" s="36">
        <v>43891</v>
      </c>
      <c r="B18">
        <v>1623.138794</v>
      </c>
      <c r="C18">
        <v>60.708226000000003</v>
      </c>
    </row>
    <row r="19" spans="1:3">
      <c r="A19" s="36">
        <v>43922</v>
      </c>
      <c r="B19">
        <v>1719.821655</v>
      </c>
      <c r="C19">
        <v>41.040413000000001</v>
      </c>
    </row>
    <row r="20" spans="1:3">
      <c r="A20" s="36">
        <v>43952</v>
      </c>
      <c r="B20">
        <v>1645.892822</v>
      </c>
      <c r="C20">
        <v>69.941344999999998</v>
      </c>
    </row>
    <row r="21" spans="1:3">
      <c r="A21" s="36">
        <v>43983</v>
      </c>
      <c r="B21">
        <v>1650.146606</v>
      </c>
      <c r="C21">
        <v>63.337220000000002</v>
      </c>
    </row>
    <row r="22" spans="1:3">
      <c r="A22" s="36">
        <v>44013</v>
      </c>
      <c r="B22">
        <v>1677.576904</v>
      </c>
      <c r="C22">
        <v>49.607443000000004</v>
      </c>
    </row>
    <row r="23" spans="1:3">
      <c r="A23" s="36">
        <v>44044</v>
      </c>
      <c r="B23">
        <v>1858.762207</v>
      </c>
      <c r="C23">
        <v>52.300928999999996</v>
      </c>
    </row>
    <row r="24" spans="1:3">
      <c r="A24" s="36">
        <v>44075</v>
      </c>
      <c r="B24">
        <v>1944.2078859999999</v>
      </c>
      <c r="C24">
        <v>53.203178999999999</v>
      </c>
    </row>
    <row r="25" spans="1:3">
      <c r="A25" s="36">
        <v>44105</v>
      </c>
      <c r="B25">
        <v>2164.5268550000001</v>
      </c>
      <c r="C25">
        <v>54.216411999999998</v>
      </c>
    </row>
    <row r="26" spans="1:3">
      <c r="A26" s="36">
        <v>44136</v>
      </c>
      <c r="B26">
        <v>2171.5561520000001</v>
      </c>
      <c r="C26">
        <v>49.408893999999997</v>
      </c>
    </row>
    <row r="27" spans="1:3">
      <c r="A27" s="36">
        <v>44166</v>
      </c>
      <c r="B27">
        <v>2709.9113769999999</v>
      </c>
      <c r="C27">
        <v>45.512932999999997</v>
      </c>
    </row>
    <row r="28" spans="1:3">
      <c r="A28" s="36">
        <v>44197</v>
      </c>
      <c r="B28">
        <v>2359.8139649999998</v>
      </c>
      <c r="C28">
        <v>53.164585000000002</v>
      </c>
    </row>
    <row r="29" spans="1:3">
      <c r="A29" s="36">
        <v>44228</v>
      </c>
      <c r="B29">
        <v>2232.233643</v>
      </c>
      <c r="C29">
        <v>58.487786</v>
      </c>
    </row>
    <row r="30" spans="1:3">
      <c r="A30" s="36">
        <v>44256</v>
      </c>
      <c r="B30">
        <v>2487.295654</v>
      </c>
      <c r="C30">
        <v>45.645679000000001</v>
      </c>
    </row>
    <row r="31" spans="1:3">
      <c r="A31" s="36">
        <v>44287</v>
      </c>
      <c r="B31">
        <v>2486.3154300000001</v>
      </c>
      <c r="C31">
        <v>28.543175999999999</v>
      </c>
    </row>
    <row r="32" spans="1:3">
      <c r="A32" s="36">
        <v>44317</v>
      </c>
      <c r="B32">
        <v>2918.7053219999998</v>
      </c>
      <c r="C32">
        <v>38.807980000000001</v>
      </c>
    </row>
    <row r="33" spans="1:3">
      <c r="A33" s="36">
        <v>44348</v>
      </c>
      <c r="B33">
        <v>2933.6049800000001</v>
      </c>
      <c r="C33">
        <v>26.760465</v>
      </c>
    </row>
    <row r="34" spans="1:3">
      <c r="A34" s="36">
        <v>44378</v>
      </c>
      <c r="B34">
        <v>2914.3876949999999</v>
      </c>
      <c r="C34">
        <v>24.866496999999999</v>
      </c>
    </row>
    <row r="35" spans="1:3">
      <c r="A35" s="36">
        <v>44409</v>
      </c>
      <c r="B35">
        <v>3153.6704100000002</v>
      </c>
      <c r="C35">
        <v>25.145607999999999</v>
      </c>
    </row>
    <row r="36" spans="1:3">
      <c r="A36" s="36">
        <v>44440</v>
      </c>
      <c r="B36">
        <v>3196.3251949999999</v>
      </c>
      <c r="C36">
        <v>22.000890999999999</v>
      </c>
    </row>
    <row r="37" spans="1:3">
      <c r="A37" s="36">
        <v>44470</v>
      </c>
      <c r="B37">
        <v>3053.9284670000002</v>
      </c>
      <c r="C37">
        <v>32.085053000000002</v>
      </c>
    </row>
    <row r="38" spans="1:3">
      <c r="A38" s="36">
        <v>44501</v>
      </c>
      <c r="B38">
        <v>3100.486328</v>
      </c>
      <c r="C38">
        <v>21.72889</v>
      </c>
    </row>
    <row r="39" spans="1:3">
      <c r="A39" s="36">
        <v>44531</v>
      </c>
      <c r="B39">
        <v>3336.500732</v>
      </c>
      <c r="C39">
        <v>24.234062999999999</v>
      </c>
    </row>
    <row r="40" spans="1:3">
      <c r="A40" s="36">
        <v>44562</v>
      </c>
      <c r="B40">
        <v>3108.9682619999999</v>
      </c>
      <c r="C40">
        <v>25.109145000000002</v>
      </c>
    </row>
    <row r="41" spans="1:3">
      <c r="A41" s="36">
        <v>44593</v>
      </c>
      <c r="B41">
        <v>3131.0607909999999</v>
      </c>
      <c r="C41">
        <v>17.145295000000001</v>
      </c>
    </row>
    <row r="42" spans="1:3">
      <c r="A42" s="36">
        <v>44621</v>
      </c>
      <c r="B42">
        <v>3037.6611330000001</v>
      </c>
      <c r="C42">
        <v>46.951421000000003</v>
      </c>
    </row>
    <row r="43" spans="1:3">
      <c r="A43" s="36">
        <v>44652</v>
      </c>
      <c r="B43">
        <v>3192.751953</v>
      </c>
      <c r="C43">
        <v>18.570571000000001</v>
      </c>
    </row>
    <row r="44" spans="1:3">
      <c r="A44" s="36">
        <v>44682</v>
      </c>
      <c r="B44">
        <v>2820.3857419999999</v>
      </c>
      <c r="C44">
        <v>30.837045</v>
      </c>
    </row>
    <row r="45" spans="1:3">
      <c r="A45" s="36">
        <v>44713</v>
      </c>
      <c r="B45">
        <v>2658.1938479999999</v>
      </c>
      <c r="C45">
        <v>34.007281999999996</v>
      </c>
    </row>
    <row r="46" spans="1:3">
      <c r="A46" s="36">
        <v>44743</v>
      </c>
      <c r="B46">
        <v>3306.9240719999998</v>
      </c>
      <c r="C46">
        <v>28.722837999999999</v>
      </c>
    </row>
    <row r="47" spans="1:3">
      <c r="A47" s="36">
        <v>44774</v>
      </c>
      <c r="B47">
        <v>3364.3088379999999</v>
      </c>
      <c r="C47">
        <v>21.161293000000001</v>
      </c>
    </row>
    <row r="48" spans="1:3">
      <c r="A48" s="36">
        <v>44805</v>
      </c>
      <c r="B48">
        <v>3315.5539549999999</v>
      </c>
      <c r="C48">
        <v>23.352453000000001</v>
      </c>
    </row>
    <row r="49" spans="1:3">
      <c r="A49" s="36">
        <v>44835</v>
      </c>
      <c r="B49">
        <v>3082.693115</v>
      </c>
      <c r="C49">
        <v>20.990793</v>
      </c>
    </row>
    <row r="50" spans="1:3">
      <c r="A50" s="36">
        <v>44866</v>
      </c>
      <c r="B50">
        <v>3154.1455080000001</v>
      </c>
      <c r="C50">
        <v>20.242761999999999</v>
      </c>
    </row>
    <row r="51" spans="1:3">
      <c r="A51" s="36">
        <v>44896</v>
      </c>
      <c r="B51">
        <v>3067.4726559999999</v>
      </c>
      <c r="C51">
        <v>19.992087000000001</v>
      </c>
    </row>
    <row r="52" spans="1:3">
      <c r="A52" s="36">
        <v>44927</v>
      </c>
      <c r="B52">
        <v>2707.8178710000002</v>
      </c>
      <c r="C52">
        <v>26.563904000000001</v>
      </c>
    </row>
    <row r="53" spans="1:3">
      <c r="A53" s="36">
        <v>44958</v>
      </c>
      <c r="B53">
        <v>2810.0866700000001</v>
      </c>
      <c r="C53">
        <v>18.969238000000001</v>
      </c>
    </row>
    <row r="54" spans="1:3">
      <c r="A54" s="36">
        <v>44986</v>
      </c>
      <c r="B54">
        <v>2743.3808589999999</v>
      </c>
      <c r="C54">
        <v>21.347057</v>
      </c>
    </row>
    <row r="55" spans="1:3">
      <c r="A55" s="36">
        <v>45017</v>
      </c>
      <c r="B55">
        <v>2883.1501459999999</v>
      </c>
      <c r="C55">
        <v>15.227696</v>
      </c>
    </row>
    <row r="56" spans="1:3">
      <c r="A56" s="36">
        <v>45047</v>
      </c>
      <c r="B56">
        <v>3171.8276369999999</v>
      </c>
      <c r="C56">
        <v>21.922294000000001</v>
      </c>
    </row>
    <row r="57" spans="1:3">
      <c r="A57" s="36">
        <v>45078</v>
      </c>
      <c r="B57">
        <v>3339.8090820000002</v>
      </c>
      <c r="C57">
        <v>17.589863000000001</v>
      </c>
    </row>
    <row r="58" spans="1:3">
      <c r="A58" s="36">
        <v>45108</v>
      </c>
      <c r="B58">
        <v>3377.3500979999999</v>
      </c>
      <c r="C58">
        <v>17.229102000000001</v>
      </c>
    </row>
    <row r="59" spans="1:3">
      <c r="A59" s="36">
        <v>45139</v>
      </c>
      <c r="B59">
        <v>3256.1000979999999</v>
      </c>
      <c r="C59">
        <v>16.415451000000001</v>
      </c>
    </row>
    <row r="60" spans="1:3">
      <c r="A60" s="36">
        <v>45170</v>
      </c>
      <c r="B60">
        <v>3161.0500489999999</v>
      </c>
      <c r="C60">
        <v>18.227698</v>
      </c>
    </row>
    <row r="61" spans="1:3">
      <c r="A61" s="36">
        <v>45200</v>
      </c>
      <c r="B61">
        <v>3148.8000489999999</v>
      </c>
      <c r="C61">
        <v>8.3485110000000002</v>
      </c>
    </row>
    <row r="62" spans="1:3">
      <c r="A62" s="36">
        <v>45212</v>
      </c>
      <c r="B62">
        <v>3148.8000489999999</v>
      </c>
      <c r="C62">
        <v>0.85440199999999999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Inputs</vt:lpstr>
      <vt:lpstr>Teaser - One Page Profile</vt:lpstr>
      <vt:lpstr>Shareholders</vt:lpstr>
      <vt:lpstr>Profit &amp; Loss</vt:lpstr>
      <vt:lpstr>Quarters</vt:lpstr>
      <vt:lpstr>Balance Sheet</vt:lpstr>
      <vt:lpstr>Cash Flow</vt:lpstr>
      <vt:lpstr>Customization</vt:lpstr>
      <vt:lpstr>Share Price</vt:lpstr>
      <vt:lpstr>Data &gt;</vt:lpstr>
      <vt:lpstr>Data 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Amit</cp:lastModifiedBy>
  <cp:lastPrinted>2023-10-14T14:54:52Z</cp:lastPrinted>
  <dcterms:created xsi:type="dcterms:W3CDTF">2012-08-17T09:55:37Z</dcterms:created>
  <dcterms:modified xsi:type="dcterms:W3CDTF">2024-02-08T16:52:27Z</dcterms:modified>
</cp:coreProperties>
</file>