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1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Dell\Desktop\"/>
    </mc:Choice>
  </mc:AlternateContent>
  <xr:revisionPtr revIDLastSave="0" documentId="13_ncr:1_{974F3ABD-77BC-421A-AE4D-DB660A73B4CC}" xr6:coauthVersionLast="47" xr6:coauthVersionMax="47" xr10:uidLastSave="{00000000-0000-0000-0000-000000000000}"/>
  <bookViews>
    <workbookView xWindow="-120" yWindow="-120" windowWidth="20730" windowHeight="11040" activeTab="3" xr2:uid="{00000000-000D-0000-FFFF-FFFF00000000}"/>
  </bookViews>
  <sheets>
    <sheet name="IS" sheetId="32" r:id="rId1"/>
    <sheet name="Revenue Drivers" sheetId="34" r:id="rId2"/>
    <sheet name="Cost Metrix" sheetId="35" r:id="rId3"/>
    <sheet name="DCF - Valuation" sheetId="33" r:id="rId4"/>
    <sheet name="Football Field Analysis" sheetId="27" r:id="rId5"/>
    <sheet name="WACC" sheetId="15" r:id="rId6"/>
    <sheet name="Ratios Analysis" sheetId="11" r:id="rId7"/>
    <sheet name="Common Size Statement" sheetId="20" r:id="rId8"/>
    <sheet name="Beta" sheetId="18" r:id="rId9"/>
    <sheet name="Rm" sheetId="19" r:id="rId10"/>
    <sheet name="BS" sheetId="31" r:id="rId11"/>
    <sheet name="CFS" sheetId="30" r:id="rId12"/>
    <sheet name="Sheet1" sheetId="36" r:id="rId13"/>
  </sheets>
  <definedNames>
    <definedName name="UPDATE">#REF!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L15" i="34" l="1"/>
  <c r="K15" i="34"/>
  <c r="K14" i="33"/>
  <c r="D6" i="20"/>
  <c r="E6" i="20"/>
  <c r="F6" i="20"/>
  <c r="G6" i="20"/>
  <c r="H6" i="20"/>
  <c r="D7" i="20"/>
  <c r="E7" i="20"/>
  <c r="F7" i="20"/>
  <c r="G7" i="20"/>
  <c r="H7" i="20"/>
  <c r="D8" i="20"/>
  <c r="E8" i="20"/>
  <c r="F8" i="20"/>
  <c r="G8" i="20"/>
  <c r="H8" i="20"/>
  <c r="D9" i="20"/>
  <c r="E9" i="20"/>
  <c r="F9" i="20"/>
  <c r="G9" i="20"/>
  <c r="H9" i="20"/>
  <c r="D10" i="20"/>
  <c r="E10" i="20"/>
  <c r="F10" i="20"/>
  <c r="G10" i="20"/>
  <c r="H10" i="20"/>
  <c r="D11" i="20"/>
  <c r="E11" i="20"/>
  <c r="F11" i="20"/>
  <c r="G11" i="20"/>
  <c r="H11" i="20"/>
  <c r="D12" i="20"/>
  <c r="E12" i="20"/>
  <c r="F12" i="20"/>
  <c r="G12" i="20"/>
  <c r="H12" i="20"/>
  <c r="D13" i="20"/>
  <c r="E13" i="20"/>
  <c r="F13" i="20"/>
  <c r="G13" i="20"/>
  <c r="H13" i="20"/>
  <c r="D14" i="20"/>
  <c r="E14" i="20"/>
  <c r="F14" i="20"/>
  <c r="G14" i="20"/>
  <c r="H14" i="20"/>
  <c r="D15" i="20"/>
  <c r="E15" i="20"/>
  <c r="F15" i="20"/>
  <c r="G15" i="20"/>
  <c r="H15" i="20"/>
  <c r="D16" i="20"/>
  <c r="E16" i="20"/>
  <c r="F16" i="20"/>
  <c r="G16" i="20"/>
  <c r="H16" i="20"/>
  <c r="D17" i="20"/>
  <c r="E17" i="20"/>
  <c r="F17" i="20"/>
  <c r="G17" i="20"/>
  <c r="H17" i="20"/>
  <c r="D18" i="20"/>
  <c r="E18" i="20"/>
  <c r="F18" i="20"/>
  <c r="G18" i="20"/>
  <c r="H18" i="20"/>
  <c r="C18" i="20"/>
  <c r="C17" i="20"/>
  <c r="C16" i="20"/>
  <c r="C15" i="20"/>
  <c r="C14" i="20"/>
  <c r="C13" i="20"/>
  <c r="C12" i="20"/>
  <c r="C11" i="20"/>
  <c r="C10" i="20"/>
  <c r="C9" i="20"/>
  <c r="C8" i="20"/>
  <c r="C7" i="20"/>
  <c r="C6" i="20"/>
  <c r="D4" i="20"/>
  <c r="E4" i="20"/>
  <c r="F4" i="20"/>
  <c r="G4" i="20"/>
  <c r="H4" i="20"/>
  <c r="C4" i="20"/>
  <c r="B18" i="20"/>
  <c r="B17" i="20"/>
  <c r="B16" i="20"/>
  <c r="B15" i="20"/>
  <c r="B14" i="20"/>
  <c r="B13" i="20"/>
  <c r="B12" i="20"/>
  <c r="B11" i="20"/>
  <c r="B10" i="20"/>
  <c r="B9" i="20"/>
  <c r="B8" i="20"/>
  <c r="B7" i="20"/>
  <c r="E36" i="11"/>
  <c r="F36" i="11"/>
  <c r="G36" i="11"/>
  <c r="H36" i="11"/>
  <c r="I36" i="11"/>
  <c r="E37" i="11"/>
  <c r="F37" i="11"/>
  <c r="G37" i="11"/>
  <c r="H37" i="11"/>
  <c r="I37" i="11"/>
  <c r="E38" i="11"/>
  <c r="F38" i="11"/>
  <c r="G38" i="11"/>
  <c r="H38" i="11"/>
  <c r="I38" i="11"/>
  <c r="D38" i="11"/>
  <c r="O38" i="11" s="1"/>
  <c r="D37" i="11"/>
  <c r="D36" i="11"/>
  <c r="D31" i="11"/>
  <c r="E31" i="11"/>
  <c r="F31" i="11"/>
  <c r="G31" i="11"/>
  <c r="H31" i="11"/>
  <c r="I31" i="11"/>
  <c r="E32" i="11"/>
  <c r="F32" i="11"/>
  <c r="G32" i="11"/>
  <c r="H32" i="11"/>
  <c r="I32" i="11"/>
  <c r="E33" i="11"/>
  <c r="F33" i="11"/>
  <c r="G33" i="11"/>
  <c r="H33" i="11"/>
  <c r="I33" i="11"/>
  <c r="D33" i="11"/>
  <c r="D32" i="11"/>
  <c r="F27" i="11"/>
  <c r="G27" i="11"/>
  <c r="H27" i="11"/>
  <c r="I27" i="11"/>
  <c r="E24" i="11"/>
  <c r="F24" i="11"/>
  <c r="G24" i="11"/>
  <c r="H24" i="11"/>
  <c r="I24" i="11"/>
  <c r="E25" i="11"/>
  <c r="F25" i="11"/>
  <c r="G25" i="11"/>
  <c r="H25" i="11"/>
  <c r="I25" i="11"/>
  <c r="E26" i="11"/>
  <c r="F26" i="11"/>
  <c r="G26" i="11"/>
  <c r="H26" i="11"/>
  <c r="I26" i="11"/>
  <c r="E28" i="11"/>
  <c r="F28" i="11"/>
  <c r="G28" i="11"/>
  <c r="H28" i="11"/>
  <c r="I28" i="11"/>
  <c r="D28" i="11"/>
  <c r="D26" i="11"/>
  <c r="D25" i="11"/>
  <c r="D24" i="11"/>
  <c r="O24" i="11" s="1"/>
  <c r="E20" i="11"/>
  <c r="F20" i="11"/>
  <c r="G20" i="11"/>
  <c r="H20" i="11"/>
  <c r="I20" i="11"/>
  <c r="E21" i="11"/>
  <c r="F21" i="11"/>
  <c r="G21" i="11"/>
  <c r="H21" i="11"/>
  <c r="I21" i="11"/>
  <c r="E22" i="11"/>
  <c r="F22" i="11"/>
  <c r="G22" i="11"/>
  <c r="H22" i="11"/>
  <c r="I22" i="11"/>
  <c r="D22" i="11"/>
  <c r="P22" i="11" s="1"/>
  <c r="D21" i="11"/>
  <c r="D20" i="11"/>
  <c r="E16" i="11"/>
  <c r="F16" i="11"/>
  <c r="G16" i="11"/>
  <c r="H16" i="11"/>
  <c r="I16" i="11"/>
  <c r="L16" i="11"/>
  <c r="M16" i="11"/>
  <c r="E17" i="11"/>
  <c r="F17" i="11"/>
  <c r="G17" i="11"/>
  <c r="H17" i="11"/>
  <c r="I17" i="11"/>
  <c r="L17" i="11"/>
  <c r="M17" i="11"/>
  <c r="E18" i="11"/>
  <c r="F18" i="11"/>
  <c r="G18" i="11"/>
  <c r="H18" i="11"/>
  <c r="I18" i="11"/>
  <c r="L18" i="11"/>
  <c r="M18" i="11"/>
  <c r="D18" i="11"/>
  <c r="D17" i="11"/>
  <c r="D16" i="11"/>
  <c r="F6" i="11"/>
  <c r="G6" i="11"/>
  <c r="H6" i="11"/>
  <c r="I6" i="11"/>
  <c r="M6" i="11"/>
  <c r="F7" i="11"/>
  <c r="G7" i="11"/>
  <c r="H7" i="11"/>
  <c r="I7" i="11"/>
  <c r="M7" i="11"/>
  <c r="F8" i="11"/>
  <c r="G8" i="11"/>
  <c r="H8" i="11"/>
  <c r="I8" i="11"/>
  <c r="M8" i="11"/>
  <c r="F9" i="11"/>
  <c r="G9" i="11"/>
  <c r="H9" i="11"/>
  <c r="I9" i="11"/>
  <c r="M9" i="11"/>
  <c r="E11" i="11"/>
  <c r="F11" i="11"/>
  <c r="G11" i="11"/>
  <c r="H11" i="11"/>
  <c r="I11" i="11"/>
  <c r="L11" i="11"/>
  <c r="M11" i="11"/>
  <c r="E12" i="11"/>
  <c r="F12" i="11"/>
  <c r="G12" i="11"/>
  <c r="H12" i="11"/>
  <c r="I12" i="11"/>
  <c r="L12" i="11"/>
  <c r="M12" i="11"/>
  <c r="E13" i="11"/>
  <c r="F13" i="11"/>
  <c r="G13" i="11"/>
  <c r="H13" i="11"/>
  <c r="I13" i="11"/>
  <c r="L13" i="11"/>
  <c r="M13" i="11"/>
  <c r="E14" i="11"/>
  <c r="F14" i="11"/>
  <c r="G14" i="11"/>
  <c r="H14" i="11"/>
  <c r="I14" i="11"/>
  <c r="L14" i="11"/>
  <c r="M14" i="11"/>
  <c r="D14" i="11"/>
  <c r="D13" i="11"/>
  <c r="D12" i="11"/>
  <c r="D11" i="11"/>
  <c r="E9" i="11"/>
  <c r="E8" i="11"/>
  <c r="E7" i="11"/>
  <c r="E20" i="32"/>
  <c r="E6" i="11"/>
  <c r="E4" i="11"/>
  <c r="F4" i="11"/>
  <c r="G4" i="11"/>
  <c r="H4" i="11"/>
  <c r="I4" i="11"/>
  <c r="J4" i="11"/>
  <c r="K4" i="11"/>
  <c r="L4" i="11"/>
  <c r="M4" i="11"/>
  <c r="D4" i="11"/>
  <c r="E14" i="35"/>
  <c r="I68" i="34"/>
  <c r="K62" i="34"/>
  <c r="K63" i="34"/>
  <c r="J63" i="34"/>
  <c r="J62" i="34"/>
  <c r="E62" i="34"/>
  <c r="G37" i="34"/>
  <c r="H37" i="34"/>
  <c r="I37" i="34"/>
  <c r="J37" i="34"/>
  <c r="K37" i="34"/>
  <c r="L37" i="34"/>
  <c r="M37" i="34"/>
  <c r="N37" i="34"/>
  <c r="F37" i="34"/>
  <c r="K46" i="34"/>
  <c r="F33" i="34"/>
  <c r="O6" i="18"/>
  <c r="P36" i="11" l="1"/>
  <c r="P25" i="11"/>
  <c r="O32" i="11"/>
  <c r="P37" i="11"/>
  <c r="O26" i="11"/>
  <c r="O28" i="11"/>
  <c r="P27" i="11"/>
  <c r="O33" i="11"/>
  <c r="O27" i="11"/>
  <c r="P20" i="11"/>
  <c r="P33" i="11"/>
  <c r="P21" i="11"/>
  <c r="D34" i="11"/>
  <c r="P32" i="11"/>
  <c r="O31" i="11"/>
  <c r="P38" i="11"/>
  <c r="P24" i="11"/>
  <c r="O20" i="11"/>
  <c r="O22" i="11"/>
  <c r="O36" i="11"/>
  <c r="O37" i="11"/>
  <c r="O25" i="11"/>
  <c r="P31" i="11"/>
  <c r="P26" i="11"/>
  <c r="O21" i="11"/>
  <c r="P28" i="11"/>
  <c r="D9" i="18" l="1"/>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8" i="18"/>
  <c r="K12" i="15"/>
  <c r="G6" i="19"/>
  <c r="G4" i="19"/>
  <c r="K12" i="33"/>
  <c r="L12" i="33"/>
  <c r="M12" i="33"/>
  <c r="N12" i="33"/>
  <c r="F12" i="33"/>
  <c r="G12" i="33"/>
  <c r="H12" i="33"/>
  <c r="I12" i="33"/>
  <c r="J12" i="33"/>
  <c r="F13" i="33"/>
  <c r="G13" i="33"/>
  <c r="H13" i="33"/>
  <c r="I13" i="33"/>
  <c r="J13" i="33"/>
  <c r="E13" i="33"/>
  <c r="E12" i="33"/>
  <c r="F83" i="31"/>
  <c r="G83" i="31"/>
  <c r="H83" i="31"/>
  <c r="I83" i="31"/>
  <c r="J83" i="31"/>
  <c r="E83" i="31"/>
  <c r="I78" i="31"/>
  <c r="H40" i="32"/>
  <c r="G40" i="32"/>
  <c r="F40" i="32"/>
  <c r="E40" i="32"/>
  <c r="L49" i="32"/>
  <c r="M49" i="32"/>
  <c r="N49" i="32"/>
  <c r="L50" i="32"/>
  <c r="M50" i="32"/>
  <c r="N50" i="32"/>
  <c r="K50" i="32"/>
  <c r="K49" i="32"/>
  <c r="I40" i="32"/>
  <c r="J40" i="32"/>
  <c r="L34" i="32"/>
  <c r="M34" i="32" s="1"/>
  <c r="N34" i="32" s="1"/>
  <c r="L35" i="32"/>
  <c r="M35" i="32"/>
  <c r="N35" i="32" s="1"/>
  <c r="L37" i="32"/>
  <c r="M37" i="32"/>
  <c r="N37" i="32" s="1"/>
  <c r="K37" i="32"/>
  <c r="K35" i="32"/>
  <c r="K34" i="32"/>
  <c r="C12" i="15"/>
  <c r="C13" i="15"/>
  <c r="L31" i="32"/>
  <c r="M31" i="32"/>
  <c r="N31" i="32"/>
  <c r="K31" i="32"/>
  <c r="J33" i="32"/>
  <c r="I33" i="32"/>
  <c r="F33" i="32"/>
  <c r="J32" i="32"/>
  <c r="F11" i="32"/>
  <c r="G9" i="32"/>
  <c r="K8" i="32" s="1"/>
  <c r="L8" i="32" s="1"/>
  <c r="M8" i="32" s="1"/>
  <c r="N8" i="32" s="1"/>
  <c r="H9" i="32"/>
  <c r="I9" i="32"/>
  <c r="J9" i="32"/>
  <c r="F9" i="32"/>
  <c r="J21" i="15"/>
  <c r="O5" i="18" l="1"/>
  <c r="O4" i="18"/>
  <c r="L6" i="18" l="1"/>
  <c r="C14" i="15"/>
  <c r="D12" i="15" s="1"/>
  <c r="L7" i="33"/>
  <c r="M7" i="33" s="1"/>
  <c r="N7" i="33" s="1"/>
  <c r="O7" i="33" s="1"/>
  <c r="P7" i="33" s="1"/>
  <c r="Q7" i="33" s="1"/>
  <c r="R7" i="33" s="1"/>
  <c r="S7" i="33" s="1"/>
  <c r="T7" i="33" s="1"/>
  <c r="U7" i="33" s="1"/>
  <c r="V7" i="33" s="1"/>
  <c r="W7" i="33" s="1"/>
  <c r="X7" i="33" s="1"/>
  <c r="Y7" i="33" s="1"/>
  <c r="Z7" i="33" s="1"/>
  <c r="AA7" i="33" s="1"/>
  <c r="AB7" i="33" s="1"/>
  <c r="AC7" i="33" s="1"/>
  <c r="AD7" i="33" s="1"/>
  <c r="J79" i="30"/>
  <c r="F14" i="33"/>
  <c r="F15" i="33" s="1"/>
  <c r="G14" i="33"/>
  <c r="G15" i="33" s="1"/>
  <c r="H14" i="33"/>
  <c r="H15" i="33" s="1"/>
  <c r="I14" i="33"/>
  <c r="I15" i="33" s="1"/>
  <c r="J14" i="33"/>
  <c r="J15" i="33" s="1"/>
  <c r="E14" i="33"/>
  <c r="F10" i="33"/>
  <c r="F17" i="33" s="1"/>
  <c r="G53" i="33"/>
  <c r="H53" i="33"/>
  <c r="I53" i="33"/>
  <c r="J53" i="33"/>
  <c r="K53" i="33"/>
  <c r="F53" i="33"/>
  <c r="F49" i="33"/>
  <c r="G49" i="33"/>
  <c r="H49" i="33"/>
  <c r="I49" i="33"/>
  <c r="J49" i="33"/>
  <c r="G11" i="32"/>
  <c r="H11" i="32"/>
  <c r="I11" i="32"/>
  <c r="J11" i="32"/>
  <c r="E49" i="33"/>
  <c r="F78" i="33"/>
  <c r="G78" i="33"/>
  <c r="H78" i="33"/>
  <c r="I78" i="33"/>
  <c r="J78" i="33"/>
  <c r="F79" i="33"/>
  <c r="G79" i="33"/>
  <c r="H79" i="33"/>
  <c r="I79" i="33"/>
  <c r="J79" i="33"/>
  <c r="F80" i="33"/>
  <c r="G80" i="33"/>
  <c r="H80" i="33"/>
  <c r="I80" i="33"/>
  <c r="J80" i="33"/>
  <c r="F82" i="33"/>
  <c r="G82" i="33"/>
  <c r="H82" i="33"/>
  <c r="I82" i="33"/>
  <c r="J82" i="33"/>
  <c r="F83" i="33"/>
  <c r="G83" i="33"/>
  <c r="H83" i="33"/>
  <c r="I83" i="33"/>
  <c r="J83" i="33"/>
  <c r="F84" i="33"/>
  <c r="G84" i="33"/>
  <c r="H84" i="33"/>
  <c r="I84" i="33"/>
  <c r="J84" i="33"/>
  <c r="F86" i="33"/>
  <c r="G86" i="33"/>
  <c r="H86" i="33"/>
  <c r="I86" i="33"/>
  <c r="J86" i="33"/>
  <c r="F87" i="33"/>
  <c r="G87" i="33"/>
  <c r="H87" i="33"/>
  <c r="I87" i="33"/>
  <c r="J87" i="33"/>
  <c r="E79" i="33"/>
  <c r="E80" i="33"/>
  <c r="E82" i="33"/>
  <c r="E83" i="33"/>
  <c r="E84" i="33"/>
  <c r="E86" i="33"/>
  <c r="E87" i="33"/>
  <c r="E78" i="33"/>
  <c r="E67" i="33"/>
  <c r="F67" i="33"/>
  <c r="G67" i="33"/>
  <c r="H67" i="33"/>
  <c r="I67" i="33"/>
  <c r="J67" i="33"/>
  <c r="E68" i="33"/>
  <c r="F68" i="33"/>
  <c r="G68" i="33"/>
  <c r="H68" i="33"/>
  <c r="I68" i="33"/>
  <c r="J68" i="33"/>
  <c r="E69" i="33"/>
  <c r="F69" i="33"/>
  <c r="G69" i="33"/>
  <c r="H69" i="33"/>
  <c r="I69" i="33"/>
  <c r="J69" i="33"/>
  <c r="E70" i="33"/>
  <c r="F70" i="33"/>
  <c r="G70" i="33"/>
  <c r="H70" i="33"/>
  <c r="I70" i="33"/>
  <c r="J70" i="33"/>
  <c r="E71" i="33"/>
  <c r="F71" i="33"/>
  <c r="G71" i="33"/>
  <c r="H71" i="33"/>
  <c r="I71" i="33"/>
  <c r="J71" i="33"/>
  <c r="E72" i="33"/>
  <c r="F72" i="33"/>
  <c r="G72" i="33"/>
  <c r="H72" i="33"/>
  <c r="I72" i="33"/>
  <c r="J72" i="33"/>
  <c r="E73" i="33"/>
  <c r="F73" i="33"/>
  <c r="G73" i="33"/>
  <c r="H73" i="33"/>
  <c r="I73" i="33"/>
  <c r="J73" i="33"/>
  <c r="E74" i="33"/>
  <c r="F74" i="33"/>
  <c r="G74" i="33"/>
  <c r="H74" i="33"/>
  <c r="I74" i="33"/>
  <c r="J74" i="33"/>
  <c r="F65" i="33"/>
  <c r="G65" i="33"/>
  <c r="H65" i="33"/>
  <c r="I65" i="33"/>
  <c r="J65" i="33"/>
  <c r="E65" i="33"/>
  <c r="B79" i="33"/>
  <c r="B80" i="33"/>
  <c r="B81" i="33"/>
  <c r="B82" i="33"/>
  <c r="B83" i="33"/>
  <c r="B84" i="33"/>
  <c r="B86" i="33"/>
  <c r="B87" i="33"/>
  <c r="B78" i="33"/>
  <c r="B66" i="33"/>
  <c r="B67" i="33"/>
  <c r="B68" i="33"/>
  <c r="B69" i="33"/>
  <c r="B70" i="33"/>
  <c r="B71" i="33"/>
  <c r="B72" i="33"/>
  <c r="B73" i="33"/>
  <c r="B74" i="33"/>
  <c r="B65" i="33"/>
  <c r="J22" i="35"/>
  <c r="J57" i="31"/>
  <c r="J72" i="31"/>
  <c r="E44" i="30"/>
  <c r="E10" i="33" s="1"/>
  <c r="E17" i="33" s="1"/>
  <c r="G42" i="30"/>
  <c r="H42" i="30"/>
  <c r="H44" i="30" s="1"/>
  <c r="H10" i="33" s="1"/>
  <c r="H17" i="33" s="1"/>
  <c r="I42" i="30"/>
  <c r="I44" i="30" s="1"/>
  <c r="I10" i="33" s="1"/>
  <c r="F44" i="30"/>
  <c r="G44" i="30"/>
  <c r="G10" i="33" s="1"/>
  <c r="G17" i="33" s="1"/>
  <c r="J27" i="30"/>
  <c r="J42" i="30" s="1"/>
  <c r="J44" i="30" s="1"/>
  <c r="J10" i="33" s="1"/>
  <c r="J17" i="33" s="1"/>
  <c r="H24" i="31"/>
  <c r="I24" i="31"/>
  <c r="I38" i="31" s="1"/>
  <c r="J24" i="31"/>
  <c r="G24" i="31"/>
  <c r="F79" i="31"/>
  <c r="F84" i="31" s="1"/>
  <c r="G79" i="31"/>
  <c r="G84" i="31" s="1"/>
  <c r="H79" i="31"/>
  <c r="H84" i="31" s="1"/>
  <c r="I79" i="31"/>
  <c r="I84" i="31" s="1"/>
  <c r="J79" i="31"/>
  <c r="J84" i="31" s="1"/>
  <c r="E79" i="31"/>
  <c r="E84" i="31" s="1"/>
  <c r="E57" i="31"/>
  <c r="F57" i="31"/>
  <c r="G57" i="31"/>
  <c r="H57" i="31"/>
  <c r="I57" i="31"/>
  <c r="E47" i="31"/>
  <c r="F47" i="31"/>
  <c r="G47" i="31"/>
  <c r="H47" i="31"/>
  <c r="I47" i="31"/>
  <c r="J47" i="31"/>
  <c r="E72" i="31"/>
  <c r="F72" i="31"/>
  <c r="G72" i="31"/>
  <c r="H72" i="31"/>
  <c r="I72" i="31"/>
  <c r="F22" i="35"/>
  <c r="G22" i="35"/>
  <c r="H22" i="35"/>
  <c r="I22" i="35"/>
  <c r="E22" i="35"/>
  <c r="F7" i="35"/>
  <c r="G7" i="35"/>
  <c r="H7" i="35"/>
  <c r="I7" i="35"/>
  <c r="J7" i="35"/>
  <c r="F10" i="35"/>
  <c r="G10" i="35"/>
  <c r="H10" i="35"/>
  <c r="I10" i="35"/>
  <c r="J10" i="35"/>
  <c r="F11" i="35"/>
  <c r="G11" i="35"/>
  <c r="H11" i="35"/>
  <c r="H17" i="35" s="1"/>
  <c r="I11" i="35"/>
  <c r="J11" i="35"/>
  <c r="E11" i="35"/>
  <c r="E10" i="35"/>
  <c r="E7" i="35"/>
  <c r="E5" i="35"/>
  <c r="F4" i="35"/>
  <c r="G4" i="35" s="1"/>
  <c r="K28" i="34"/>
  <c r="L28" i="34" s="1"/>
  <c r="M28" i="34" s="1"/>
  <c r="N28" i="34" s="1"/>
  <c r="K27" i="34"/>
  <c r="L27" i="34" s="1"/>
  <c r="M27" i="34" s="1"/>
  <c r="N27" i="34" s="1"/>
  <c r="K26" i="34"/>
  <c r="L26" i="34" s="1"/>
  <c r="K23" i="34"/>
  <c r="K22" i="34"/>
  <c r="L22" i="34" s="1"/>
  <c r="M22" i="34" s="1"/>
  <c r="N22" i="34" s="1"/>
  <c r="K21" i="34"/>
  <c r="K20" i="34"/>
  <c r="J69" i="34"/>
  <c r="K69" i="34" s="1"/>
  <c r="L69" i="34" s="1"/>
  <c r="M69" i="34" s="1"/>
  <c r="N69" i="34" s="1"/>
  <c r="J14" i="34"/>
  <c r="K14" i="34" s="1"/>
  <c r="L14" i="34" s="1"/>
  <c r="M14" i="34" s="1"/>
  <c r="N14" i="34" s="1"/>
  <c r="N44" i="34"/>
  <c r="H39" i="34"/>
  <c r="I39" i="34"/>
  <c r="M44" i="34"/>
  <c r="L44" i="34"/>
  <c r="K44" i="34"/>
  <c r="J42" i="34"/>
  <c r="J41" i="34"/>
  <c r="E44" i="34"/>
  <c r="J39" i="34"/>
  <c r="J10" i="34"/>
  <c r="L23" i="34"/>
  <c r="M23" i="34" s="1"/>
  <c r="L21" i="34"/>
  <c r="M21" i="34" s="1"/>
  <c r="L20" i="34"/>
  <c r="M20" i="34" s="1"/>
  <c r="N20" i="34" s="1"/>
  <c r="E10" i="34"/>
  <c r="I65" i="34"/>
  <c r="J12" i="34"/>
  <c r="J65" i="34" s="1"/>
  <c r="J11" i="34"/>
  <c r="I15" i="34"/>
  <c r="J59" i="34"/>
  <c r="J50" i="34"/>
  <c r="J54" i="34" s="1"/>
  <c r="J43" i="34"/>
  <c r="J36" i="34"/>
  <c r="J35" i="34"/>
  <c r="J34" i="34"/>
  <c r="J33" i="34"/>
  <c r="J29" i="34"/>
  <c r="J24" i="34"/>
  <c r="I59" i="34"/>
  <c r="I50" i="34"/>
  <c r="I54" i="34" s="1"/>
  <c r="I43" i="34"/>
  <c r="I42" i="34"/>
  <c r="I41" i="34"/>
  <c r="I36" i="34"/>
  <c r="I35" i="34"/>
  <c r="I34" i="34"/>
  <c r="I33" i="34"/>
  <c r="I29" i="34"/>
  <c r="I24" i="34"/>
  <c r="I62" i="34" s="1"/>
  <c r="H59" i="34"/>
  <c r="H50" i="34"/>
  <c r="H54" i="34" s="1"/>
  <c r="H43" i="34"/>
  <c r="H42" i="34"/>
  <c r="H41" i="34"/>
  <c r="H36" i="34"/>
  <c r="H35" i="34"/>
  <c r="H34" i="34"/>
  <c r="H33" i="34"/>
  <c r="H29" i="34"/>
  <c r="H24" i="34"/>
  <c r="G59" i="34"/>
  <c r="G50" i="34"/>
  <c r="G54" i="34" s="1"/>
  <c r="G43" i="34"/>
  <c r="F43" i="34"/>
  <c r="F42" i="34"/>
  <c r="F41" i="34"/>
  <c r="F39" i="34"/>
  <c r="F36" i="34"/>
  <c r="F35" i="34"/>
  <c r="F34" i="34"/>
  <c r="G34" i="34"/>
  <c r="G42" i="34"/>
  <c r="G41" i="34"/>
  <c r="G39" i="34"/>
  <c r="G36" i="34"/>
  <c r="G35" i="34"/>
  <c r="G33" i="34"/>
  <c r="G29" i="34"/>
  <c r="G24" i="34"/>
  <c r="F59" i="34"/>
  <c r="F29" i="34"/>
  <c r="F24" i="34"/>
  <c r="F50" i="34"/>
  <c r="F54" i="34" s="1"/>
  <c r="E59" i="34"/>
  <c r="E29" i="34"/>
  <c r="E24" i="34"/>
  <c r="E50" i="34"/>
  <c r="E54" i="34" s="1"/>
  <c r="F14" i="34"/>
  <c r="E14" i="34"/>
  <c r="F12" i="34"/>
  <c r="F65" i="34" s="1"/>
  <c r="E12" i="34"/>
  <c r="E65" i="34" s="1"/>
  <c r="F11" i="34"/>
  <c r="E11" i="34"/>
  <c r="F10" i="34"/>
  <c r="H14" i="34"/>
  <c r="H12" i="34"/>
  <c r="H65" i="34" s="1"/>
  <c r="H11" i="34"/>
  <c r="H10" i="34"/>
  <c r="G10" i="34"/>
  <c r="G14" i="34"/>
  <c r="G12" i="34"/>
  <c r="G65" i="34" s="1"/>
  <c r="G11" i="34"/>
  <c r="F7" i="34"/>
  <c r="G7" i="34"/>
  <c r="H7" i="34"/>
  <c r="I7" i="34"/>
  <c r="J7" i="34"/>
  <c r="E7" i="34"/>
  <c r="E5" i="34"/>
  <c r="F4" i="34"/>
  <c r="F5" i="34" s="1"/>
  <c r="I79" i="30"/>
  <c r="H79" i="30"/>
  <c r="G79" i="30"/>
  <c r="F79" i="30"/>
  <c r="E79" i="30"/>
  <c r="J73" i="30"/>
  <c r="I73" i="30"/>
  <c r="H73" i="30"/>
  <c r="G73" i="30"/>
  <c r="F73" i="30"/>
  <c r="E73" i="30"/>
  <c r="E6" i="33"/>
  <c r="F5" i="33"/>
  <c r="G5" i="33" s="1"/>
  <c r="E17" i="32"/>
  <c r="E80" i="31" s="1"/>
  <c r="E85" i="31" s="1"/>
  <c r="I10" i="32"/>
  <c r="I28" i="32" s="1"/>
  <c r="H10" i="32"/>
  <c r="H28" i="32" s="1"/>
  <c r="G10" i="32"/>
  <c r="G28" i="32" s="1"/>
  <c r="F10" i="32"/>
  <c r="F28" i="32" s="1"/>
  <c r="E10" i="32"/>
  <c r="E28" i="32" s="1"/>
  <c r="J17" i="32"/>
  <c r="J80" i="31" s="1"/>
  <c r="J85" i="31" s="1"/>
  <c r="I17" i="32"/>
  <c r="I8" i="35" s="1"/>
  <c r="H17" i="32"/>
  <c r="H8" i="35" s="1"/>
  <c r="G17" i="32"/>
  <c r="J10" i="32"/>
  <c r="F17" i="32"/>
  <c r="F8" i="35" s="1"/>
  <c r="E5" i="32"/>
  <c r="F4" i="32"/>
  <c r="G4" i="32" s="1"/>
  <c r="E5" i="31"/>
  <c r="F4" i="31"/>
  <c r="F5" i="31" s="1"/>
  <c r="E5" i="30"/>
  <c r="F4" i="30"/>
  <c r="F5" i="30" s="1"/>
  <c r="H68" i="34" l="1"/>
  <c r="L29" i="34"/>
  <c r="M26" i="34"/>
  <c r="M29" i="34" s="1"/>
  <c r="K24" i="34"/>
  <c r="K29" i="34"/>
  <c r="L12" i="18"/>
  <c r="K13" i="15" s="1"/>
  <c r="K14" i="15" s="1"/>
  <c r="J22" i="15" s="1"/>
  <c r="I17" i="33"/>
  <c r="I73" i="31"/>
  <c r="I75" i="31" s="1"/>
  <c r="G73" i="31"/>
  <c r="G75" i="31" s="1"/>
  <c r="K21" i="15"/>
  <c r="J19" i="32"/>
  <c r="J24" i="32" s="1"/>
  <c r="J28" i="32"/>
  <c r="J8" i="35"/>
  <c r="J14" i="35" s="1"/>
  <c r="K14" i="35" s="1"/>
  <c r="G16" i="35"/>
  <c r="I14" i="35"/>
  <c r="J16" i="35"/>
  <c r="J9" i="33"/>
  <c r="J11" i="33" s="1"/>
  <c r="K11" i="33" s="1"/>
  <c r="L11" i="33" s="1"/>
  <c r="M11" i="33" s="1"/>
  <c r="N11" i="33" s="1"/>
  <c r="O11" i="33" s="1"/>
  <c r="J29" i="32"/>
  <c r="G19" i="32"/>
  <c r="G24" i="32" s="1"/>
  <c r="G4" i="30"/>
  <c r="H4" i="30" s="1"/>
  <c r="I4" i="30" s="1"/>
  <c r="J4" i="30" s="1"/>
  <c r="D14" i="15"/>
  <c r="D13" i="15"/>
  <c r="K22" i="15" s="1"/>
  <c r="D15" i="33"/>
  <c r="H50" i="33"/>
  <c r="J50" i="33"/>
  <c r="I50" i="33"/>
  <c r="G50" i="33"/>
  <c r="F50" i="33"/>
  <c r="G75" i="33"/>
  <c r="E75" i="33"/>
  <c r="J75" i="33"/>
  <c r="I75" i="33"/>
  <c r="F75" i="33"/>
  <c r="H75" i="33"/>
  <c r="J88" i="33"/>
  <c r="I88" i="33"/>
  <c r="G88" i="33"/>
  <c r="F88" i="33"/>
  <c r="H88" i="33"/>
  <c r="E88" i="33"/>
  <c r="J73" i="31"/>
  <c r="J75" i="31" s="1"/>
  <c r="J17" i="35"/>
  <c r="K17" i="35" s="1"/>
  <c r="L17" i="35" s="1"/>
  <c r="M17" i="35" s="1"/>
  <c r="N17" i="35" s="1"/>
  <c r="G8" i="34"/>
  <c r="F19" i="32"/>
  <c r="F24" i="32" s="1"/>
  <c r="I19" i="32"/>
  <c r="I20" i="32" s="1"/>
  <c r="G17" i="35"/>
  <c r="I17" i="35"/>
  <c r="I80" i="31"/>
  <c r="I85" i="31" s="1"/>
  <c r="F16" i="35"/>
  <c r="H80" i="31"/>
  <c r="H85" i="31" s="1"/>
  <c r="J78" i="31"/>
  <c r="F8" i="34"/>
  <c r="F80" i="31"/>
  <c r="F85" i="31" s="1"/>
  <c r="H78" i="31"/>
  <c r="E19" i="32"/>
  <c r="E78" i="31"/>
  <c r="G78" i="31"/>
  <c r="G80" i="31"/>
  <c r="G85" i="31" s="1"/>
  <c r="F14" i="35"/>
  <c r="F78" i="31"/>
  <c r="J8" i="34"/>
  <c r="F17" i="35"/>
  <c r="I8" i="34"/>
  <c r="E17" i="35"/>
  <c r="H16" i="35"/>
  <c r="E16" i="35"/>
  <c r="I16" i="35"/>
  <c r="H14" i="35"/>
  <c r="H8" i="34"/>
  <c r="F73" i="31"/>
  <c r="F75" i="31" s="1"/>
  <c r="E73" i="31"/>
  <c r="E75" i="31" s="1"/>
  <c r="H73" i="31"/>
  <c r="H75" i="31" s="1"/>
  <c r="G4" i="31"/>
  <c r="G5" i="31" s="1"/>
  <c r="H19" i="32"/>
  <c r="H24" i="32" s="1"/>
  <c r="E8" i="35"/>
  <c r="G8" i="35"/>
  <c r="G14" i="35" s="1"/>
  <c r="J25" i="32"/>
  <c r="G5" i="35"/>
  <c r="H4" i="35"/>
  <c r="F5" i="35"/>
  <c r="F44" i="34"/>
  <c r="J66" i="34"/>
  <c r="K66" i="34" s="1"/>
  <c r="L66" i="34" s="1"/>
  <c r="M66" i="34" s="1"/>
  <c r="N66" i="34" s="1"/>
  <c r="G66" i="34"/>
  <c r="K39" i="34"/>
  <c r="H66" i="34"/>
  <c r="E15" i="34"/>
  <c r="F66" i="34"/>
  <c r="N24" i="34"/>
  <c r="H44" i="34"/>
  <c r="G44" i="34"/>
  <c r="G62" i="34"/>
  <c r="J44" i="34"/>
  <c r="I66" i="34"/>
  <c r="F62" i="34"/>
  <c r="I44" i="34"/>
  <c r="J68" i="34"/>
  <c r="K68" i="34" s="1"/>
  <c r="H62" i="34"/>
  <c r="E68" i="34"/>
  <c r="M24" i="34"/>
  <c r="L24" i="34"/>
  <c r="G68" i="34"/>
  <c r="F68" i="34"/>
  <c r="J15" i="34"/>
  <c r="J16" i="34" s="1"/>
  <c r="F15" i="34"/>
  <c r="H15" i="34"/>
  <c r="G15" i="34"/>
  <c r="G16" i="34" s="1"/>
  <c r="J5" i="30"/>
  <c r="I5" i="30"/>
  <c r="H5" i="30"/>
  <c r="G5" i="30"/>
  <c r="G4" i="34"/>
  <c r="G6" i="33"/>
  <c r="H5" i="33"/>
  <c r="F6" i="33"/>
  <c r="J20" i="32"/>
  <c r="G5" i="32"/>
  <c r="H4" i="32"/>
  <c r="F5" i="32"/>
  <c r="AM9" i="18"/>
  <c r="AM10" i="18"/>
  <c r="AM11" i="18"/>
  <c r="AM12" i="18"/>
  <c r="AM13" i="18"/>
  <c r="AM14" i="18"/>
  <c r="AM15" i="18"/>
  <c r="AM16" i="18"/>
  <c r="AM17" i="18"/>
  <c r="AM18" i="18"/>
  <c r="AM19" i="18"/>
  <c r="AM20" i="18"/>
  <c r="AM21" i="18"/>
  <c r="AM22" i="18"/>
  <c r="AM23" i="18"/>
  <c r="AM24" i="18"/>
  <c r="AM25" i="18"/>
  <c r="AM26" i="18"/>
  <c r="AM27" i="18"/>
  <c r="AM28" i="18"/>
  <c r="AM29" i="18"/>
  <c r="AM30" i="18"/>
  <c r="AM31" i="18"/>
  <c r="AM32" i="18"/>
  <c r="AM33" i="18"/>
  <c r="AM34" i="18"/>
  <c r="AM35" i="18"/>
  <c r="AM36" i="18"/>
  <c r="AM37" i="18"/>
  <c r="AM38" i="18"/>
  <c r="AM39" i="18"/>
  <c r="AM40" i="18"/>
  <c r="AM41" i="18"/>
  <c r="AM42" i="18"/>
  <c r="AM43" i="18"/>
  <c r="AM44" i="18"/>
  <c r="AM45" i="18"/>
  <c r="AM46" i="18"/>
  <c r="AM47" i="18"/>
  <c r="AM48" i="18"/>
  <c r="AM49" i="18"/>
  <c r="AM50" i="18"/>
  <c r="AM51" i="18"/>
  <c r="AM52" i="18"/>
  <c r="AM53" i="18"/>
  <c r="AM54" i="18"/>
  <c r="AM55" i="18"/>
  <c r="AM56" i="18"/>
  <c r="AM57" i="18"/>
  <c r="AM58" i="18"/>
  <c r="AM59" i="18"/>
  <c r="AM60" i="18"/>
  <c r="AM61" i="18"/>
  <c r="AM62" i="18"/>
  <c r="AM63" i="18"/>
  <c r="AM64" i="18"/>
  <c r="AM65" i="18"/>
  <c r="AM66" i="18"/>
  <c r="AM67" i="18"/>
  <c r="AM68" i="18"/>
  <c r="AM69" i="18"/>
  <c r="AM70" i="18"/>
  <c r="AM71" i="18"/>
  <c r="AM72" i="18"/>
  <c r="AM73" i="18"/>
  <c r="AM74" i="18"/>
  <c r="AM75" i="18"/>
  <c r="AM76" i="18"/>
  <c r="AM77" i="18"/>
  <c r="AM78" i="18"/>
  <c r="AM79" i="18"/>
  <c r="AM80" i="18"/>
  <c r="AM81" i="18"/>
  <c r="AM82" i="18"/>
  <c r="AM83" i="18"/>
  <c r="AM84" i="18"/>
  <c r="AM85" i="18"/>
  <c r="AM86" i="18"/>
  <c r="AM87" i="18"/>
  <c r="AM88" i="18"/>
  <c r="AM89" i="18"/>
  <c r="AM90" i="18"/>
  <c r="AM91" i="18"/>
  <c r="AM92" i="18"/>
  <c r="AM93" i="18"/>
  <c r="AM94" i="18"/>
  <c r="AM95" i="18"/>
  <c r="AM96" i="18"/>
  <c r="AM97" i="18"/>
  <c r="AM98" i="18"/>
  <c r="AM99" i="18"/>
  <c r="AM100" i="18"/>
  <c r="AM101" i="18"/>
  <c r="AM102" i="18"/>
  <c r="AM103" i="18"/>
  <c r="AM104" i="18"/>
  <c r="AM105" i="18"/>
  <c r="AM106" i="18"/>
  <c r="AM107" i="18"/>
  <c r="AM108" i="18"/>
  <c r="AM109" i="18"/>
  <c r="AM110" i="18"/>
  <c r="AM8" i="18"/>
  <c r="AI9" i="18"/>
  <c r="AI10" i="18"/>
  <c r="AI11" i="18"/>
  <c r="AI12" i="18"/>
  <c r="AI13" i="18"/>
  <c r="AI14" i="18"/>
  <c r="AI15" i="18"/>
  <c r="AI16" i="18"/>
  <c r="AI17" i="18"/>
  <c r="AI18" i="18"/>
  <c r="AI19" i="18"/>
  <c r="AI20" i="18"/>
  <c r="AI21" i="18"/>
  <c r="AI22" i="18"/>
  <c r="AI23" i="18"/>
  <c r="AI24" i="18"/>
  <c r="AI25" i="18"/>
  <c r="AI26" i="18"/>
  <c r="AI27" i="18"/>
  <c r="AI28" i="18"/>
  <c r="AI29" i="18"/>
  <c r="AI30" i="18"/>
  <c r="AI31" i="18"/>
  <c r="AI32" i="18"/>
  <c r="AI33" i="18"/>
  <c r="AI34" i="18"/>
  <c r="AI35" i="18"/>
  <c r="AI36" i="18"/>
  <c r="AI37" i="18"/>
  <c r="AI38" i="18"/>
  <c r="AI39" i="18"/>
  <c r="AI40" i="18"/>
  <c r="AI41" i="18"/>
  <c r="AI42" i="18"/>
  <c r="AI43" i="18"/>
  <c r="AI44" i="18"/>
  <c r="AI45" i="18"/>
  <c r="AI46" i="18"/>
  <c r="AI47" i="18"/>
  <c r="AI48" i="18"/>
  <c r="AI49" i="18"/>
  <c r="AI50" i="18"/>
  <c r="AI51" i="18"/>
  <c r="AI52" i="18"/>
  <c r="AI53" i="18"/>
  <c r="AI54" i="18"/>
  <c r="AI55" i="18"/>
  <c r="AI56" i="18"/>
  <c r="AI57" i="18"/>
  <c r="AI58" i="18"/>
  <c r="AI59" i="18"/>
  <c r="AI60" i="18"/>
  <c r="AI61" i="18"/>
  <c r="AI62" i="18"/>
  <c r="AI63" i="18"/>
  <c r="AI64" i="18"/>
  <c r="AI65" i="18"/>
  <c r="AI66" i="18"/>
  <c r="AI67" i="18"/>
  <c r="AI68" i="18"/>
  <c r="AI69" i="18"/>
  <c r="AI70" i="18"/>
  <c r="AI71" i="18"/>
  <c r="AI72" i="18"/>
  <c r="AI73" i="18"/>
  <c r="AI74" i="18"/>
  <c r="AI75" i="18"/>
  <c r="AI76" i="18"/>
  <c r="AI77" i="18"/>
  <c r="AI78" i="18"/>
  <c r="AI79" i="18"/>
  <c r="AI80" i="18"/>
  <c r="AI81" i="18"/>
  <c r="AI82" i="18"/>
  <c r="AI83" i="18"/>
  <c r="AI84" i="18"/>
  <c r="AI85" i="18"/>
  <c r="AI86" i="18"/>
  <c r="AI87" i="18"/>
  <c r="AI88" i="18"/>
  <c r="AI89" i="18"/>
  <c r="AI90" i="18"/>
  <c r="AI91" i="18"/>
  <c r="AI92" i="18"/>
  <c r="AI93" i="18"/>
  <c r="AI94" i="18"/>
  <c r="AI95" i="18"/>
  <c r="AI96" i="18"/>
  <c r="AI97" i="18"/>
  <c r="AI98" i="18"/>
  <c r="AI99" i="18"/>
  <c r="AI100" i="18"/>
  <c r="AI101" i="18"/>
  <c r="AI102" i="18"/>
  <c r="AI103" i="18"/>
  <c r="AI104" i="18"/>
  <c r="AI105" i="18"/>
  <c r="AI106" i="18"/>
  <c r="AI107" i="18"/>
  <c r="AI108" i="18"/>
  <c r="AI109" i="18"/>
  <c r="AI110" i="18"/>
  <c r="AI8" i="18"/>
  <c r="AE9" i="18"/>
  <c r="AE10" i="18"/>
  <c r="AE11" i="18"/>
  <c r="AE12" i="18"/>
  <c r="AE13" i="18"/>
  <c r="AE14" i="18"/>
  <c r="AE15" i="18"/>
  <c r="AE16" i="18"/>
  <c r="AE17" i="18"/>
  <c r="AE18" i="18"/>
  <c r="AE19" i="18"/>
  <c r="AE20" i="18"/>
  <c r="AE21" i="18"/>
  <c r="AE22" i="18"/>
  <c r="AE23" i="18"/>
  <c r="AE24" i="18"/>
  <c r="AE25" i="18"/>
  <c r="AE26" i="18"/>
  <c r="AE27" i="18"/>
  <c r="AE28" i="18"/>
  <c r="AE29" i="18"/>
  <c r="AE30" i="18"/>
  <c r="AE31" i="18"/>
  <c r="AE32" i="18"/>
  <c r="AE33" i="18"/>
  <c r="AE34" i="18"/>
  <c r="AE35" i="18"/>
  <c r="AE36" i="18"/>
  <c r="AE37" i="18"/>
  <c r="AE38" i="18"/>
  <c r="AE39" i="18"/>
  <c r="AE40" i="18"/>
  <c r="AE41" i="18"/>
  <c r="AE42" i="18"/>
  <c r="AE43" i="18"/>
  <c r="AE44" i="18"/>
  <c r="AE45" i="18"/>
  <c r="AE46" i="18"/>
  <c r="AE47" i="18"/>
  <c r="AE48" i="18"/>
  <c r="AE49" i="18"/>
  <c r="AE50" i="18"/>
  <c r="AE51" i="18"/>
  <c r="AE52" i="18"/>
  <c r="AE53" i="18"/>
  <c r="AE54" i="18"/>
  <c r="AE55" i="18"/>
  <c r="AE56" i="18"/>
  <c r="AE57" i="18"/>
  <c r="AE58" i="18"/>
  <c r="AE59" i="18"/>
  <c r="AE60" i="18"/>
  <c r="AE61" i="18"/>
  <c r="AE62" i="18"/>
  <c r="AE63" i="18"/>
  <c r="AE64" i="18"/>
  <c r="AE65" i="18"/>
  <c r="AE66" i="18"/>
  <c r="AE67" i="18"/>
  <c r="AE68" i="18"/>
  <c r="AE69" i="18"/>
  <c r="AE70" i="18"/>
  <c r="AE71" i="18"/>
  <c r="AE72" i="18"/>
  <c r="AE73" i="18"/>
  <c r="AE74" i="18"/>
  <c r="AE75" i="18"/>
  <c r="AE76" i="18"/>
  <c r="AE77" i="18"/>
  <c r="AE78" i="18"/>
  <c r="AE79" i="18"/>
  <c r="AE80" i="18"/>
  <c r="AE81" i="18"/>
  <c r="AE82" i="18"/>
  <c r="AE83" i="18"/>
  <c r="AE84" i="18"/>
  <c r="AE85" i="18"/>
  <c r="AE86" i="18"/>
  <c r="AE87" i="18"/>
  <c r="AE88" i="18"/>
  <c r="AE89" i="18"/>
  <c r="AE90" i="18"/>
  <c r="AE91" i="18"/>
  <c r="AE92" i="18"/>
  <c r="AE93" i="18"/>
  <c r="AE94" i="18"/>
  <c r="AE95" i="18"/>
  <c r="AE96" i="18"/>
  <c r="AE97" i="18"/>
  <c r="AE98" i="18"/>
  <c r="AE99" i="18"/>
  <c r="AE100" i="18"/>
  <c r="AE101" i="18"/>
  <c r="AE102" i="18"/>
  <c r="AE103" i="18"/>
  <c r="AE104" i="18"/>
  <c r="AE105" i="18"/>
  <c r="AE106" i="18"/>
  <c r="AE107" i="18"/>
  <c r="AE108" i="18"/>
  <c r="AE109" i="18"/>
  <c r="AE110" i="18"/>
  <c r="AE8" i="18"/>
  <c r="AA9" i="18"/>
  <c r="AA10" i="18"/>
  <c r="AA11" i="18"/>
  <c r="AA12" i="18"/>
  <c r="AA13" i="18"/>
  <c r="AA14" i="18"/>
  <c r="AA15" i="18"/>
  <c r="AA16" i="18"/>
  <c r="AA17" i="18"/>
  <c r="AA18" i="18"/>
  <c r="AA19" i="18"/>
  <c r="AA20" i="18"/>
  <c r="AA21" i="18"/>
  <c r="AA22" i="18"/>
  <c r="AA23" i="18"/>
  <c r="AA24" i="18"/>
  <c r="AA25" i="18"/>
  <c r="AA26" i="18"/>
  <c r="AA27" i="18"/>
  <c r="AA28" i="18"/>
  <c r="AA29" i="18"/>
  <c r="AA30" i="18"/>
  <c r="AA31" i="18"/>
  <c r="AA32" i="18"/>
  <c r="AA33" i="18"/>
  <c r="AA34" i="18"/>
  <c r="AA35" i="18"/>
  <c r="AA36" i="18"/>
  <c r="AA37" i="18"/>
  <c r="AA38" i="18"/>
  <c r="AA39" i="18"/>
  <c r="AA40" i="18"/>
  <c r="AA41" i="18"/>
  <c r="AA42" i="18"/>
  <c r="AA43" i="18"/>
  <c r="AA44" i="18"/>
  <c r="AA45" i="18"/>
  <c r="AA46" i="18"/>
  <c r="AA47" i="18"/>
  <c r="AA48" i="18"/>
  <c r="AA49" i="18"/>
  <c r="AA50" i="18"/>
  <c r="AA51" i="18"/>
  <c r="AA52" i="18"/>
  <c r="AA53" i="18"/>
  <c r="AA54" i="18"/>
  <c r="AA55" i="18"/>
  <c r="AA56" i="18"/>
  <c r="AA57" i="18"/>
  <c r="AA58" i="18"/>
  <c r="AA59" i="18"/>
  <c r="AA60" i="18"/>
  <c r="AA61" i="18"/>
  <c r="AA62" i="18"/>
  <c r="AA63" i="18"/>
  <c r="AA64" i="18"/>
  <c r="AA65" i="18"/>
  <c r="AA66" i="18"/>
  <c r="AA67" i="18"/>
  <c r="AA68" i="18"/>
  <c r="AA69" i="18"/>
  <c r="AA70" i="18"/>
  <c r="AA71" i="18"/>
  <c r="AA72" i="18"/>
  <c r="AA73" i="18"/>
  <c r="AA74" i="18"/>
  <c r="AA75" i="18"/>
  <c r="AA76" i="18"/>
  <c r="AA77" i="18"/>
  <c r="AA78" i="18"/>
  <c r="AA79" i="18"/>
  <c r="AA80" i="18"/>
  <c r="AA81" i="18"/>
  <c r="AA82" i="18"/>
  <c r="AA83" i="18"/>
  <c r="AA84" i="18"/>
  <c r="AA85" i="18"/>
  <c r="AA86" i="18"/>
  <c r="AA87" i="18"/>
  <c r="AA88" i="18"/>
  <c r="AA89" i="18"/>
  <c r="AA90" i="18"/>
  <c r="AA91" i="18"/>
  <c r="AA92" i="18"/>
  <c r="AA93" i="18"/>
  <c r="AA94" i="18"/>
  <c r="AA95" i="18"/>
  <c r="AA96" i="18"/>
  <c r="AA97" i="18"/>
  <c r="AA98" i="18"/>
  <c r="AA99" i="18"/>
  <c r="AA100" i="18"/>
  <c r="AA101" i="18"/>
  <c r="AA102" i="18"/>
  <c r="AA103" i="18"/>
  <c r="AA104" i="18"/>
  <c r="AA105" i="18"/>
  <c r="AA106" i="18"/>
  <c r="AA107" i="18"/>
  <c r="AA108" i="18"/>
  <c r="AA109" i="18"/>
  <c r="AA110" i="18"/>
  <c r="AA8" i="18"/>
  <c r="F16" i="34" l="1"/>
  <c r="H16" i="34"/>
  <c r="H63" i="34"/>
  <c r="L39" i="34"/>
  <c r="M39" i="34" s="1"/>
  <c r="N39" i="34" s="1"/>
  <c r="K25" i="34"/>
  <c r="K65" i="34"/>
  <c r="L65" i="34" s="1"/>
  <c r="M65" i="34" s="1"/>
  <c r="N65" i="34" s="1"/>
  <c r="I16" i="34"/>
  <c r="D16" i="15"/>
  <c r="K23" i="15"/>
  <c r="J38" i="32"/>
  <c r="J42" i="32" s="1"/>
  <c r="G20" i="32"/>
  <c r="E24" i="32"/>
  <c r="K16" i="35"/>
  <c r="L16" i="35" s="1"/>
  <c r="I24" i="32"/>
  <c r="I29" i="32" s="1"/>
  <c r="F29" i="32"/>
  <c r="F9" i="33"/>
  <c r="F11" i="33" s="1"/>
  <c r="G25" i="32"/>
  <c r="G29" i="32"/>
  <c r="G9" i="33"/>
  <c r="G11" i="33" s="1"/>
  <c r="H25" i="32"/>
  <c r="H29" i="32"/>
  <c r="H9" i="33"/>
  <c r="H11" i="33" s="1"/>
  <c r="F20" i="32"/>
  <c r="F25" i="32"/>
  <c r="K49" i="33"/>
  <c r="L49" i="33" s="1"/>
  <c r="M49" i="33" s="1"/>
  <c r="N49" i="33" s="1"/>
  <c r="E90" i="33"/>
  <c r="E51" i="33" s="1"/>
  <c r="G90" i="33"/>
  <c r="H90" i="33"/>
  <c r="F90" i="33"/>
  <c r="I90" i="33"/>
  <c r="J90" i="33"/>
  <c r="H20" i="32"/>
  <c r="G18" i="35"/>
  <c r="E18" i="35"/>
  <c r="J18" i="35"/>
  <c r="I18" i="35"/>
  <c r="F18" i="35"/>
  <c r="H18" i="35"/>
  <c r="H4" i="31"/>
  <c r="H5" i="31" s="1"/>
  <c r="L14" i="35"/>
  <c r="H5" i="35"/>
  <c r="I4" i="35"/>
  <c r="G63" i="34"/>
  <c r="F63" i="34"/>
  <c r="L68" i="34"/>
  <c r="L10" i="34" s="1"/>
  <c r="K10" i="34"/>
  <c r="I63" i="34"/>
  <c r="L63" i="34"/>
  <c r="M63" i="34" s="1"/>
  <c r="N63" i="34" s="1"/>
  <c r="G5" i="34"/>
  <c r="H4" i="34"/>
  <c r="I5" i="33"/>
  <c r="H6" i="33"/>
  <c r="I4" i="32"/>
  <c r="H5" i="32"/>
  <c r="K12" i="34" l="1"/>
  <c r="J21" i="35"/>
  <c r="J23" i="35" s="1"/>
  <c r="K23" i="35" s="1"/>
  <c r="L23" i="35" s="1"/>
  <c r="M23" i="35" s="1"/>
  <c r="J48" i="33"/>
  <c r="K18" i="35"/>
  <c r="H32" i="32"/>
  <c r="H33" i="32" s="1"/>
  <c r="M16" i="35"/>
  <c r="I9" i="33"/>
  <c r="I11" i="33" s="1"/>
  <c r="I25" i="32"/>
  <c r="E29" i="32"/>
  <c r="E9" i="33"/>
  <c r="E11" i="33" s="1"/>
  <c r="E25" i="32"/>
  <c r="G32" i="32"/>
  <c r="H21" i="35"/>
  <c r="H23" i="35" s="1"/>
  <c r="I32" i="32"/>
  <c r="F32" i="32"/>
  <c r="G51" i="33"/>
  <c r="H51" i="33"/>
  <c r="J51" i="33"/>
  <c r="I51" i="33"/>
  <c r="F51" i="33"/>
  <c r="I4" i="31"/>
  <c r="J4" i="31" s="1"/>
  <c r="M14" i="35"/>
  <c r="L18" i="35"/>
  <c r="I5" i="35"/>
  <c r="J4" i="35"/>
  <c r="N26" i="34"/>
  <c r="N29" i="34" s="1"/>
  <c r="L25" i="34"/>
  <c r="M25" i="34" s="1"/>
  <c r="N25" i="34" s="1"/>
  <c r="N12" i="34" s="1"/>
  <c r="M68" i="34"/>
  <c r="L62" i="34"/>
  <c r="K11" i="34"/>
  <c r="H5" i="34"/>
  <c r="I4" i="34"/>
  <c r="I6" i="33"/>
  <c r="J5" i="33"/>
  <c r="J4" i="32"/>
  <c r="I5" i="32"/>
  <c r="H38" i="32" l="1"/>
  <c r="E32" i="32"/>
  <c r="E21" i="35" s="1"/>
  <c r="E23" i="35" s="1"/>
  <c r="E33" i="32"/>
  <c r="N16" i="35"/>
  <c r="G21" i="35"/>
  <c r="G23" i="35" s="1"/>
  <c r="G38" i="32"/>
  <c r="G33" i="32"/>
  <c r="F21" i="35"/>
  <c r="F23" i="35" s="1"/>
  <c r="F38" i="32"/>
  <c r="I38" i="32"/>
  <c r="I21" i="35"/>
  <c r="I23" i="35" s="1"/>
  <c r="H42" i="32"/>
  <c r="H48" i="33"/>
  <c r="H55" i="33" s="1"/>
  <c r="H52" i="33"/>
  <c r="I52" i="33"/>
  <c r="J55" i="33"/>
  <c r="F52" i="33"/>
  <c r="G52" i="33"/>
  <c r="J52" i="33"/>
  <c r="N23" i="35"/>
  <c r="I5" i="31"/>
  <c r="N14" i="35"/>
  <c r="M18" i="35"/>
  <c r="J5" i="35"/>
  <c r="K4" i="35"/>
  <c r="M10" i="34"/>
  <c r="M12" i="34"/>
  <c r="L12" i="34"/>
  <c r="M62" i="34"/>
  <c r="L11" i="34"/>
  <c r="N68" i="34"/>
  <c r="N10" i="34" s="1"/>
  <c r="J4" i="34"/>
  <c r="I5" i="34"/>
  <c r="J6" i="33"/>
  <c r="K5" i="33"/>
  <c r="K4" i="32"/>
  <c r="J5" i="32"/>
  <c r="J5" i="31"/>
  <c r="E38" i="32" l="1"/>
  <c r="E48" i="33"/>
  <c r="E42" i="32"/>
  <c r="I48" i="33"/>
  <c r="I55" i="33" s="1"/>
  <c r="I42" i="32"/>
  <c r="F48" i="33"/>
  <c r="F55" i="33" s="1"/>
  <c r="F42" i="32"/>
  <c r="G48" i="33"/>
  <c r="G55" i="33" s="1"/>
  <c r="G42" i="32"/>
  <c r="P11" i="33"/>
  <c r="Q11" i="33" s="1"/>
  <c r="R11" i="33" s="1"/>
  <c r="S11" i="33" s="1"/>
  <c r="T11" i="33" s="1"/>
  <c r="U11" i="33" s="1"/>
  <c r="V11" i="33" s="1"/>
  <c r="W11" i="33" s="1"/>
  <c r="X11" i="33" s="1"/>
  <c r="K51" i="33"/>
  <c r="N18" i="35"/>
  <c r="L4" i="35"/>
  <c r="K5" i="35"/>
  <c r="N62" i="34"/>
  <c r="N11" i="34" s="1"/>
  <c r="M11" i="34"/>
  <c r="K4" i="34"/>
  <c r="J5" i="34"/>
  <c r="K6" i="33"/>
  <c r="L5" i="33"/>
  <c r="K5" i="32"/>
  <c r="L4" i="32"/>
  <c r="L51" i="33" l="1"/>
  <c r="M4" i="35"/>
  <c r="L5" i="35"/>
  <c r="K5" i="34"/>
  <c r="L4" i="34"/>
  <c r="L6" i="33"/>
  <c r="M5" i="33"/>
  <c r="L5" i="32"/>
  <c r="M4" i="32"/>
  <c r="AI3" i="18"/>
  <c r="AE3" i="18"/>
  <c r="AM3" i="18"/>
  <c r="AA3" i="18"/>
  <c r="M51" i="33" l="1"/>
  <c r="N51" i="33" s="1"/>
  <c r="M5" i="35"/>
  <c r="N4" i="35"/>
  <c r="L5" i="34"/>
  <c r="M4" i="34"/>
  <c r="M6" i="33"/>
  <c r="N5" i="33"/>
  <c r="O5" i="33" s="1"/>
  <c r="M5" i="32"/>
  <c r="N4" i="32"/>
  <c r="O6" i="33" l="1"/>
  <c r="P5" i="33"/>
  <c r="N5" i="35"/>
  <c r="M5" i="34"/>
  <c r="N4" i="34"/>
  <c r="N6" i="33"/>
  <c r="N5" i="32"/>
  <c r="D25" i="33" l="1"/>
  <c r="Q5" i="33"/>
  <c r="P6" i="33"/>
  <c r="N5" i="34"/>
  <c r="Q6" i="33" l="1"/>
  <c r="R5" i="33"/>
  <c r="R6" i="33" l="1"/>
  <c r="S5" i="33"/>
  <c r="I34" i="11"/>
  <c r="F34" i="11"/>
  <c r="G34" i="11"/>
  <c r="H34" i="11"/>
  <c r="S6" i="33" l="1"/>
  <c r="T5" i="33"/>
  <c r="E34" i="11"/>
  <c r="P34" i="11" l="1"/>
  <c r="O34" i="11"/>
  <c r="T6" i="33"/>
  <c r="U5" i="33"/>
  <c r="U6" i="33" l="1"/>
  <c r="V5" i="33"/>
  <c r="W5" i="33" l="1"/>
  <c r="V6" i="33"/>
  <c r="X5" i="33" l="1"/>
  <c r="W6" i="33"/>
  <c r="Y5" i="33" l="1"/>
  <c r="X6" i="33"/>
  <c r="Y6" i="33" l="1"/>
  <c r="Z5" i="33"/>
  <c r="Z6" i="33" l="1"/>
  <c r="AA5" i="33"/>
  <c r="AA6" i="33" l="1"/>
  <c r="AB5" i="33"/>
  <c r="AB6" i="33" l="1"/>
  <c r="AC5" i="33"/>
  <c r="AD5" i="33" l="1"/>
  <c r="AD6" i="33" s="1"/>
  <c r="AC6" i="33"/>
  <c r="N13" i="34"/>
  <c r="N15" i="34" s="1"/>
  <c r="L46" i="34"/>
  <c r="K30" i="34" l="1"/>
  <c r="K13" i="34" s="1"/>
  <c r="N7" i="34"/>
  <c r="L30" i="34"/>
  <c r="M46" i="34"/>
  <c r="N46" i="34" s="1"/>
  <c r="N7" i="32" l="1"/>
  <c r="K7" i="34"/>
  <c r="K8" i="34" s="1"/>
  <c r="K16" i="34"/>
  <c r="M30" i="34"/>
  <c r="M13" i="34" s="1"/>
  <c r="M15" i="34" s="1"/>
  <c r="L13" i="34"/>
  <c r="M7" i="34" l="1"/>
  <c r="M16" i="34"/>
  <c r="N16" i="34"/>
  <c r="L7" i="34"/>
  <c r="L16" i="34"/>
  <c r="K7" i="32"/>
  <c r="N7" i="35"/>
  <c r="N10" i="32"/>
  <c r="Y11" i="33"/>
  <c r="K10" i="32" l="1"/>
  <c r="L53" i="33"/>
  <c r="K7" i="35"/>
  <c r="L14" i="33"/>
  <c r="L8" i="34"/>
  <c r="L7" i="32"/>
  <c r="N11" i="35"/>
  <c r="N23" i="32" s="1"/>
  <c r="N10" i="35"/>
  <c r="N22" i="32" s="1"/>
  <c r="N8" i="35"/>
  <c r="N17" i="32" s="1"/>
  <c r="N27" i="32"/>
  <c r="N19" i="32"/>
  <c r="M7" i="32"/>
  <c r="M8" i="34"/>
  <c r="N8" i="34"/>
  <c r="Z11" i="33"/>
  <c r="AA11" i="33" s="1"/>
  <c r="AB11" i="33" s="1"/>
  <c r="AC11" i="33" s="1"/>
  <c r="K27" i="32" l="1"/>
  <c r="J17" i="11" s="1"/>
  <c r="J6" i="11"/>
  <c r="K11" i="35"/>
  <c r="K23" i="32" s="1"/>
  <c r="K8" i="35"/>
  <c r="K17" i="32" s="1"/>
  <c r="K19" i="32" s="1"/>
  <c r="K10" i="35"/>
  <c r="K22" i="32" s="1"/>
  <c r="J16" i="11" s="1"/>
  <c r="L10" i="32"/>
  <c r="L6" i="11" s="1"/>
  <c r="L7" i="35"/>
  <c r="M53" i="33"/>
  <c r="M14" i="33"/>
  <c r="M7" i="35"/>
  <c r="M10" i="32"/>
  <c r="N53" i="33"/>
  <c r="N14" i="33"/>
  <c r="N24" i="32"/>
  <c r="N20" i="32"/>
  <c r="K6" i="11" l="1"/>
  <c r="O6" i="11" s="1"/>
  <c r="J7" i="11"/>
  <c r="J11" i="11"/>
  <c r="P6" i="11"/>
  <c r="O17" i="11"/>
  <c r="L11" i="35"/>
  <c r="L23" i="32" s="1"/>
  <c r="L8" i="35"/>
  <c r="L17" i="32" s="1"/>
  <c r="L10" i="35"/>
  <c r="L22" i="32" s="1"/>
  <c r="K16" i="11" s="1"/>
  <c r="P16" i="11" s="1"/>
  <c r="M11" i="35"/>
  <c r="M23" i="32" s="1"/>
  <c r="M10" i="35"/>
  <c r="M22" i="32" s="1"/>
  <c r="M8" i="35"/>
  <c r="M17" i="32" s="1"/>
  <c r="M19" i="32" s="1"/>
  <c r="N25" i="32"/>
  <c r="N9" i="33"/>
  <c r="N10" i="33" s="1"/>
  <c r="N29" i="32"/>
  <c r="L27" i="32"/>
  <c r="K17" i="11" s="1"/>
  <c r="P17" i="11" s="1"/>
  <c r="L19" i="32"/>
  <c r="K20" i="32"/>
  <c r="K24" i="32"/>
  <c r="M27" i="32"/>
  <c r="O16" i="11" l="1"/>
  <c r="K11" i="11"/>
  <c r="L7" i="11"/>
  <c r="K7" i="11"/>
  <c r="J8" i="11"/>
  <c r="J12" i="11"/>
  <c r="J18" i="11"/>
  <c r="K8" i="11"/>
  <c r="P11" i="11"/>
  <c r="O11" i="11"/>
  <c r="P7" i="11"/>
  <c r="O7" i="11"/>
  <c r="M24" i="32"/>
  <c r="M20" i="32"/>
  <c r="K25" i="32"/>
  <c r="K29" i="32"/>
  <c r="J13" i="11" s="1"/>
  <c r="K9" i="33"/>
  <c r="K10" i="33" s="1"/>
  <c r="L24" i="32"/>
  <c r="L20" i="32"/>
  <c r="N32" i="32"/>
  <c r="K18" i="11" l="1"/>
  <c r="L8" i="11"/>
  <c r="P8" i="11" s="1"/>
  <c r="K12" i="11"/>
  <c r="P12" i="11"/>
  <c r="O12" i="11"/>
  <c r="P18" i="11"/>
  <c r="O18" i="11"/>
  <c r="O8" i="11"/>
  <c r="N38" i="32"/>
  <c r="N33" i="32"/>
  <c r="L25" i="32"/>
  <c r="L9" i="33"/>
  <c r="L10" i="33" s="1"/>
  <c r="L29" i="32"/>
  <c r="K13" i="11" s="1"/>
  <c r="P13" i="11" s="1"/>
  <c r="K32" i="32"/>
  <c r="M25" i="32"/>
  <c r="M29" i="32"/>
  <c r="M9" i="33"/>
  <c r="M10" i="33" s="1"/>
  <c r="O13" i="11" l="1"/>
  <c r="K38" i="32"/>
  <c r="K33" i="32"/>
  <c r="L32" i="32"/>
  <c r="M32" i="32"/>
  <c r="N39" i="32"/>
  <c r="N40" i="32" s="1"/>
  <c r="N42" i="32"/>
  <c r="N45" i="32" l="1"/>
  <c r="N46" i="32"/>
  <c r="N13" i="33"/>
  <c r="N17" i="33" s="1"/>
  <c r="N48" i="33"/>
  <c r="N55" i="33" s="1"/>
  <c r="M33" i="32"/>
  <c r="M38" i="32"/>
  <c r="L38" i="32"/>
  <c r="L33" i="32"/>
  <c r="K39" i="32"/>
  <c r="K40" i="32" s="1"/>
  <c r="K42" i="32"/>
  <c r="J14" i="11" l="1"/>
  <c r="J9" i="11"/>
  <c r="L39" i="32"/>
  <c r="L40" i="32" s="1"/>
  <c r="L42" i="32"/>
  <c r="M39" i="32"/>
  <c r="M40" i="32" s="1"/>
  <c r="M42" i="32"/>
  <c r="O17" i="33"/>
  <c r="N19" i="33"/>
  <c r="K45" i="32"/>
  <c r="K46" i="32"/>
  <c r="K13" i="33"/>
  <c r="K17" i="33" s="1"/>
  <c r="K19" i="33" s="1"/>
  <c r="K48" i="33"/>
  <c r="K55" i="33" s="1"/>
  <c r="K14" i="11" l="1"/>
  <c r="L9" i="11"/>
  <c r="K9" i="11"/>
  <c r="P9" i="11"/>
  <c r="O9" i="11"/>
  <c r="O14" i="11"/>
  <c r="P14" i="11"/>
  <c r="M13" i="33"/>
  <c r="M17" i="33" s="1"/>
  <c r="M19" i="33" s="1"/>
  <c r="M48" i="33"/>
  <c r="M55" i="33" s="1"/>
  <c r="L45" i="32"/>
  <c r="L46" i="32"/>
  <c r="P17" i="33"/>
  <c r="O19" i="33"/>
  <c r="M46" i="32"/>
  <c r="M45" i="32"/>
  <c r="L13" i="33"/>
  <c r="L17" i="33" s="1"/>
  <c r="L19" i="33" s="1"/>
  <c r="L48" i="33"/>
  <c r="L55" i="33" s="1"/>
  <c r="D26" i="33" l="1"/>
  <c r="Q17" i="33"/>
  <c r="P19" i="33"/>
  <c r="R17" i="33" l="1"/>
  <c r="Q19" i="33"/>
  <c r="R19" i="33" l="1"/>
  <c r="S17" i="33"/>
  <c r="S19" i="33" l="1"/>
  <c r="T17" i="33"/>
  <c r="T19" i="33" l="1"/>
  <c r="U17" i="33"/>
  <c r="U19" i="33" l="1"/>
  <c r="V17" i="33"/>
  <c r="W17" i="33" l="1"/>
  <c r="V19" i="33"/>
  <c r="X17" i="33" l="1"/>
  <c r="W19" i="33"/>
  <c r="X19" i="33" l="1"/>
  <c r="Y17" i="33"/>
  <c r="Z17" i="33" l="1"/>
  <c r="Y19" i="33"/>
  <c r="Z19" i="33" l="1"/>
  <c r="AA17" i="33"/>
  <c r="AB17" i="33" l="1"/>
  <c r="AA19" i="33"/>
  <c r="AC17" i="33" l="1"/>
  <c r="AB19" i="33"/>
  <c r="AD17" i="33" l="1"/>
  <c r="AC19" i="33"/>
  <c r="AE17" i="33" l="1"/>
  <c r="AE19" i="33" s="1"/>
  <c r="D28" i="33" s="1"/>
  <c r="AD19" i="33"/>
  <c r="D27" i="33" s="1"/>
  <c r="D29" i="33" l="1"/>
  <c r="D31" i="33" s="1"/>
  <c r="D34" i="33" l="1"/>
  <c r="H24"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tc={383D1114-1D0B-4563-9DB4-A31BC839557D}</author>
    <author>tc={AAD9EAC2-385A-4B0E-9E07-80752796EFAB}</author>
    <author>tc={90253C1C-3622-4B9D-A2BC-7552097DA2F3}</author>
    <author>tc={6FFD658E-680F-4F7E-A3F0-DE18F163F55E}</author>
    <author>tc={35F9CF51-C503-4A7A-899C-8EA0434193CA}</author>
    <author>tc={B2369201-F2CA-4703-825C-4AEA124B712D}</author>
    <author>tc={947F4DDD-E2F4-4499-9983-E04672B69557}</author>
    <author>tc={5DC89256-0E9C-4D60-9906-A124D26ED432}</author>
    <author>tc={8DF84326-BA99-4798-A4D5-E3E6097C9E25}</author>
    <author>tc={8A5F48E7-5A4B-4891-BDB4-54629D387733}</author>
  </authors>
  <commentList>
    <comment ref="M10" authorId="0" shapeId="0" xr:uid="{383D1114-1D0B-4563-9DB4-A31BC839557D}">
      <text>
        <t>[Threaded comment]
Your version of Excel allows you to read this threaded comment; however, any edits to it will get removed if the file is opened in a newer version of Excel. Learn more: https://go.microsoft.com/fwlink/?linkid=870924
Comment:
    Target given by Titan in watches segment is 7000 Cr in motilal oswal report. However considering store addition in second quarterly report in FY24 store additions are less that's why we're going conservative here</t>
      </text>
    </comment>
    <comment ref="M12" authorId="1" shapeId="0" xr:uid="{AAD9EAC2-385A-4B0E-9E07-80752796EFAB}">
      <text>
        <t>[Threaded comment]
Your version of Excel allows you to read this threaded comment; however, any edits to it will get removed if the file is opened in a newer version of Excel. Learn more: https://go.microsoft.com/fwlink/?linkid=870924
Comment:
    Revenue of around 1000 coming by taking assumption of 79 store addition per year in Titan eye+, where management has also given target of 1000 cr by FY26 in the Invester day presentation.</t>
      </text>
    </comment>
    <comment ref="N13" authorId="2" shapeId="0" xr:uid="{90253C1C-3622-4B9D-A2BC-7552097DA2F3}">
      <text>
        <t>[Threaded comment]
Your version of Excel allows you to read this threaded comment; however, any edits to it will get removed if the file is opened in a newer version of Excel. Learn more: https://go.microsoft.com/fwlink/?linkid=870924
Comment:
    Company Targets to reach 1000 cr by FY27</t>
      </text>
    </comment>
    <comment ref="N21" authorId="3" shapeId="0" xr:uid="{6FFD658E-680F-4F7E-A3F0-DE18F163F55E}">
      <text>
        <t>[Threaded comment]
Your version of Excel allows you to read this threaded comment; however, any edits to it will get removed if the file is opened in a newer version of Excel. Learn more: https://go.microsoft.com/fwlink/?linkid=870924
Comment:
    Store target given by Titan in motilal oswal report</t>
      </text>
    </comment>
    <comment ref="N23" authorId="4" shapeId="0" xr:uid="{35F9CF51-C503-4A7A-899C-8EA0434193CA}">
      <text>
        <t xml:space="preserve">[Threaded comment]
Your version of Excel allows you to read this threaded comment; however, any edits to it will get removed if the file is opened in a newer version of Excel. Learn more: https://go.microsoft.com/fwlink/?linkid=870924
Comment:
    Target of the company </t>
      </text>
    </comment>
    <comment ref="K33" authorId="5" shapeId="0" xr:uid="{B2369201-F2CA-4703-825C-4AEA124B712D}">
      <text>
        <t>[Threaded comment]
Your version of Excel allows you to read this threaded comment; however, any edits to it will get removed if the file is opened in a newer version of Excel. Learn more: https://go.microsoft.com/fwlink/?linkid=870924
Comment:
    As per motilal oswal report they are targeting for 600 stores till FY26. As per the trend and current quarter performance they'll probably add 40 stores per year minimum.</t>
      </text>
    </comment>
    <comment ref="K34" authorId="6" shapeId="0" xr:uid="{947F4DDD-E2F4-4499-9983-E04672B69557}">
      <text>
        <t>[Threaded comment]
Your version of Excel allows you to read this threaded comment; however, any edits to it will get removed if the file is opened in a newer version of Excel. Learn more: https://go.microsoft.com/fwlink/?linkid=870924
Comment:
    Store addition taken from refrence of total store target in FY27</t>
      </text>
    </comment>
    <comment ref="K35" authorId="7" shapeId="0" xr:uid="{5DC89256-0E9C-4D60-9906-A124D26ED432}">
      <text>
        <t xml:space="preserve">[Threaded comment]
Your version of Excel allows you to read this threaded comment; however, any edits to it will get removed if the file is opened in a newer version of Excel. Learn more: https://go.microsoft.com/fwlink/?linkid=870924
Comment:
    Caratlane generated 2177 crores in FY23 and expecting 3000 cr in FY24. So we calculated revenue per store here to reach 3000 crs.
</t>
      </text>
    </comment>
    <comment ref="K36" authorId="8" shapeId="0" xr:uid="{8DF84326-BA99-4798-A4D5-E3E6097C9E25}">
      <text>
        <t>[Threaded comment]
Your version of Excel allows you to read this threaded comment; however, any edits to it will get removed if the file is opened in a newer version of Excel. Learn more: https://go.microsoft.com/fwlink/?linkid=870924
Comment:
    FY27 20 stores target given by the company.</t>
      </text>
    </comment>
    <comment ref="K39" authorId="9" shapeId="0" xr:uid="{8A5F48E7-5A4B-4891-BDB4-54629D387733}">
      <text>
        <t>[Threaded comment]
Your version of Excel allows you to read this threaded comment; however, any edits to it will get removed if the file is opened in a newer version of Excel. Learn more: https://go.microsoft.com/fwlink/?linkid=870924
Comment:
    In the Investor day presentation, management said that they will focus on improving the revenue generation from each store rather than opening more stores, that's why we have taken an average of last 5 years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tc={05880838-FEF6-462A-83FE-083E8F5CAB2E}</author>
  </authors>
  <commentList>
    <comment ref="J83" authorId="0" shapeId="0" xr:uid="{05880838-FEF6-462A-83FE-083E8F5CAB2E}">
      <text>
        <t>[Threaded comment]
Your version of Excel allows you to read this threaded comment; however, any edits to it will get removed if the file is opened in a newer version of Excel. Learn more: https://go.microsoft.com/fwlink/?linkid=870924
Comment:
    We should not take this value for inventory because gold prices keeps rising hence value for already kept gold will keeep icreasing in balance sheet only.</t>
      </text>
    </comment>
  </commentList>
</comments>
</file>

<file path=xl/sharedStrings.xml><?xml version="1.0" encoding="utf-8"?>
<sst xmlns="http://schemas.openxmlformats.org/spreadsheetml/2006/main" count="450" uniqueCount="339">
  <si>
    <t>Sales</t>
  </si>
  <si>
    <t>Other Income</t>
  </si>
  <si>
    <t>Interest</t>
  </si>
  <si>
    <t>Tax</t>
  </si>
  <si>
    <t>Sales Growth</t>
  </si>
  <si>
    <t>Equity Share Capital</t>
  </si>
  <si>
    <t>Total</t>
  </si>
  <si>
    <t>Investments</t>
  </si>
  <si>
    <t>Inventory</t>
  </si>
  <si>
    <t>EPS</t>
  </si>
  <si>
    <t>TITAN COMPANY LTD</t>
  </si>
  <si>
    <t>Borrowings</t>
  </si>
  <si>
    <t>Market Capitalization</t>
  </si>
  <si>
    <t>Years</t>
  </si>
  <si>
    <t>#</t>
  </si>
  <si>
    <t>COGS</t>
  </si>
  <si>
    <t>Gross Profit</t>
  </si>
  <si>
    <t>EBITDA</t>
  </si>
  <si>
    <t>EBITDA Margins</t>
  </si>
  <si>
    <t>EBIT</t>
  </si>
  <si>
    <t>Effective Tax Rate</t>
  </si>
  <si>
    <t>Trendlines</t>
  </si>
  <si>
    <t>EBITDA Growth</t>
  </si>
  <si>
    <t>Gross Margins Growth</t>
  </si>
  <si>
    <t>Net Profit Growth</t>
  </si>
  <si>
    <t>Gross Margins</t>
  </si>
  <si>
    <t>EBIT Margins</t>
  </si>
  <si>
    <t>Net Income Margins</t>
  </si>
  <si>
    <t>SalesExpenses%Sales</t>
  </si>
  <si>
    <t>Depreciation%Sales</t>
  </si>
  <si>
    <t>OperatingIncome%Sales</t>
  </si>
  <si>
    <t>Return on Capital Employed</t>
  </si>
  <si>
    <t>Return on Equity%</t>
  </si>
  <si>
    <t>Interest Coverage Ratio</t>
  </si>
  <si>
    <t>Debtor Turnover Ratio</t>
  </si>
  <si>
    <t>Creditor Turnover Ratio</t>
  </si>
  <si>
    <t>Inventory Turnover</t>
  </si>
  <si>
    <t>Fixed Asset Turnover</t>
  </si>
  <si>
    <t>Capital Turnover Ratio</t>
  </si>
  <si>
    <t>Debtor Days</t>
  </si>
  <si>
    <t>Payable Days</t>
  </si>
  <si>
    <t>Inventory Days</t>
  </si>
  <si>
    <t>Cash Conversion Cycle</t>
  </si>
  <si>
    <t>CFO/Sales</t>
  </si>
  <si>
    <t>CFO/Total Assets</t>
  </si>
  <si>
    <t>CFO/Total Debt</t>
  </si>
  <si>
    <t>Mean</t>
  </si>
  <si>
    <t>Median</t>
  </si>
  <si>
    <t>Year</t>
  </si>
  <si>
    <t>Shares Outstanding</t>
  </si>
  <si>
    <t>High</t>
  </si>
  <si>
    <t>Low</t>
  </si>
  <si>
    <t>Weighted Average Cost of Capital</t>
  </si>
  <si>
    <t>All figures are in INR unless stated otherwise</t>
  </si>
  <si>
    <t>Total Equity</t>
  </si>
  <si>
    <t>Equity</t>
  </si>
  <si>
    <t>Beta 2</t>
  </si>
  <si>
    <t>Cost of Equity</t>
  </si>
  <si>
    <t>Risk Free Rate</t>
  </si>
  <si>
    <t>Equity Risk Premium</t>
  </si>
  <si>
    <t>Capital Structure</t>
  </si>
  <si>
    <t>Total Debt</t>
  </si>
  <si>
    <t>Total Capital</t>
  </si>
  <si>
    <t>Tax Rate</t>
  </si>
  <si>
    <t>Debt / Equity</t>
  </si>
  <si>
    <t>Debt</t>
  </si>
  <si>
    <t>Total Cost</t>
  </si>
  <si>
    <t>Total Weight</t>
  </si>
  <si>
    <t>Date</t>
  </si>
  <si>
    <t>Adj Close</t>
  </si>
  <si>
    <t>Closing Price</t>
  </si>
  <si>
    <t>Nifty Weekly Returns</t>
  </si>
  <si>
    <t>Return</t>
  </si>
  <si>
    <t>Beta 1</t>
  </si>
  <si>
    <t>Beta 3</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</si>
  <si>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</si>
  <si>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</si>
  <si>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</si>
  <si>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</si>
  <si>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</si>
  <si>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</si>
  <si>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</si>
  <si>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</si>
  <si>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</si>
  <si>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</si>
  <si>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</si>
  <si>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</si>
  <si>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</si>
  <si>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</si>
  <si>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</si>
  <si>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</si>
  <si>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</si>
  <si>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</si>
  <si>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</si>
  <si>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</si>
  <si>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</si>
  <si>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</si>
  <si>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</si>
  <si>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</si>
  <si>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Levered Raw Beta</t>
  </si>
  <si>
    <t>Raw Beta Weight</t>
  </si>
  <si>
    <t>Market Beta Weight</t>
  </si>
  <si>
    <t>Market Beta</t>
  </si>
  <si>
    <t>Adjusted Beta</t>
  </si>
  <si>
    <t>Beta Drifting</t>
  </si>
  <si>
    <t>Sonata Softwares Returns</t>
  </si>
  <si>
    <t>Returns</t>
  </si>
  <si>
    <t>Affle India Weekly Returns</t>
  </si>
  <si>
    <t>Tanla Platforms Returns</t>
  </si>
  <si>
    <t>Birlasoft Ltd Returns</t>
  </si>
  <si>
    <t xml:space="preserve">Beta </t>
  </si>
  <si>
    <t>Comps Companies Beta</t>
  </si>
  <si>
    <t xml:space="preserve">Year </t>
  </si>
  <si>
    <t>Annual</t>
  </si>
  <si>
    <t>Average Return</t>
  </si>
  <si>
    <t>Divident Yiels</t>
  </si>
  <si>
    <t>Total Market Return</t>
  </si>
  <si>
    <t>Particulars</t>
  </si>
  <si>
    <t>Common Size Statement - Income Statement</t>
  </si>
  <si>
    <t>Amount in crores</t>
  </si>
  <si>
    <t>Current Assets</t>
  </si>
  <si>
    <t>Net Working Capital</t>
  </si>
  <si>
    <t>Trade Payables</t>
  </si>
  <si>
    <t>Current Liabilities</t>
  </si>
  <si>
    <t>Payables</t>
  </si>
  <si>
    <t>Interest received</t>
  </si>
  <si>
    <t>Terminal Growth</t>
  </si>
  <si>
    <t>WACC</t>
  </si>
  <si>
    <t>Terminal Growth Rate</t>
  </si>
  <si>
    <t>No of Shares</t>
  </si>
  <si>
    <t>DCF Bear</t>
  </si>
  <si>
    <t>DCF Base</t>
  </si>
  <si>
    <t>DCF Bull</t>
  </si>
  <si>
    <t>52 W H/L</t>
  </si>
  <si>
    <t>OpenLow</t>
  </si>
  <si>
    <t>OpenHigh</t>
  </si>
  <si>
    <t>Total Revenue</t>
  </si>
  <si>
    <t>Excise Duty</t>
  </si>
  <si>
    <t>Employee Benefit Expenses</t>
  </si>
  <si>
    <t>EBT</t>
  </si>
  <si>
    <t>Revenue from Operations</t>
  </si>
  <si>
    <t>Cost of material and components consumed</t>
  </si>
  <si>
    <t>Purchase of stock in trade</t>
  </si>
  <si>
    <t>change in inventory of finished goods, stock and WIP</t>
  </si>
  <si>
    <t>Total COSG</t>
  </si>
  <si>
    <t>Other expenses</t>
  </si>
  <si>
    <t>Depreciation and Amortisation Expenses</t>
  </si>
  <si>
    <t>Finance Expenses</t>
  </si>
  <si>
    <t>Loss of associate</t>
  </si>
  <si>
    <t xml:space="preserve"> Join venture</t>
  </si>
  <si>
    <t>PBT</t>
  </si>
  <si>
    <t>Tax Expense</t>
  </si>
  <si>
    <t>PAT</t>
  </si>
  <si>
    <t>Basic</t>
  </si>
  <si>
    <t>Diluted</t>
  </si>
  <si>
    <t>PBT Mrgin (%)</t>
  </si>
  <si>
    <t>Cash flow from Operating Activities</t>
  </si>
  <si>
    <t>Net profit before tax</t>
  </si>
  <si>
    <t>Adjustment for:</t>
  </si>
  <si>
    <t>Depreciation and mortisation Expenses</t>
  </si>
  <si>
    <t>Net unrealised exchange Gain/losses</t>
  </si>
  <si>
    <t>share of profit/ loss of the associate and JV</t>
  </si>
  <si>
    <t>Employee stock compensation Expense</t>
  </si>
  <si>
    <t>loss on sale/disposal/scrapping of PPE(Net)</t>
  </si>
  <si>
    <t>Provisions of doubtful trade recievebles</t>
  </si>
  <si>
    <t>revievables written off</t>
  </si>
  <si>
    <t>Provisions for asset write off of a subsidiary</t>
  </si>
  <si>
    <t>Interest Income</t>
  </si>
  <si>
    <t>Gain on Investment carried ar fair value through profit and loss</t>
  </si>
  <si>
    <t>Impairment of invest in intercorporate disputes</t>
  </si>
  <si>
    <t>Gain on investment in joint venture</t>
  </si>
  <si>
    <t>Gain on pre-closure of lease contracts</t>
  </si>
  <si>
    <t>Rent waiver</t>
  </si>
  <si>
    <t>Finance cost</t>
  </si>
  <si>
    <t>Operating profit before working changes</t>
  </si>
  <si>
    <t>Inc/Dec in trade recievables</t>
  </si>
  <si>
    <t>Inc/Dec in Inventories</t>
  </si>
  <si>
    <t xml:space="preserve">Inc/Dec in financial asset loan recievables </t>
  </si>
  <si>
    <t>Inc/dec in other financial assets</t>
  </si>
  <si>
    <t>In/dec in other assets</t>
  </si>
  <si>
    <t>Inc/Dec in other current financial assets</t>
  </si>
  <si>
    <t>Inc/Dec in other current assets</t>
  </si>
  <si>
    <t>Inc/Dec in other bank balance</t>
  </si>
  <si>
    <t>Inc/Dec in gold on loan</t>
  </si>
  <si>
    <t>Inc/Dec in trade payable</t>
  </si>
  <si>
    <t>Inc/Dec in other financial liabilities</t>
  </si>
  <si>
    <t>Inc/Dec in other liabilities</t>
  </si>
  <si>
    <t>Inc/Dec in provisions</t>
  </si>
  <si>
    <t>Cash Generated from operating activities before taxes</t>
  </si>
  <si>
    <t>Direct taxes paid, net</t>
  </si>
  <si>
    <t xml:space="preserve">Net cash (Used in)/ generated from operating activities </t>
  </si>
  <si>
    <t>Purchase of property plant and equipment
intengible asset and invesment property</t>
  </si>
  <si>
    <t>Proceeds from sale of PP&amp;E</t>
  </si>
  <si>
    <t>Investment in non convertible debenture</t>
  </si>
  <si>
    <t>Inter- corporate deposit placed</t>
  </si>
  <si>
    <t>proceeds from inter - corporate deposites</t>
  </si>
  <si>
    <t>Bank deposit(placrd), matured, net</t>
  </si>
  <si>
    <t>Proceed from sale of Investment in JV</t>
  </si>
  <si>
    <t>Purchase of investment in other equity instruments</t>
  </si>
  <si>
    <t>sale/purchase of mutual funds, net</t>
  </si>
  <si>
    <t>loan given to group franchisee and vendors</t>
  </si>
  <si>
    <t>Proceeds from loan given to group franchisee and vendors</t>
  </si>
  <si>
    <t>Proceed from sale of invest in subsidiaries net of related</t>
  </si>
  <si>
    <t>expenses and cash</t>
  </si>
  <si>
    <t>Net cash outflow on acquisition subsidiary</t>
  </si>
  <si>
    <t>Net cash generated from/(used in) investing activities</t>
  </si>
  <si>
    <t>Cash from financing activities</t>
  </si>
  <si>
    <t>Repayment of long term borrowing,net</t>
  </si>
  <si>
    <t>Proceed/(Repayment) of borrowing,net</t>
  </si>
  <si>
    <t>Dividents paid including divident distribution tax</t>
  </si>
  <si>
    <t>Payment of leases liabilities ecxluding interest paid</t>
  </si>
  <si>
    <t>Finance cost paid</t>
  </si>
  <si>
    <t>Net cash used in Financial Activities</t>
  </si>
  <si>
    <t>Net increase in cash and cash equivalent during the year (A+B+C)</t>
  </si>
  <si>
    <t>Cash and cash equivalents (operating balance)</t>
  </si>
  <si>
    <t>Add: cash and cash acquired on amalgamation</t>
  </si>
  <si>
    <t>Add: Unrealised exchage gains</t>
  </si>
  <si>
    <t>Cash and cash equivalents (Closing Balance)</t>
  </si>
  <si>
    <t>Cash from investing Activities</t>
  </si>
  <si>
    <t>lease payments received from sub-leases (Excl. interest received)</t>
  </si>
  <si>
    <t>Revenue from operations</t>
  </si>
  <si>
    <t>Jewellery</t>
  </si>
  <si>
    <t>Watches</t>
  </si>
  <si>
    <t>Others</t>
  </si>
  <si>
    <t>Eyewear</t>
  </si>
  <si>
    <t>Segment Revenue (In Crs)</t>
  </si>
  <si>
    <t>Tanishq</t>
  </si>
  <si>
    <t>Mia</t>
  </si>
  <si>
    <t>Caratlane</t>
  </si>
  <si>
    <t>Zoya</t>
  </si>
  <si>
    <t>Additions</t>
  </si>
  <si>
    <t>Square Feet</t>
  </si>
  <si>
    <t>Total Jewellery</t>
  </si>
  <si>
    <t>Titan Eye+</t>
  </si>
  <si>
    <t>Total jewellery</t>
  </si>
  <si>
    <t>Fastrack</t>
  </si>
  <si>
    <t>Helios</t>
  </si>
  <si>
    <t>World of Titan</t>
  </si>
  <si>
    <t>Total Watches</t>
  </si>
  <si>
    <t>Revenue per Store (InCrs)</t>
  </si>
  <si>
    <t>Taneria</t>
  </si>
  <si>
    <t>Growth - Jewellery</t>
  </si>
  <si>
    <r>
      <t xml:space="preserve">All Data in Cr INR  except per share data
Actuals in </t>
    </r>
    <r>
      <rPr>
        <sz val="11"/>
        <color rgb="FF0070C0"/>
        <rFont val="Calibri"/>
        <family val="2"/>
        <scheme val="minor"/>
      </rPr>
      <t>Blue</t>
    </r>
    <r>
      <rPr>
        <sz val="11"/>
        <color theme="1"/>
        <rFont val="Calibri"/>
        <family val="2"/>
        <scheme val="minor"/>
      </rPr>
      <t xml:space="preserve">, Calculations in Black, Expected in </t>
    </r>
    <r>
      <rPr>
        <sz val="11"/>
        <color rgb="FFFF0000"/>
        <rFont val="Calibri"/>
        <family val="2"/>
        <scheme val="minor"/>
      </rPr>
      <t>Red</t>
    </r>
  </si>
  <si>
    <t>Growth - Eyewear</t>
  </si>
  <si>
    <t>Total Stores</t>
  </si>
  <si>
    <t xml:space="preserve">Ethnic Wears </t>
  </si>
  <si>
    <t>Ethnic Wear</t>
  </si>
  <si>
    <t>As % of Revenue</t>
  </si>
  <si>
    <t xml:space="preserve"> </t>
  </si>
  <si>
    <t>(2) Current Liabilities</t>
  </si>
  <si>
    <t>(a) Financial Liabilities</t>
  </si>
  <si>
    <t>Gold on loans</t>
  </si>
  <si>
    <t>Lease liabilities</t>
  </si>
  <si>
    <t>- total o/s dues on micro and small financing</t>
  </si>
  <si>
    <t>-total o/s dues of creditors other than micro and small financers</t>
  </si>
  <si>
    <t xml:space="preserve">other financial liabilities </t>
  </si>
  <si>
    <t>Other current liabilities</t>
  </si>
  <si>
    <t>Provisions</t>
  </si>
  <si>
    <t>Current Tax Liabilities(Net)</t>
  </si>
  <si>
    <t>Total Equity and Liabilities</t>
  </si>
  <si>
    <t>Turnover Ratios</t>
  </si>
  <si>
    <t>Recievables</t>
  </si>
  <si>
    <t>Equity and Liabilities</t>
  </si>
  <si>
    <t>Other equity</t>
  </si>
  <si>
    <t>Non controlling interest</t>
  </si>
  <si>
    <t>Liabilities</t>
  </si>
  <si>
    <t>(1) Non current Liabilities</t>
  </si>
  <si>
    <t>other financial liabilities</t>
  </si>
  <si>
    <t>Deffered tax liability (net)</t>
  </si>
  <si>
    <t>other non current liability</t>
  </si>
  <si>
    <t>Current Asset</t>
  </si>
  <si>
    <t>Inventories</t>
  </si>
  <si>
    <t>Finaicial Assets:</t>
  </si>
  <si>
    <t>Trade Recievables</t>
  </si>
  <si>
    <t>Cash and Cash Equivalents</t>
  </si>
  <si>
    <t>Bank Balance other than above</t>
  </si>
  <si>
    <t>loan recoevables</t>
  </si>
  <si>
    <t>other financial assets</t>
  </si>
  <si>
    <t>Asset held for sale</t>
  </si>
  <si>
    <t>other current asset</t>
  </si>
  <si>
    <t>Total Asset</t>
  </si>
  <si>
    <t>Days</t>
  </si>
  <si>
    <t>Balance Sheet:</t>
  </si>
  <si>
    <t>Assets</t>
  </si>
  <si>
    <t>Non current Assets</t>
  </si>
  <si>
    <t>PPE (Property plant and equipment)</t>
  </si>
  <si>
    <t>capital WIP</t>
  </si>
  <si>
    <t>Right of use asset</t>
  </si>
  <si>
    <t>Investment Property</t>
  </si>
  <si>
    <t>Goodwill</t>
  </si>
  <si>
    <t>Other intengible Asset</t>
  </si>
  <si>
    <t>Intengible asset under development</t>
  </si>
  <si>
    <t>Financial Assets:</t>
  </si>
  <si>
    <t>Investment</t>
  </si>
  <si>
    <t>Loans Recievables</t>
  </si>
  <si>
    <t>Other financial Assets</t>
  </si>
  <si>
    <t>Deffered Tax Assets</t>
  </si>
  <si>
    <t>Income Tax Assets</t>
  </si>
  <si>
    <t>Other non current Assets</t>
  </si>
  <si>
    <t>Total non current liabilities</t>
  </si>
  <si>
    <t>CheckSum</t>
  </si>
  <si>
    <t>Revenue Growth YoY</t>
  </si>
  <si>
    <t>CFO</t>
  </si>
  <si>
    <t>FCFF</t>
  </si>
  <si>
    <t>Working Capital</t>
  </si>
  <si>
    <t>Total current Liabilities</t>
  </si>
  <si>
    <t>Total current Assets</t>
  </si>
  <si>
    <t xml:space="preserve">Depreciation &amp; Amortisation </t>
  </si>
  <si>
    <t>NOPAT</t>
  </si>
  <si>
    <t>Capex</t>
  </si>
  <si>
    <t>Change in working capital</t>
  </si>
  <si>
    <t>Growth CFO</t>
  </si>
  <si>
    <t>PV of terminal growth rate</t>
  </si>
  <si>
    <t>Cr</t>
  </si>
  <si>
    <t>Intrinsic Value</t>
  </si>
  <si>
    <t>Per Share</t>
  </si>
  <si>
    <t>PV of Explicit Forecast</t>
  </si>
  <si>
    <t>Linear Decline</t>
  </si>
  <si>
    <t>Linear Growth</t>
  </si>
  <si>
    <t>PV of Linear Growth and Linear Decline Phase</t>
  </si>
  <si>
    <t>Current Market Value Per Share</t>
  </si>
  <si>
    <t>Explicit Forecast</t>
  </si>
  <si>
    <t>Sentivitiy Analysis</t>
  </si>
  <si>
    <t xml:space="preserve">Terminal Growth Rate </t>
  </si>
  <si>
    <t>Historicals</t>
  </si>
  <si>
    <t>Nifty Returns (2000-2022)</t>
  </si>
  <si>
    <t>Titan Weekly Returns</t>
  </si>
  <si>
    <t>Regression Beta - 5 Years weekly</t>
  </si>
  <si>
    <t>Beta</t>
  </si>
  <si>
    <r>
      <t xml:space="preserve">All Data in Cr INR  except per share data
Actuals in </t>
    </r>
    <r>
      <rPr>
        <i/>
        <sz val="11"/>
        <color rgb="FF0070C0"/>
        <rFont val="Calibri"/>
        <family val="2"/>
        <scheme val="minor"/>
      </rPr>
      <t>Blue</t>
    </r>
    <r>
      <rPr>
        <i/>
        <sz val="11"/>
        <color theme="1"/>
        <rFont val="Calibri"/>
        <family val="2"/>
        <scheme val="minor"/>
      </rPr>
      <t xml:space="preserve">, Calculations in Black, Expected in </t>
    </r>
    <r>
      <rPr>
        <i/>
        <sz val="11"/>
        <color rgb="FFFF0000"/>
        <rFont val="Calibri"/>
        <family val="2"/>
        <scheme val="minor"/>
      </rPr>
      <t>Red</t>
    </r>
  </si>
  <si>
    <t>Other Income Growth YOY</t>
  </si>
  <si>
    <r>
      <t>Dep</t>
    </r>
    <r>
      <rPr>
        <vertAlign val="superscript"/>
        <sz val="11"/>
        <color theme="1"/>
        <rFont val="Calibri"/>
        <family val="2"/>
        <scheme val="minor"/>
      </rPr>
      <t>n</t>
    </r>
    <r>
      <rPr>
        <sz val="11"/>
        <color theme="1"/>
        <rFont val="Calibri"/>
        <family val="2"/>
        <scheme val="minor"/>
      </rPr>
      <t xml:space="preserve"> % of revenue</t>
    </r>
  </si>
  <si>
    <t>Exceptional Items</t>
  </si>
  <si>
    <r>
      <t xml:space="preserve">All Data in Cr INR  except per share data
Actuals in </t>
    </r>
    <r>
      <rPr>
        <i/>
        <sz val="10"/>
        <color rgb="FF0070C0"/>
        <rFont val="Calibri"/>
        <family val="2"/>
        <scheme val="minor"/>
      </rPr>
      <t>Blue</t>
    </r>
    <r>
      <rPr>
        <i/>
        <sz val="10"/>
        <color theme="1"/>
        <rFont val="Calibri"/>
        <family val="2"/>
        <scheme val="minor"/>
      </rPr>
      <t xml:space="preserve">, Calculations in Black, Expected in </t>
    </r>
    <r>
      <rPr>
        <i/>
        <sz val="10"/>
        <color rgb="FFFF0000"/>
        <rFont val="Calibri"/>
        <family val="2"/>
        <scheme val="minor"/>
      </rPr>
      <t>Red</t>
    </r>
  </si>
  <si>
    <r>
      <t xml:space="preserve">All Data in Cr INR  except per share data
Actuals in </t>
    </r>
    <r>
      <rPr>
        <i/>
        <sz val="9"/>
        <color rgb="FF0070C0"/>
        <rFont val="Calibri"/>
        <family val="2"/>
        <scheme val="minor"/>
      </rPr>
      <t>Blue</t>
    </r>
    <r>
      <rPr>
        <i/>
        <sz val="9"/>
        <color theme="1"/>
        <rFont val="Calibri"/>
        <family val="2"/>
        <scheme val="minor"/>
      </rPr>
      <t xml:space="preserve">, Calculations in Black, Expected in </t>
    </r>
    <r>
      <rPr>
        <i/>
        <sz val="9"/>
        <color rgb="FFFF0000"/>
        <rFont val="Calibri"/>
        <family val="2"/>
        <scheme val="minor"/>
      </rPr>
      <t>Red</t>
    </r>
  </si>
  <si>
    <t>% Capex</t>
  </si>
  <si>
    <t>Present Value of Future Cash Flows</t>
  </si>
  <si>
    <t>Ratio Analysis - TITAN COMPANY LTD</t>
  </si>
  <si>
    <t>Football Field Analysis -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</si>
</sst>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6" formatCode="[$-409]mmm/yy;@"/>
    <numFmt numFmtId="168" formatCode="0.00&quot;X&quot;"/>
    <numFmt numFmtId="169" formatCode="0&quot; days&quot;"/>
    <numFmt numFmtId="175" formatCode="0&quot;-A&quot;"/>
    <numFmt numFmtId="176" formatCode="0&quot;-E&quot;"/>
    <numFmt numFmtId="177" formatCode="0.0%"/>
    <numFmt numFmtId="188" formatCode="mmm/yy\ &quot;A&quot;"/>
    <numFmt numFmtId="189" formatCode="mmm/yy\ &quot;E&quot;"/>
  </numFmts>
  <fonts count="33"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1"/>
      <name val="Calibri"/>
      <family val="2"/>
      <scheme val="minor"/>
    </font>
    <font>
      <vertAlign val="superscript"/>
      <sz val="11"/>
      <color theme="1"/>
      <name val="Calibri"/>
      <family val="2"/>
      <scheme val="minor"/>
    </font>
    <font>
      <sz val="11"/>
      <color rgb="FF000099"/>
      <name val="Calibri"/>
      <family val="2"/>
      <scheme val="minor"/>
    </font>
    <font>
      <i/>
      <sz val="11"/>
      <color theme="1"/>
      <name val="Calibri"/>
      <family val="2"/>
      <scheme val="minor"/>
    </font>
    <font>
      <b/>
      <u/>
      <sz val="11"/>
      <color theme="0"/>
      <name val="Calibri"/>
      <family val="2"/>
      <scheme val="minor"/>
    </font>
    <font>
      <i/>
      <sz val="10"/>
      <color theme="1"/>
      <name val="Calibri"/>
      <family val="2"/>
      <scheme val="minor"/>
    </font>
    <font>
      <i/>
      <sz val="9"/>
      <color theme="1"/>
      <name val="Calibri"/>
      <family val="2"/>
      <scheme val="minor"/>
    </font>
    <font>
      <sz val="11"/>
      <color rgb="FF0070C0"/>
      <name val="Calibri"/>
      <family val="2"/>
      <scheme val="minor"/>
    </font>
    <font>
      <sz val="11"/>
      <color rgb="FFFF0000"/>
      <name val="Calibri"/>
      <family val="2"/>
      <scheme val="minor"/>
    </font>
    <font>
      <b/>
      <sz val="11"/>
      <color rgb="FFFF0000"/>
      <name val="Calibri"/>
      <family val="2"/>
      <scheme val="minor"/>
    </font>
    <font>
      <sz val="11"/>
      <color rgb="FF000066"/>
      <name val="Calibri"/>
      <family val="2"/>
      <scheme val="minor"/>
    </font>
    <font>
      <b/>
      <sz val="11"/>
      <color rgb="FF000066"/>
      <name val="Calibri"/>
      <family val="2"/>
      <scheme val="minor"/>
    </font>
    <font>
      <b/>
      <sz val="11"/>
      <name val="Calibri"/>
      <family val="2"/>
      <scheme val="minor"/>
    </font>
    <font>
      <i/>
      <sz val="11"/>
      <color rgb="FFFF0000"/>
      <name val="Calibri"/>
      <family val="2"/>
      <scheme val="minor"/>
    </font>
    <font>
      <sz val="9"/>
      <color theme="1"/>
      <name val="Segoe UI"/>
      <family val="2"/>
    </font>
    <font>
      <b/>
      <sz val="11"/>
      <color rgb="FF0070C0"/>
      <name val="Calibri"/>
      <family val="2"/>
      <scheme val="minor"/>
    </font>
    <font>
      <i/>
      <sz val="11"/>
      <color rgb="FF000066"/>
      <name val="Calibri"/>
      <family val="2"/>
      <scheme val="minor"/>
    </font>
    <font>
      <i/>
      <sz val="11"/>
      <color theme="0" tint="-0.14999847407452621"/>
      <name val="Calibri"/>
      <family val="2"/>
      <scheme val="minor"/>
    </font>
    <font>
      <i/>
      <sz val="11"/>
      <color rgb="FF0070C0"/>
      <name val="Calibri"/>
      <family val="2"/>
      <scheme val="minor"/>
    </font>
    <font>
      <b/>
      <sz val="14"/>
      <color theme="1"/>
      <name val="Calibri"/>
      <family val="2"/>
      <scheme val="minor"/>
    </font>
    <font>
      <i/>
      <sz val="11"/>
      <color theme="0" tint="-0.249977111117893"/>
      <name val="Calibri"/>
      <family val="2"/>
      <scheme val="minor"/>
    </font>
    <font>
      <i/>
      <sz val="11"/>
      <name val="Calibri"/>
      <family val="2"/>
      <scheme val="minor"/>
    </font>
    <font>
      <i/>
      <sz val="10"/>
      <color rgb="FF0070C0"/>
      <name val="Calibri"/>
      <family val="2"/>
      <scheme val="minor"/>
    </font>
    <font>
      <i/>
      <sz val="10"/>
      <color rgb="FFFF0000"/>
      <name val="Calibri"/>
      <family val="2"/>
      <scheme val="minor"/>
    </font>
    <font>
      <i/>
      <sz val="9"/>
      <color rgb="FF0070C0"/>
      <name val="Calibri"/>
      <family val="2"/>
      <scheme val="minor"/>
    </font>
    <font>
      <i/>
      <sz val="9"/>
      <color rgb="FFFF0000"/>
      <name val="Calibri"/>
      <family val="2"/>
      <scheme val="minor"/>
    </font>
    <font>
      <b/>
      <sz val="16"/>
      <color theme="1"/>
      <name val="Calibri"/>
      <family val="2"/>
      <scheme val="minor"/>
    </font>
    <font>
      <b/>
      <i/>
      <sz val="11"/>
      <color theme="0" tint="-0.249977111117893"/>
      <name val="Calibri"/>
      <family val="2"/>
      <scheme val="minor"/>
    </font>
  </fonts>
  <fills count="9">
    <fill>
      <patternFill patternType="none"/>
    </fill>
    <fill>
      <patternFill patternType="gray125"/>
    </fill>
    <fill>
      <patternFill patternType="solid">
        <fgColor rgb="FF002060"/>
        <bgColor indexed="64"/>
      </patternFill>
    </fill>
    <fill>
      <patternFill patternType="solid">
        <fgColor rgb="FF000066"/>
        <bgColor indexed="64"/>
      </patternFill>
    </fill>
    <fill>
      <patternFill patternType="solid">
        <fgColor theme="0" tint="-4.9989318521683403E-2"/>
        <bgColor indexed="64"/>
      </patternFill>
    </fill>
    <fill>
      <patternFill patternType="solid">
        <fgColor rgb="FF003399"/>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FFCC"/>
        <bgColor indexed="64"/>
      </patternFill>
    </fill>
  </fills>
  <borders count="15">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dashed">
        <color auto="1"/>
      </top>
      <bottom style="dashed">
        <color auto="1"/>
      </bottom>
      <diagonal/>
    </border>
    <border>
      <left/>
      <right/>
      <top style="dashed">
        <color auto="1"/>
      </top>
      <bottom/>
      <diagonal/>
    </border>
    <border>
      <left/>
      <right/>
      <top/>
      <bottom style="dashed">
        <color auto="1"/>
      </bottom>
      <diagonal/>
    </border>
    <border>
      <left/>
      <right/>
      <top/>
      <bottom style="medium">
        <color indexed="64"/>
      </bottom>
      <diagonal/>
    </border>
    <border>
      <left/>
      <right/>
      <top style="medium">
        <color indexed="64"/>
      </top>
      <bottom style="thin">
        <color auto="1"/>
      </bottom>
      <diagonal/>
    </border>
    <border>
      <left/>
      <right/>
      <top style="thin">
        <color auto="1"/>
      </top>
      <bottom style="medium">
        <color auto="1"/>
      </bottom>
      <diagonal/>
    </border>
    <border>
      <left style="hair">
        <color auto="1"/>
      </left>
      <right style="hair">
        <color auto="1"/>
      </right>
      <top style="thin">
        <color auto="1"/>
      </top>
      <bottom/>
      <diagonal/>
    </border>
    <border>
      <left style="hair">
        <color auto="1"/>
      </left>
      <right style="hair">
        <color auto="1"/>
      </right>
      <top/>
      <bottom style="medium">
        <color indexed="64"/>
      </bottom>
      <diagonal/>
    </border>
    <border>
      <left style="hair">
        <color auto="1"/>
      </left>
      <right style="hair">
        <color auto="1"/>
      </right>
      <top/>
      <bottom/>
      <diagonal/>
    </border>
    <border>
      <left/>
      <right/>
      <top style="thin">
        <color auto="1"/>
      </top>
      <bottom style="dashed">
        <color auto="1"/>
      </bottom>
      <diagonal/>
    </border>
    <border>
      <left style="hair">
        <color auto="1"/>
      </left>
      <right style="hair">
        <color auto="1"/>
      </right>
      <top style="dashed">
        <color auto="1"/>
      </top>
      <bottom style="dashed">
        <color auto="1"/>
      </bottom>
      <diagonal/>
    </border>
  </borders>
  <cellStyleXfs count="2">
    <xf numFmtId="0" fontId="0" fillId="0" borderId="0"/>
    <xf numFmtId="9" fontId="3" fillId="0" borderId="0" applyFont="0" applyFill="0" applyBorder="0" applyAlignment="0" applyProtection="0"/>
  </cellStyleXfs>
  <cellXfs count="218">
    <xf numFmtId="0" fontId="0" fillId="0" borderId="0" xfId="0"/>
    <xf numFmtId="0" fontId="1" fillId="0" borderId="0" xfId="0" applyFont="1"/>
    <xf numFmtId="0" fontId="4" fillId="2" borderId="0" xfId="0" applyFont="1" applyFill="1"/>
    <xf numFmtId="166" fontId="4" fillId="2" borderId="0" xfId="0" applyNumberFormat="1" applyFont="1" applyFill="1"/>
    <xf numFmtId="9" fontId="0" fillId="0" borderId="0" xfId="0" applyNumberFormat="1"/>
    <xf numFmtId="10" fontId="0" fillId="0" borderId="0" xfId="1" applyNumberFormat="1" applyFont="1"/>
    <xf numFmtId="10" fontId="0" fillId="0" borderId="0" xfId="0" applyNumberFormat="1"/>
    <xf numFmtId="9" fontId="0" fillId="0" borderId="0" xfId="1" applyFont="1"/>
    <xf numFmtId="168" fontId="0" fillId="0" borderId="0" xfId="0" applyNumberFormat="1"/>
    <xf numFmtId="0" fontId="0" fillId="0" borderId="1" xfId="0" applyBorder="1"/>
    <xf numFmtId="0" fontId="0" fillId="0" borderId="5" xfId="0" applyBorder="1"/>
    <xf numFmtId="168" fontId="0" fillId="0" borderId="5" xfId="0" applyNumberFormat="1" applyBorder="1"/>
    <xf numFmtId="0" fontId="0" fillId="0" borderId="6" xfId="0" applyBorder="1"/>
    <xf numFmtId="168" fontId="0" fillId="0" borderId="6" xfId="0" applyNumberFormat="1" applyBorder="1"/>
    <xf numFmtId="10" fontId="0" fillId="0" borderId="5" xfId="1" applyNumberFormat="1" applyFont="1" applyBorder="1"/>
    <xf numFmtId="10" fontId="0" fillId="0" borderId="5" xfId="0" applyNumberFormat="1" applyBorder="1"/>
    <xf numFmtId="10" fontId="0" fillId="0" borderId="0" xfId="1" applyNumberFormat="1" applyFont="1" applyBorder="1"/>
    <xf numFmtId="9" fontId="0" fillId="0" borderId="5" xfId="1" applyFont="1" applyBorder="1"/>
    <xf numFmtId="9" fontId="0" fillId="0" borderId="0" xfId="1" applyFont="1" applyBorder="1"/>
    <xf numFmtId="10" fontId="0" fillId="0" borderId="6" xfId="1" applyNumberFormat="1" applyFont="1" applyBorder="1"/>
    <xf numFmtId="10" fontId="0" fillId="0" borderId="6" xfId="0" applyNumberFormat="1" applyBorder="1"/>
    <xf numFmtId="9" fontId="0" fillId="0" borderId="6" xfId="1" applyFont="1" applyBorder="1"/>
    <xf numFmtId="169" fontId="0" fillId="0" borderId="5" xfId="0" applyNumberFormat="1" applyBorder="1"/>
    <xf numFmtId="169" fontId="0" fillId="0" borderId="0" xfId="0" applyNumberFormat="1"/>
    <xf numFmtId="169" fontId="0" fillId="0" borderId="6" xfId="0" applyNumberFormat="1" applyBorder="1"/>
    <xf numFmtId="2" fontId="0" fillId="0" borderId="0" xfId="0" applyNumberFormat="1"/>
    <xf numFmtId="0" fontId="1" fillId="0" borderId="5" xfId="0" applyFont="1" applyBorder="1"/>
    <xf numFmtId="0" fontId="1" fillId="0" borderId="6" xfId="0" applyFont="1" applyBorder="1"/>
    <xf numFmtId="0" fontId="0" fillId="0" borderId="4" xfId="0" applyBorder="1"/>
    <xf numFmtId="0" fontId="1" fillId="0" borderId="4" xfId="0" applyFont="1" applyBorder="1"/>
    <xf numFmtId="0" fontId="1" fillId="0" borderId="2" xfId="0" applyFont="1" applyBorder="1"/>
    <xf numFmtId="166" fontId="9" fillId="2" borderId="0" xfId="0" applyNumberFormat="1" applyFont="1" applyFill="1" applyAlignment="1">
      <alignment horizontal="center"/>
    </xf>
    <xf numFmtId="0" fontId="4" fillId="3" borderId="0" xfId="0" applyFont="1" applyFill="1"/>
    <xf numFmtId="0" fontId="2" fillId="3" borderId="0" xfId="0" applyFont="1" applyFill="1"/>
    <xf numFmtId="0" fontId="8" fillId="0" borderId="0" xfId="0" applyFont="1"/>
    <xf numFmtId="0" fontId="11" fillId="0" borderId="0" xfId="0" applyFont="1"/>
    <xf numFmtId="0" fontId="1" fillId="0" borderId="1" xfId="0" applyFont="1" applyBorder="1"/>
    <xf numFmtId="0" fontId="1" fillId="0" borderId="0" xfId="0" applyFont="1" applyAlignment="1">
      <alignment horizontal="left"/>
    </xf>
    <xf numFmtId="0" fontId="11" fillId="0" borderId="0" xfId="0" applyFont="1" applyAlignment="1">
      <alignment vertical="top"/>
    </xf>
    <xf numFmtId="14" fontId="0" fillId="0" borderId="0" xfId="0" applyNumberFormat="1"/>
    <xf numFmtId="0" fontId="1" fillId="0" borderId="1" xfId="0" applyFont="1" applyBorder="1" applyAlignment="1">
      <alignment horizontal="left"/>
    </xf>
    <xf numFmtId="0" fontId="1" fillId="0" borderId="1" xfId="0" applyFont="1" applyBorder="1" applyAlignment="1">
      <alignment horizontal="right"/>
    </xf>
    <xf numFmtId="0" fontId="1" fillId="4" borderId="0" xfId="0" applyFont="1" applyFill="1"/>
    <xf numFmtId="2" fontId="1" fillId="4" borderId="0" xfId="0" applyNumberFormat="1" applyFont="1" applyFill="1"/>
    <xf numFmtId="2" fontId="7" fillId="0" borderId="0" xfId="0" applyNumberFormat="1" applyFont="1"/>
    <xf numFmtId="10" fontId="7" fillId="0" borderId="0" xfId="0" applyNumberFormat="1" applyFont="1"/>
    <xf numFmtId="0" fontId="0" fillId="0" borderId="0" xfId="0" applyAlignment="1">
      <alignment wrapText="1"/>
    </xf>
    <xf numFmtId="10" fontId="0" fillId="0" borderId="0" xfId="0" applyNumberFormat="1" applyAlignment="1">
      <alignment horizontal="right"/>
    </xf>
    <xf numFmtId="0" fontId="1" fillId="4" borderId="4" xfId="0" applyFont="1" applyFill="1" applyBorder="1"/>
    <xf numFmtId="10" fontId="1" fillId="4" borderId="4" xfId="0" applyNumberFormat="1" applyFont="1" applyFill="1" applyBorder="1" applyAlignment="1">
      <alignment horizontal="right"/>
    </xf>
    <xf numFmtId="10" fontId="0" fillId="4" borderId="5" xfId="0" applyNumberFormat="1" applyFill="1" applyBorder="1"/>
    <xf numFmtId="17" fontId="1" fillId="0" borderId="1" xfId="0" applyNumberFormat="1" applyFont="1" applyBorder="1"/>
    <xf numFmtId="43" fontId="0" fillId="0" borderId="0" xfId="0" applyNumberFormat="1"/>
    <xf numFmtId="0" fontId="1" fillId="0" borderId="9" xfId="0" applyFont="1" applyBorder="1"/>
    <xf numFmtId="0" fontId="0" fillId="0" borderId="2" xfId="0" applyBorder="1"/>
    <xf numFmtId="0" fontId="0" fillId="4" borderId="0" xfId="0" applyFill="1"/>
    <xf numFmtId="2" fontId="1" fillId="0" borderId="9" xfId="0" applyNumberFormat="1" applyFont="1" applyBorder="1"/>
    <xf numFmtId="175" fontId="0" fillId="0" borderId="7" xfId="0" applyNumberFormat="1" applyBorder="1"/>
    <xf numFmtId="176" fontId="0" fillId="0" borderId="7" xfId="0" applyNumberFormat="1" applyBorder="1"/>
    <xf numFmtId="0" fontId="15" fillId="0" borderId="0" xfId="0" applyFont="1"/>
    <xf numFmtId="0" fontId="16" fillId="0" borderId="0" xfId="0" applyFont="1"/>
    <xf numFmtId="0" fontId="0" fillId="0" borderId="9" xfId="0" applyBorder="1"/>
    <xf numFmtId="1" fontId="1" fillId="0" borderId="0" xfId="0" applyNumberFormat="1" applyFont="1"/>
    <xf numFmtId="1" fontId="1" fillId="0" borderId="2" xfId="0" applyNumberFormat="1" applyFont="1" applyBorder="1"/>
    <xf numFmtId="0" fontId="17" fillId="0" borderId="2" xfId="0" applyFont="1" applyBorder="1"/>
    <xf numFmtId="1" fontId="0" fillId="0" borderId="0" xfId="0" applyNumberFormat="1"/>
    <xf numFmtId="0" fontId="13" fillId="0" borderId="0" xfId="0" applyFont="1"/>
    <xf numFmtId="0" fontId="17" fillId="0" borderId="0" xfId="0" applyFont="1"/>
    <xf numFmtId="2" fontId="13" fillId="0" borderId="0" xfId="0" applyNumberFormat="1" applyFont="1"/>
    <xf numFmtId="2" fontId="8" fillId="0" borderId="0" xfId="0" applyNumberFormat="1" applyFont="1"/>
    <xf numFmtId="10" fontId="8" fillId="0" borderId="0" xfId="1" applyNumberFormat="1" applyFont="1"/>
    <xf numFmtId="10" fontId="18" fillId="0" borderId="0" xfId="1" applyNumberFormat="1" applyFont="1"/>
    <xf numFmtId="0" fontId="19" fillId="0" borderId="0" xfId="0" applyFont="1" applyAlignment="1">
      <alignment vertical="center"/>
    </xf>
    <xf numFmtId="9" fontId="8" fillId="0" borderId="0" xfId="1" applyFont="1"/>
    <xf numFmtId="9" fontId="18" fillId="0" borderId="0" xfId="1" applyFont="1"/>
    <xf numFmtId="9" fontId="1" fillId="0" borderId="0" xfId="1" applyFont="1"/>
    <xf numFmtId="0" fontId="0" fillId="0" borderId="0" xfId="0" quotePrefix="1"/>
    <xf numFmtId="0" fontId="5" fillId="0" borderId="0" xfId="0" applyFont="1"/>
    <xf numFmtId="0" fontId="12" fillId="0" borderId="0" xfId="0" applyFont="1"/>
    <xf numFmtId="0" fontId="20" fillId="0" borderId="0" xfId="0" applyFont="1"/>
    <xf numFmtId="0" fontId="16" fillId="0" borderId="2" xfId="0" applyFont="1" applyBorder="1"/>
    <xf numFmtId="2" fontId="0" fillId="0" borderId="0" xfId="1" applyNumberFormat="1" applyFont="1"/>
    <xf numFmtId="175" fontId="0" fillId="0" borderId="0" xfId="0" applyNumberFormat="1"/>
    <xf numFmtId="176" fontId="0" fillId="0" borderId="0" xfId="0" applyNumberFormat="1"/>
    <xf numFmtId="10" fontId="22" fillId="0" borderId="0" xfId="0" applyNumberFormat="1" applyFont="1"/>
    <xf numFmtId="175" fontId="22" fillId="0" borderId="0" xfId="0" applyNumberFormat="1" applyFont="1"/>
    <xf numFmtId="10" fontId="22" fillId="0" borderId="0" xfId="1" applyNumberFormat="1" applyFont="1" applyBorder="1"/>
    <xf numFmtId="9" fontId="22" fillId="0" borderId="0" xfId="1" applyFont="1" applyBorder="1"/>
    <xf numFmtId="9" fontId="22" fillId="0" borderId="0" xfId="0" applyNumberFormat="1" applyFont="1"/>
    <xf numFmtId="175" fontId="0" fillId="0" borderId="11" xfId="0" applyNumberFormat="1" applyBorder="1"/>
    <xf numFmtId="175" fontId="0" fillId="0" borderId="12" xfId="0" applyNumberFormat="1" applyBorder="1"/>
    <xf numFmtId="9" fontId="22" fillId="0" borderId="12" xfId="1" applyFont="1" applyBorder="1"/>
    <xf numFmtId="10" fontId="22" fillId="0" borderId="12" xfId="1" applyNumberFormat="1" applyFont="1" applyBorder="1"/>
    <xf numFmtId="2" fontId="0" fillId="0" borderId="0" xfId="1" applyNumberFormat="1" applyFont="1" applyBorder="1"/>
    <xf numFmtId="9" fontId="8" fillId="0" borderId="0" xfId="0" applyNumberFormat="1" applyFont="1"/>
    <xf numFmtId="0" fontId="0" fillId="6" borderId="0" xfId="0" applyFill="1"/>
    <xf numFmtId="175" fontId="0" fillId="6" borderId="0" xfId="0" applyNumberFormat="1" applyFill="1"/>
    <xf numFmtId="1" fontId="13" fillId="0" borderId="0" xfId="0" applyNumberFormat="1" applyFont="1"/>
    <xf numFmtId="1" fontId="14" fillId="0" borderId="2" xfId="0" applyNumberFormat="1" applyFont="1" applyBorder="1"/>
    <xf numFmtId="9" fontId="13" fillId="0" borderId="0" xfId="0" applyNumberFormat="1" applyFont="1"/>
    <xf numFmtId="2" fontId="1" fillId="0" borderId="0" xfId="1" applyNumberFormat="1" applyFont="1" applyBorder="1"/>
    <xf numFmtId="177" fontId="1" fillId="0" borderId="0" xfId="1" applyNumberFormat="1" applyFont="1"/>
    <xf numFmtId="175" fontId="0" fillId="0" borderId="9" xfId="0" applyNumberFormat="1" applyBorder="1"/>
    <xf numFmtId="2" fontId="0" fillId="0" borderId="9" xfId="1" applyNumberFormat="1" applyFont="1" applyBorder="1"/>
    <xf numFmtId="2" fontId="1" fillId="0" borderId="9" xfId="1" applyNumberFormat="1" applyFont="1" applyBorder="1"/>
    <xf numFmtId="2" fontId="0" fillId="0" borderId="5" xfId="0" applyNumberFormat="1" applyBorder="1"/>
    <xf numFmtId="9" fontId="1" fillId="4" borderId="5" xfId="1" applyFont="1" applyFill="1" applyBorder="1"/>
    <xf numFmtId="0" fontId="2" fillId="2" borderId="0" xfId="0" applyFont="1" applyFill="1" applyAlignment="1">
      <alignment horizontal="center"/>
    </xf>
    <xf numFmtId="2" fontId="1" fillId="0" borderId="0" xfId="1" applyNumberFormat="1" applyFont="1" applyBorder="1" applyAlignment="1">
      <alignment horizontal="center"/>
    </xf>
    <xf numFmtId="0" fontId="17" fillId="0" borderId="9" xfId="0" applyFont="1" applyBorder="1"/>
    <xf numFmtId="0" fontId="8" fillId="0" borderId="0" xfId="0" applyFont="1" applyAlignment="1">
      <alignment vertical="top" wrapText="1"/>
    </xf>
    <xf numFmtId="17" fontId="4" fillId="3" borderId="3" xfId="0" applyNumberFormat="1" applyFont="1" applyFill="1" applyBorder="1"/>
    <xf numFmtId="175" fontId="4" fillId="3" borderId="7" xfId="0" applyNumberFormat="1" applyFont="1" applyFill="1" applyBorder="1"/>
    <xf numFmtId="0" fontId="0" fillId="3" borderId="0" xfId="0" applyFill="1"/>
    <xf numFmtId="0" fontId="24" fillId="0" borderId="0" xfId="0" applyFont="1" applyAlignment="1">
      <alignment horizontal="center"/>
    </xf>
    <xf numFmtId="0" fontId="15" fillId="0" borderId="4" xfId="0" applyFont="1" applyBorder="1"/>
    <xf numFmtId="176" fontId="4" fillId="3" borderId="7" xfId="0" applyNumberFormat="1" applyFont="1" applyFill="1" applyBorder="1"/>
    <xf numFmtId="2" fontId="17" fillId="0" borderId="9" xfId="0" applyNumberFormat="1" applyFont="1" applyBorder="1"/>
    <xf numFmtId="0" fontId="17" fillId="0" borderId="4" xfId="0" applyFont="1" applyBorder="1"/>
    <xf numFmtId="0" fontId="5" fillId="0" borderId="4" xfId="0" applyFont="1" applyBorder="1"/>
    <xf numFmtId="2" fontId="17" fillId="0" borderId="4" xfId="0" applyNumberFormat="1" applyFont="1" applyBorder="1"/>
    <xf numFmtId="1" fontId="17" fillId="0" borderId="4" xfId="0" applyNumberFormat="1" applyFont="1" applyBorder="1"/>
    <xf numFmtId="0" fontId="25" fillId="0" borderId="0" xfId="0" applyFont="1"/>
    <xf numFmtId="177" fontId="25" fillId="0" borderId="0" xfId="1" applyNumberFormat="1" applyFont="1"/>
    <xf numFmtId="1" fontId="5" fillId="0" borderId="9" xfId="0" applyNumberFormat="1" applyFont="1" applyBorder="1"/>
    <xf numFmtId="1" fontId="0" fillId="0" borderId="9" xfId="0" applyNumberFormat="1" applyBorder="1"/>
    <xf numFmtId="10" fontId="25" fillId="0" borderId="0" xfId="1" applyNumberFormat="1" applyFont="1"/>
    <xf numFmtId="1" fontId="17" fillId="0" borderId="2" xfId="0" applyNumberFormat="1" applyFont="1" applyBorder="1"/>
    <xf numFmtId="2" fontId="17" fillId="0" borderId="2" xfId="0" applyNumberFormat="1" applyFont="1" applyBorder="1"/>
    <xf numFmtId="2" fontId="14" fillId="0" borderId="2" xfId="0" applyNumberFormat="1" applyFont="1" applyBorder="1"/>
    <xf numFmtId="9" fontId="5" fillId="0" borderId="0" xfId="1" applyFont="1"/>
    <xf numFmtId="0" fontId="26" fillId="0" borderId="0" xfId="0" applyFont="1"/>
    <xf numFmtId="9" fontId="25" fillId="0" borderId="0" xfId="1" applyFont="1"/>
    <xf numFmtId="2" fontId="15" fillId="0" borderId="0" xfId="0" applyNumberFormat="1" applyFont="1"/>
    <xf numFmtId="2" fontId="0" fillId="0" borderId="4" xfId="0" applyNumberFormat="1" applyBorder="1"/>
    <xf numFmtId="0" fontId="13" fillId="0" borderId="4" xfId="0" applyFont="1" applyBorder="1"/>
    <xf numFmtId="1" fontId="5" fillId="0" borderId="0" xfId="0" applyNumberFormat="1" applyFont="1"/>
    <xf numFmtId="2" fontId="13" fillId="0" borderId="4" xfId="0" applyNumberFormat="1" applyFont="1" applyBorder="1"/>
    <xf numFmtId="188" fontId="4" fillId="3" borderId="3" xfId="0" applyNumberFormat="1" applyFont="1" applyFill="1" applyBorder="1"/>
    <xf numFmtId="189" fontId="4" fillId="3" borderId="3" xfId="0" applyNumberFormat="1" applyFont="1" applyFill="1" applyBorder="1"/>
    <xf numFmtId="0" fontId="10" fillId="0" borderId="0" xfId="0" applyFont="1" applyAlignment="1">
      <alignment wrapText="1"/>
    </xf>
    <xf numFmtId="2" fontId="5" fillId="0" borderId="4" xfId="0" applyNumberFormat="1" applyFont="1" applyBorder="1"/>
    <xf numFmtId="0" fontId="1" fillId="0" borderId="13" xfId="0" applyFont="1" applyBorder="1"/>
    <xf numFmtId="0" fontId="0" fillId="0" borderId="13" xfId="0" applyBorder="1"/>
    <xf numFmtId="0" fontId="5" fillId="0" borderId="13" xfId="0" applyFont="1" applyBorder="1"/>
    <xf numFmtId="0" fontId="12" fillId="0" borderId="13" xfId="0" applyFont="1" applyBorder="1"/>
    <xf numFmtId="188" fontId="0" fillId="0" borderId="3" xfId="0" applyNumberFormat="1" applyBorder="1"/>
    <xf numFmtId="0" fontId="11" fillId="0" borderId="0" xfId="0" applyFont="1" applyAlignment="1">
      <alignment wrapText="1"/>
    </xf>
    <xf numFmtId="0" fontId="12" fillId="0" borderId="2" xfId="0" applyFont="1" applyBorder="1"/>
    <xf numFmtId="9" fontId="0" fillId="0" borderId="4" xfId="0" applyNumberFormat="1" applyBorder="1"/>
    <xf numFmtId="0" fontId="25" fillId="0" borderId="0" xfId="0" applyFont="1" applyFill="1" applyBorder="1"/>
    <xf numFmtId="0" fontId="2" fillId="3" borderId="1" xfId="0" applyFont="1" applyFill="1" applyBorder="1" applyAlignment="1">
      <alignment horizontal="center"/>
    </xf>
    <xf numFmtId="0" fontId="2" fillId="5" borderId="1" xfId="0" applyFont="1" applyFill="1" applyBorder="1" applyAlignment="1">
      <alignment horizontal="center"/>
    </xf>
    <xf numFmtId="0" fontId="0" fillId="0" borderId="0" xfId="0" applyFont="1"/>
    <xf numFmtId="188" fontId="0" fillId="0" borderId="10" xfId="0" applyNumberFormat="1" applyBorder="1"/>
    <xf numFmtId="189" fontId="0" fillId="0" borderId="3" xfId="0" applyNumberFormat="1" applyBorder="1"/>
    <xf numFmtId="175" fontId="2" fillId="3" borderId="0" xfId="0" applyNumberFormat="1" applyFont="1" applyFill="1" applyAlignment="1">
      <alignment horizontal="center" vertical="center"/>
    </xf>
    <xf numFmtId="2" fontId="2" fillId="3" borderId="0" xfId="1" applyNumberFormat="1" applyFont="1" applyFill="1" applyBorder="1" applyAlignment="1">
      <alignment horizontal="center"/>
    </xf>
    <xf numFmtId="2" fontId="0" fillId="6" borderId="0" xfId="0" applyNumberFormat="1" applyFill="1"/>
    <xf numFmtId="2" fontId="0" fillId="7" borderId="0" xfId="0" applyNumberFormat="1" applyFill="1"/>
    <xf numFmtId="0" fontId="1" fillId="6" borderId="0" xfId="0" applyFont="1" applyFill="1" applyAlignment="1">
      <alignment horizontal="center"/>
    </xf>
    <xf numFmtId="0" fontId="0" fillId="8" borderId="0" xfId="0" applyFill="1"/>
    <xf numFmtId="4" fontId="0" fillId="8" borderId="0" xfId="0" applyNumberFormat="1" applyFill="1"/>
    <xf numFmtId="175" fontId="0" fillId="8" borderId="0" xfId="0" applyNumberFormat="1" applyFill="1"/>
    <xf numFmtId="0" fontId="31" fillId="0" borderId="0" xfId="0" applyFont="1" applyAlignment="1">
      <alignment horizontal="center" vertical="center"/>
    </xf>
    <xf numFmtId="0" fontId="24" fillId="0" borderId="0" xfId="0" applyFont="1" applyAlignment="1">
      <alignment horizontal="right"/>
    </xf>
    <xf numFmtId="0" fontId="0" fillId="0" borderId="0" xfId="0" applyBorder="1"/>
    <xf numFmtId="0" fontId="0" fillId="0" borderId="0" xfId="0" applyFill="1" applyBorder="1" applyAlignment="1"/>
    <xf numFmtId="0" fontId="0" fillId="0" borderId="7" xfId="0" applyFill="1" applyBorder="1" applyAlignment="1"/>
    <xf numFmtId="0" fontId="8" fillId="0" borderId="8" xfId="0" applyFont="1" applyFill="1" applyBorder="1" applyAlignment="1">
      <alignment horizontal="center"/>
    </xf>
    <xf numFmtId="0" fontId="8" fillId="0" borderId="8" xfId="0" applyFont="1" applyFill="1" applyBorder="1" applyAlignment="1">
      <alignment horizontal="centerContinuous"/>
    </xf>
    <xf numFmtId="0" fontId="4" fillId="3" borderId="3" xfId="0" applyFont="1" applyFill="1" applyBorder="1"/>
    <xf numFmtId="0" fontId="4" fillId="3" borderId="7" xfId="0" applyFont="1" applyFill="1" applyBorder="1"/>
    <xf numFmtId="1" fontId="1" fillId="0" borderId="4" xfId="0" applyNumberFormat="1" applyFont="1" applyBorder="1"/>
    <xf numFmtId="1" fontId="1" fillId="0" borderId="9" xfId="0" applyNumberFormat="1" applyFont="1" applyBorder="1"/>
    <xf numFmtId="0" fontId="32" fillId="0" borderId="0" xfId="0" applyFont="1"/>
    <xf numFmtId="1" fontId="32" fillId="0" borderId="0" xfId="0" applyNumberFormat="1" applyFont="1"/>
    <xf numFmtId="9" fontId="32" fillId="0" borderId="0" xfId="1" applyFont="1"/>
    <xf numFmtId="0" fontId="1" fillId="0" borderId="0" xfId="0" applyFont="1" applyBorder="1"/>
    <xf numFmtId="1" fontId="17" fillId="0" borderId="0" xfId="0" applyNumberFormat="1" applyFont="1" applyBorder="1"/>
    <xf numFmtId="0" fontId="13" fillId="0" borderId="5" xfId="0" applyFont="1" applyBorder="1"/>
    <xf numFmtId="0" fontId="13" fillId="0" borderId="0" xfId="0" applyFont="1" applyBorder="1"/>
    <xf numFmtId="2" fontId="13" fillId="0" borderId="5" xfId="0" applyNumberFormat="1" applyFont="1" applyBorder="1"/>
    <xf numFmtId="0" fontId="8" fillId="0" borderId="6" xfId="0" applyFont="1" applyBorder="1"/>
    <xf numFmtId="2" fontId="8" fillId="0" borderId="6" xfId="0" applyNumberFormat="1" applyFont="1" applyBorder="1"/>
    <xf numFmtId="10" fontId="8" fillId="0" borderId="6" xfId="1" applyNumberFormat="1" applyFont="1" applyBorder="1"/>
    <xf numFmtId="10" fontId="18" fillId="0" borderId="6" xfId="1" applyNumberFormat="1" applyFont="1" applyBorder="1"/>
    <xf numFmtId="2" fontId="0" fillId="0" borderId="6" xfId="0" applyNumberFormat="1" applyBorder="1"/>
    <xf numFmtId="9" fontId="8" fillId="0" borderId="6" xfId="1" applyFont="1" applyBorder="1"/>
    <xf numFmtId="9" fontId="18" fillId="0" borderId="6" xfId="1" applyFont="1" applyBorder="1"/>
    <xf numFmtId="10" fontId="0" fillId="0" borderId="1" xfId="1" applyNumberFormat="1" applyFont="1" applyBorder="1"/>
    <xf numFmtId="10" fontId="0" fillId="0" borderId="4" xfId="1" applyNumberFormat="1" applyFont="1" applyBorder="1"/>
    <xf numFmtId="10" fontId="0" fillId="0" borderId="0" xfId="0" applyNumberFormat="1" applyBorder="1"/>
    <xf numFmtId="168" fontId="0" fillId="0" borderId="0" xfId="0" applyNumberFormat="1" applyBorder="1"/>
    <xf numFmtId="169" fontId="0" fillId="0" borderId="0" xfId="0" applyNumberFormat="1" applyBorder="1"/>
    <xf numFmtId="189" fontId="4" fillId="2" borderId="0" xfId="0" applyNumberFormat="1" applyFont="1" applyFill="1"/>
    <xf numFmtId="0" fontId="24" fillId="0" borderId="0" xfId="0" applyFont="1" applyAlignment="1">
      <alignment horizontal="right" vertical="center"/>
    </xf>
    <xf numFmtId="43" fontId="1" fillId="0" borderId="4" xfId="0" applyNumberFormat="1" applyFont="1" applyBorder="1"/>
    <xf numFmtId="10" fontId="1" fillId="0" borderId="4" xfId="1" applyNumberFormat="1" applyFont="1" applyBorder="1"/>
    <xf numFmtId="0" fontId="1" fillId="0" borderId="0" xfId="0" applyFont="1" applyAlignment="1">
      <alignment horizontal="right"/>
    </xf>
    <xf numFmtId="2" fontId="15" fillId="0" borderId="4" xfId="0" applyNumberFormat="1" applyFont="1" applyBorder="1"/>
    <xf numFmtId="2" fontId="15" fillId="0" borderId="14" xfId="0" applyNumberFormat="1" applyFont="1" applyBorder="1"/>
    <xf numFmtId="2" fontId="15" fillId="0" borderId="0" xfId="1" applyNumberFormat="1" applyFont="1" applyBorder="1"/>
    <xf numFmtId="9" fontId="21" fillId="0" borderId="0" xfId="1" applyFont="1" applyBorder="1"/>
    <xf numFmtId="2" fontId="15" fillId="0" borderId="4" xfId="1" applyNumberFormat="1" applyFont="1" applyBorder="1"/>
    <xf numFmtId="2" fontId="15" fillId="0" borderId="14" xfId="1" applyNumberFormat="1" applyFont="1" applyBorder="1"/>
    <xf numFmtId="9" fontId="18" fillId="0" borderId="0" xfId="0" applyNumberFormat="1" applyFont="1"/>
    <xf numFmtId="2" fontId="13" fillId="0" borderId="0" xfId="1" applyNumberFormat="1" applyFont="1" applyBorder="1"/>
    <xf numFmtId="9" fontId="18" fillId="0" borderId="0" xfId="1" applyFont="1" applyBorder="1"/>
    <xf numFmtId="0" fontId="7" fillId="0" borderId="0" xfId="0" applyFont="1"/>
    <xf numFmtId="2" fontId="7" fillId="0" borderId="2" xfId="0" applyNumberFormat="1" applyFont="1" applyBorder="1"/>
    <xf numFmtId="2" fontId="13" fillId="0" borderId="2" xfId="0" applyNumberFormat="1" applyFont="1" applyBorder="1"/>
    <xf numFmtId="9" fontId="15" fillId="0" borderId="4" xfId="1" applyFont="1" applyBorder="1"/>
    <xf numFmtId="9" fontId="13" fillId="0" borderId="4" xfId="0" applyNumberFormat="1" applyFont="1" applyBorder="1"/>
    <xf numFmtId="0" fontId="16" fillId="0" borderId="4" xfId="0" applyFont="1" applyBorder="1"/>
    <xf numFmtId="1" fontId="15" fillId="0" borderId="4" xfId="0" applyNumberFormat="1" applyFont="1" applyBorder="1"/>
    <xf numFmtId="1" fontId="15" fillId="0" borderId="5" xfId="0" applyNumberFormat="1" applyFont="1" applyBorder="1"/>
    <xf numFmtId="0" fontId="15" fillId="0" borderId="5" xfId="0" applyFont="1" applyBorder="1"/>
  </cellXfs>
  <cellStyles count="2">
    <cellStyle name="Normal" xfId="0" builtinId="0"/>
    <cellStyle name="Percent" xfId="1" builtinId="5"/>
  </cellStyles>
  <dxfs count="0"/>
  <tableStyles count="0" defaultTableStyle="TableStyleMedium9" defaultPivotStyle="PivotStyleLight16"/>
  <colors>
    <mruColors>
      <color rgb="FF000066"/>
      <color rgb="FF000099"/>
      <color rgb="FFFFFFCC"/>
      <color rgb="FF003399"/>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(Valuation Summary in Rs)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38100" cap="rnd">
              <a:noFill/>
              <a:round/>
            </a:ln>
            <a:effectLst/>
          </c:spPr>
          <c:marker>
            <c:symbol val="none"/>
          </c:marker>
          <c:cat>
            <c:strRef>
              <c:f>'Football Field Analysis'!$L$6:$L$9</c:f>
              <c:strCache>
                <c:ptCount val="4"/>
                <c:pt idx="0">
                  <c:v>DCF Bear</c:v>
                </c:pt>
                <c:pt idx="1">
                  <c:v>DCF Base</c:v>
                </c:pt>
                <c:pt idx="2">
                  <c:v>DCF Bull</c:v>
                </c:pt>
                <c:pt idx="3">
                  <c:v>52 W H/L</c:v>
                </c:pt>
              </c:strCache>
            </c:strRef>
          </c:cat>
          <c:val>
            <c:numRef>
              <c:f>'Football Field Analysis'!$M$6:$M$9</c:f>
              <c:numCache>
                <c:formatCode>0.00</c:formatCode>
                <c:ptCount val="4"/>
                <c:pt idx="0">
                  <c:v>476.01960268945686</c:v>
                </c:pt>
                <c:pt idx="1">
                  <c:v>670.77068410696711</c:v>
                </c:pt>
                <c:pt idx="2">
                  <c:v>1282.3135620446492</c:v>
                </c:pt>
                <c:pt idx="3">
                  <c:v>2320</c:v>
                </c:pt>
              </c:numCache>
            </c:numRef>
          </c:val>
          <c:smooth val="0"/>
          <c:extLst>
            <c:ext xmlns:c16="http://schemas.microsoft.com/office/drawing/2014/chart" uri="{C3380CC4-5D6E-409C-BE32-E72D297353CC}">
              <c16:uniqueId val="{00000000-3D55-4415-9866-E780CFE8A2F9}"/>
            </c:ext>
          </c:extLst>
        </c:ser>
        <c:ser>
          <c:idx val="1"/>
          <c:order val="1"/>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Analysis'!$L$6:$L$9</c:f>
              <c:strCache>
                <c:ptCount val="4"/>
                <c:pt idx="0">
                  <c:v>DCF Bear</c:v>
                </c:pt>
                <c:pt idx="1">
                  <c:v>DCF Base</c:v>
                </c:pt>
                <c:pt idx="2">
                  <c:v>DCF Bull</c:v>
                </c:pt>
                <c:pt idx="3">
                  <c:v>52 W H/L</c:v>
                </c:pt>
              </c:strCache>
            </c:strRef>
          </c:cat>
          <c:val>
            <c:numRef>
              <c:f>'Football Field Analysis'!$N$6:$N$9</c:f>
              <c:numCache>
                <c:formatCode>0.00</c:formatCode>
                <c:ptCount val="4"/>
                <c:pt idx="0">
                  <c:v>476.01960268945686</c:v>
                </c:pt>
                <c:pt idx="1">
                  <c:v>670.77068410696711</c:v>
                </c:pt>
                <c:pt idx="2">
                  <c:v>1282.3135620446492</c:v>
                </c:pt>
                <c:pt idx="3">
                  <c:v>2320</c:v>
                </c:pt>
              </c:numCache>
            </c:numRef>
          </c:val>
          <c:smooth val="0"/>
          <c:extLst>
            <c:ext xmlns:c16="http://schemas.microsoft.com/office/drawing/2014/chart" uri="{C3380CC4-5D6E-409C-BE32-E72D297353CC}">
              <c16:uniqueId val="{00000001-3D55-4415-9866-E780CFE8A2F9}"/>
            </c:ext>
          </c:extLst>
        </c:ser>
        <c:ser>
          <c:idx val="2"/>
          <c:order val="2"/>
          <c:spPr>
            <a:ln w="38100" cap="rnd">
              <a:noFill/>
              <a:round/>
            </a:ln>
            <a:effectLst/>
          </c:spPr>
          <c:marker>
            <c:symbol val="none"/>
          </c:marker>
          <c:cat>
            <c:strRef>
              <c:f>'Football Field Analysis'!$L$6:$L$9</c:f>
              <c:strCache>
                <c:ptCount val="4"/>
                <c:pt idx="0">
                  <c:v>DCF Bear</c:v>
                </c:pt>
                <c:pt idx="1">
                  <c:v>DCF Base</c:v>
                </c:pt>
                <c:pt idx="2">
                  <c:v>DCF Bull</c:v>
                </c:pt>
                <c:pt idx="3">
                  <c:v>52 W H/L</c:v>
                </c:pt>
              </c:strCache>
            </c:strRef>
          </c:cat>
          <c:val>
            <c:numRef>
              <c:f>'Football Field Analysis'!$O$6:$O$9</c:f>
              <c:numCache>
                <c:formatCode>0.00</c:formatCode>
                <c:ptCount val="4"/>
                <c:pt idx="0">
                  <c:v>525.05191538156259</c:v>
                </c:pt>
                <c:pt idx="1">
                  <c:v>782.13069991523651</c:v>
                </c:pt>
                <c:pt idx="2">
                  <c:v>1812.8909183516284</c:v>
                </c:pt>
                <c:pt idx="3">
                  <c:v>3887</c:v>
                </c:pt>
              </c:numCache>
            </c:numRef>
          </c:val>
          <c:smooth val="0"/>
          <c:extLst>
            <c:ext xmlns:c16="http://schemas.microsoft.com/office/drawing/2014/chart" uri="{C3380CC4-5D6E-409C-BE32-E72D297353CC}">
              <c16:uniqueId val="{00000002-3D55-4415-9866-E780CFE8A2F9}"/>
            </c:ext>
          </c:extLst>
        </c:ser>
        <c:ser>
          <c:idx val="3"/>
          <c:order val="3"/>
          <c:spPr>
            <a:ln w="3810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Analysis'!$L$6:$L$9</c:f>
              <c:strCache>
                <c:ptCount val="4"/>
                <c:pt idx="0">
                  <c:v>DCF Bear</c:v>
                </c:pt>
                <c:pt idx="1">
                  <c:v>DCF Base</c:v>
                </c:pt>
                <c:pt idx="2">
                  <c:v>DCF Bull</c:v>
                </c:pt>
                <c:pt idx="3">
                  <c:v>52 W H/L</c:v>
                </c:pt>
              </c:strCache>
            </c:strRef>
          </c:cat>
          <c:val>
            <c:numRef>
              <c:f>'Football Field Analysis'!$P$6:$P$9</c:f>
              <c:numCache>
                <c:formatCode>0.00</c:formatCode>
                <c:ptCount val="4"/>
                <c:pt idx="0">
                  <c:v>525.05191538156259</c:v>
                </c:pt>
                <c:pt idx="1">
                  <c:v>782.13069991523651</c:v>
                </c:pt>
                <c:pt idx="2">
                  <c:v>1812.8909183516284</c:v>
                </c:pt>
                <c:pt idx="3">
                  <c:v>3887</c:v>
                </c:pt>
              </c:numCache>
            </c:numRef>
          </c:val>
          <c:smooth val="0"/>
          <c:extLst>
            <c:ext xmlns:c16="http://schemas.microsoft.com/office/drawing/2014/chart" uri="{C3380CC4-5D6E-409C-BE32-E72D297353CC}">
              <c16:uniqueId val="{00000003-3D55-4415-9866-E780CFE8A2F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rgbClr val="002060"/>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31636312"/>
        <c:axId val="631634512"/>
      </c:stockChart>
      <c:catAx>
        <c:axId val="6316363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634512"/>
        <c:crosses val="autoZero"/>
        <c:auto val="1"/>
        <c:lblAlgn val="ctr"/>
        <c:lblOffset val="100"/>
        <c:noMultiLvlLbl val="0"/>
      </c:catAx>
      <c:valAx>
        <c:axId val="63163451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6363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94203</xdr:colOff>
      <xdr:row>0</xdr:row>
      <xdr:rowOff>0</xdr:rowOff>
    </xdr:from>
    <xdr:to>
      <xdr:col>1</xdr:col>
      <xdr:colOff>680358</xdr:colOff>
      <xdr:row>1</xdr:row>
      <xdr:rowOff>9793</xdr:rowOff>
    </xdr:to>
    <xdr:pic>
      <xdr:nvPicPr>
        <xdr:cNvPr id="2" name="Picture 1" descr="Titan Company - Wikipedia">
          <a:extLst>
            <a:ext uri="{FF2B5EF4-FFF2-40B4-BE49-F238E27FC236}">
              <a16:creationId xmlns:a16="http://schemas.microsoft.com/office/drawing/2014/main" id="{B112A22D-590D-45C1-80B0-B6DB3E765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807" y="0"/>
          <a:ext cx="586155" cy="58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94203</xdr:colOff>
      <xdr:row>0</xdr:row>
      <xdr:rowOff>0</xdr:rowOff>
    </xdr:from>
    <xdr:to>
      <xdr:col>1</xdr:col>
      <xdr:colOff>680358</xdr:colOff>
      <xdr:row>0</xdr:row>
      <xdr:rowOff>591761</xdr:rowOff>
    </xdr:to>
    <xdr:pic>
      <xdr:nvPicPr>
        <xdr:cNvPr id="2" name="Picture 1" descr="Titan Company - Wikipedia">
          <a:extLst>
            <a:ext uri="{FF2B5EF4-FFF2-40B4-BE49-F238E27FC236}">
              <a16:creationId xmlns:a16="http://schemas.microsoft.com/office/drawing/2014/main" id="{3EF8FF60-722A-466B-8E7B-15511A14D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28" y="0"/>
          <a:ext cx="586155" cy="591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94203</xdr:colOff>
      <xdr:row>0</xdr:row>
      <xdr:rowOff>0</xdr:rowOff>
    </xdr:from>
    <xdr:to>
      <xdr:col>1</xdr:col>
      <xdr:colOff>680358</xdr:colOff>
      <xdr:row>0</xdr:row>
      <xdr:rowOff>596995</xdr:rowOff>
    </xdr:to>
    <xdr:pic>
      <xdr:nvPicPr>
        <xdr:cNvPr id="2" name="Picture 1" descr="Titan Company - Wikipedia">
          <a:extLst>
            <a:ext uri="{FF2B5EF4-FFF2-40B4-BE49-F238E27FC236}">
              <a16:creationId xmlns:a16="http://schemas.microsoft.com/office/drawing/2014/main" id="{D7D9E5D7-35E0-43F0-ACEB-278A67E44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28" y="0"/>
          <a:ext cx="586155" cy="591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94203</xdr:colOff>
      <xdr:row>0</xdr:row>
      <xdr:rowOff>0</xdr:rowOff>
    </xdr:from>
    <xdr:to>
      <xdr:col>1</xdr:col>
      <xdr:colOff>680358</xdr:colOff>
      <xdr:row>0</xdr:row>
      <xdr:rowOff>591761</xdr:rowOff>
    </xdr:to>
    <xdr:pic>
      <xdr:nvPicPr>
        <xdr:cNvPr id="2" name="Picture 1" descr="Titan Company - Wikipedia">
          <a:extLst>
            <a:ext uri="{FF2B5EF4-FFF2-40B4-BE49-F238E27FC236}">
              <a16:creationId xmlns:a16="http://schemas.microsoft.com/office/drawing/2014/main" id="{ED44B63A-A279-4E0B-AA3A-20D357734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28" y="0"/>
          <a:ext cx="586155" cy="58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361950</xdr:colOff>
      <xdr:row>1</xdr:row>
      <xdr:rowOff>185737</xdr:rowOff>
    </xdr:from>
    <xdr:to>
      <xdr:col>9</xdr:col>
      <xdr:colOff>57150</xdr:colOff>
      <xdr:row>16</xdr:row>
      <xdr:rowOff>71437</xdr:rowOff>
    </xdr:to>
    <xdr:graphicFrame macro="">
      <xdr:nvGraphicFramePr>
        <xdr:cNvPr id="2" name="Chart 1">
          <a:extLst>
            <a:ext uri="{FF2B5EF4-FFF2-40B4-BE49-F238E27FC236}">
              <a16:creationId xmlns:a16="http://schemas.microsoft.com/office/drawing/2014/main" id="{6FAE883D-73CA-BBAC-E9B9-1CA695B7F7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6</xdr:row>
      <xdr:rowOff>66675</xdr:rowOff>
    </xdr:from>
    <xdr:to>
      <xdr:col>9</xdr:col>
      <xdr:colOff>95250</xdr:colOff>
      <xdr:row>6</xdr:row>
      <xdr:rowOff>85725</xdr:rowOff>
    </xdr:to>
    <xdr:cxnSp macro="">
      <xdr:nvCxnSpPr>
        <xdr:cNvPr id="4" name="Straight Connector 3">
          <a:extLst>
            <a:ext uri="{FF2B5EF4-FFF2-40B4-BE49-F238E27FC236}">
              <a16:creationId xmlns:a16="http://schemas.microsoft.com/office/drawing/2014/main" id="{00FB8193-A06C-5982-38BC-C785A1AAE7A1}"/>
            </a:ext>
          </a:extLst>
        </xdr:cNvPr>
        <xdr:cNvCxnSpPr/>
      </xdr:nvCxnSpPr>
      <xdr:spPr>
        <a:xfrm flipV="1">
          <a:off x="1019175" y="1590675"/>
          <a:ext cx="4076700" cy="19050"/>
        </a:xfrm>
        <a:prstGeom prst="line">
          <a:avLst/>
        </a:prstGeom>
        <a:ln w="19050">
          <a:solidFill>
            <a:schemeClr val="accent3">
              <a:lumMod val="60000"/>
              <a:lumOff val="40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122778</xdr:colOff>
      <xdr:row>0</xdr:row>
      <xdr:rowOff>95251</xdr:rowOff>
    </xdr:from>
    <xdr:to>
      <xdr:col>1</xdr:col>
      <xdr:colOff>508430</xdr:colOff>
      <xdr:row>1</xdr:row>
      <xdr:rowOff>38101</xdr:rowOff>
    </xdr:to>
    <xdr:pic>
      <xdr:nvPicPr>
        <xdr:cNvPr id="7" name="Picture 6" descr="Titan Company - Wikipedia">
          <a:extLst>
            <a:ext uri="{FF2B5EF4-FFF2-40B4-BE49-F238E27FC236}">
              <a16:creationId xmlns:a16="http://schemas.microsoft.com/office/drawing/2014/main" id="{74D71523-F685-4C40-BE6C-E49911622A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778" y="95251"/>
          <a:ext cx="509477"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83737</xdr:colOff>
      <xdr:row>0</xdr:row>
      <xdr:rowOff>83737</xdr:rowOff>
    </xdr:from>
    <xdr:to>
      <xdr:col>1</xdr:col>
      <xdr:colOff>544288</xdr:colOff>
      <xdr:row>2</xdr:row>
      <xdr:rowOff>294498</xdr:rowOff>
    </xdr:to>
    <xdr:pic>
      <xdr:nvPicPr>
        <xdr:cNvPr id="4" name="Picture 3" descr="Titan Company - Wikipedia">
          <a:extLst>
            <a:ext uri="{FF2B5EF4-FFF2-40B4-BE49-F238E27FC236}">
              <a16:creationId xmlns:a16="http://schemas.microsoft.com/office/drawing/2014/main" id="{B7CA5895-EC09-4EBD-BF73-1057C512F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37" y="83737"/>
          <a:ext cx="586155" cy="587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83500</xdr:colOff>
      <xdr:row>0</xdr:row>
      <xdr:rowOff>117725</xdr:rowOff>
    </xdr:from>
    <xdr:to>
      <xdr:col>2</xdr:col>
      <xdr:colOff>60055</xdr:colOff>
      <xdr:row>1</xdr:row>
      <xdr:rowOff>30010</xdr:rowOff>
    </xdr:to>
    <xdr:pic>
      <xdr:nvPicPr>
        <xdr:cNvPr id="2" name="Picture 1" descr="Titan Company - Wikipedia">
          <a:extLst>
            <a:ext uri="{FF2B5EF4-FFF2-40B4-BE49-F238E27FC236}">
              <a16:creationId xmlns:a16="http://schemas.microsoft.com/office/drawing/2014/main" id="{3FA15402-520F-4F05-A851-1FC007D33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927" y="117725"/>
          <a:ext cx="586583" cy="58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94203</xdr:colOff>
      <xdr:row>0</xdr:row>
      <xdr:rowOff>1</xdr:rowOff>
    </xdr:from>
    <xdr:to>
      <xdr:col>1</xdr:col>
      <xdr:colOff>632064</xdr:colOff>
      <xdr:row>0</xdr:row>
      <xdr:rowOff>533401</xdr:rowOff>
    </xdr:to>
    <xdr:pic>
      <xdr:nvPicPr>
        <xdr:cNvPr id="2" name="Picture 1" descr="Titan Company - Wikipedia">
          <a:extLst>
            <a:ext uri="{FF2B5EF4-FFF2-40B4-BE49-F238E27FC236}">
              <a16:creationId xmlns:a16="http://schemas.microsoft.com/office/drawing/2014/main" id="{A44A5CA6-11CF-4C4C-B909-806C52A9C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28" y="1"/>
          <a:ext cx="537861"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40692</xdr:colOff>
      <xdr:row>0</xdr:row>
      <xdr:rowOff>214045</xdr:rowOff>
    </xdr:from>
    <xdr:to>
      <xdr:col>1</xdr:col>
      <xdr:colOff>626847</xdr:colOff>
      <xdr:row>1</xdr:row>
      <xdr:rowOff>35244</xdr:rowOff>
    </xdr:to>
    <xdr:pic>
      <xdr:nvPicPr>
        <xdr:cNvPr id="2" name="Picture 1" descr="Titan Company - Wikipedia">
          <a:extLst>
            <a:ext uri="{FF2B5EF4-FFF2-40B4-BE49-F238E27FC236}">
              <a16:creationId xmlns:a16="http://schemas.microsoft.com/office/drawing/2014/main" id="{BB4004B9-E3C1-4844-8EC2-3ED9DF5A8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119" y="214045"/>
          <a:ext cx="586155" cy="591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94203</xdr:colOff>
      <xdr:row>0</xdr:row>
      <xdr:rowOff>0</xdr:rowOff>
    </xdr:from>
    <xdr:to>
      <xdr:col>1</xdr:col>
      <xdr:colOff>680358</xdr:colOff>
      <xdr:row>0</xdr:row>
      <xdr:rowOff>586527</xdr:rowOff>
    </xdr:to>
    <xdr:pic>
      <xdr:nvPicPr>
        <xdr:cNvPr id="2" name="Picture 1" descr="Titan Company - Wikipedia">
          <a:extLst>
            <a:ext uri="{FF2B5EF4-FFF2-40B4-BE49-F238E27FC236}">
              <a16:creationId xmlns:a16="http://schemas.microsoft.com/office/drawing/2014/main" id="{83CDAF52-4FCB-4AC7-854D-2AD107455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28" y="0"/>
          <a:ext cx="586155" cy="5812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376812</xdr:colOff>
      <xdr:row>0</xdr:row>
      <xdr:rowOff>20934</xdr:rowOff>
    </xdr:from>
    <xdr:to>
      <xdr:col>1</xdr:col>
      <xdr:colOff>962967</xdr:colOff>
      <xdr:row>1</xdr:row>
      <xdr:rowOff>1105</xdr:rowOff>
    </xdr:to>
    <xdr:pic>
      <xdr:nvPicPr>
        <xdr:cNvPr id="2" name="Picture 1" descr="Titan Company - Wikipedia">
          <a:extLst>
            <a:ext uri="{FF2B5EF4-FFF2-40B4-BE49-F238E27FC236}">
              <a16:creationId xmlns:a16="http://schemas.microsoft.com/office/drawing/2014/main" id="{8FE0DB03-0B54-3D55-4AA2-A06EB3243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2416" y="20934"/>
          <a:ext cx="586155" cy="576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ell" id="{3B7D334A-B787-4D52-9F12-0043D3CFC87A}" userId="Dell" providerId="None"/>
</personList>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10" dT="2024-01-27T11:16:02.75" personId="{3B7D334A-B787-4D52-9F12-0043D3CFC87A}" id="{383D1114-1D0B-4563-9DB4-A31BC839557D}">
    <text>Target given by Titan in watches segment is 7000 Cr in motilal oswal report. However considering store addition in second quarterly report in FY24 store additions are less that's why we're going conservative here</text>
  </threadedComment>
  <threadedComment ref="M12" dT="2024-01-27T11:50:31.43" personId="{3B7D334A-B787-4D52-9F12-0043D3CFC87A}" id="{AAD9EAC2-385A-4B0E-9E07-80752796EFAB}">
    <text>Revenue of around 1000 coming by taking assumption of 79 store addition per year in Titan eye+, where management has also given target of 1000 cr by FY26 in the Invester day presentation.</text>
  </threadedComment>
  <threadedComment ref="N13" dT="2024-01-27T12:16:39.51" personId="{3B7D334A-B787-4D52-9F12-0043D3CFC87A}" id="{90253C1C-3622-4B9D-A2BC-7552097DA2F3}">
    <text>Company Targets to reach 1000 cr by FY27</text>
  </threadedComment>
  <threadedComment ref="N21" dT="2024-01-27T09:47:30.03" personId="{3B7D334A-B787-4D52-9F12-0043D3CFC87A}" id="{6FFD658E-680F-4F7E-A3F0-DE18F163F55E}">
    <text>Store target given by Titan in motilal oswal report</text>
  </threadedComment>
  <threadedComment ref="N23" dT="2024-01-27T09:57:23.45" personId="{3B7D334A-B787-4D52-9F12-0043D3CFC87A}" id="{35F9CF51-C503-4A7A-899C-8EA0434193CA}">
    <text xml:space="preserve">Target of the company </text>
  </threadedComment>
  <threadedComment ref="K33" dT="2024-01-27T09:38:54.92" personId="{3B7D334A-B787-4D52-9F12-0043D3CFC87A}" id="{B2369201-F2CA-4703-825C-4AEA124B712D}">
    <text>As per motilal oswal report they are targeting for 600 stores till FY26. As per the trend and current quarter performance they'll probably add 40 stores per year minimum.</text>
  </threadedComment>
  <threadedComment ref="K34" dT="2024-01-27T09:52:31.31" personId="{3B7D334A-B787-4D52-9F12-0043D3CFC87A}" id="{947F4DDD-E2F4-4499-9983-E04672B69557}">
    <text>Store addition taken from refrence of total store target in FY27</text>
  </threadedComment>
  <threadedComment ref="K35" dT="2024-01-27T09:30:01.70" personId="{3B7D334A-B787-4D52-9F12-0043D3CFC87A}" id="{5DC89256-0E9C-4D60-9906-A124D26ED432}">
    <text xml:space="preserve">Caratlane generated 2177 crores in FY23 and expecting 3000 cr in FY24. So we calculated revenue per store here to reach 3000 crs.
</text>
  </threadedComment>
  <threadedComment ref="K36" dT="2024-01-27T09:57:09.59" personId="{3B7D334A-B787-4D52-9F12-0043D3CFC87A}" id="{8DF84326-BA99-4798-A4D5-E3E6097C9E25}">
    <text>FY27 20 stores target given by the company.</text>
  </threadedComment>
  <threadedComment ref="K39" dT="2024-01-27T11:42:13.21" personId="{3B7D334A-B787-4D52-9F12-0043D3CFC87A}" id="{8A5F48E7-5A4B-4891-BDB4-54629D387733}">
    <text>In the Investor day presentation, management said that they will focus on improving the revenue generation from each store rather than opening more stores, that's why we have taken an average of last 5 years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J83" dT="2024-01-28T04:40:38.69" personId="{3B7D334A-B787-4D52-9F12-0043D3CFC87A}" id="{05880838-FEF6-462A-83FE-083E8F5CAB2E}">
    <text>We should not take this value for inventory because gold prices keeps rising hence value for already kept gold will keeep icreasing in balance sheet only.</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0.xml"/><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1140-EB05-4E1E-AE0A-518174A25EA9}">
  <dimension ref="B1:N52"/>
  <sheetViews>
    <sheetView showGridLines="0" zoomScale="91" zoomScaleNormal="91" workbookViewId="0">
      <pane xSplit="1" ySplit="4" topLeftCell="B35" activePane="bottomRight" state="frozen"/>
      <selection pane="topRight" activeCell="B1" sqref="B1"/>
      <selection pane="bottomLeft" activeCell="A5" sqref="A5"/>
      <selection pane="bottomRight"/>
    </sheetView>
  </sheetViews>
  <sheetFormatPr defaultRowHeight="15" x14ac:dyDescent="0.25"/>
  <cols>
    <col min="1" max="1" width="1.85546875" customWidth="1"/>
    <col min="2" max="2" width="50.5703125" customWidth="1"/>
    <col min="3" max="4" width="1.85546875" customWidth="1"/>
    <col min="5" max="12" width="11.42578125" bestFit="1" customWidth="1"/>
    <col min="13" max="14" width="12.5703125" bestFit="1" customWidth="1"/>
  </cols>
  <sheetData>
    <row r="1" spans="2:14" ht="45" customHeight="1" x14ac:dyDescent="0.3">
      <c r="B1" s="114" t="s">
        <v>10</v>
      </c>
    </row>
    <row r="2" spans="2:14" ht="36.75" customHeight="1" x14ac:dyDescent="0.25">
      <c r="B2" s="140" t="s">
        <v>333</v>
      </c>
    </row>
    <row r="3" spans="2:14" ht="4.5" customHeight="1" x14ac:dyDescent="0.25"/>
    <row r="4" spans="2:14" x14ac:dyDescent="0.25">
      <c r="B4" s="32" t="s">
        <v>68</v>
      </c>
      <c r="C4" s="32"/>
      <c r="D4" s="32"/>
      <c r="E4" s="138">
        <v>43190</v>
      </c>
      <c r="F4" s="138">
        <f>EDATE(E4,12)</f>
        <v>43555</v>
      </c>
      <c r="G4" s="138">
        <f t="shared" ref="G4:N4" si="0">EDATE(F4,12)</f>
        <v>43921</v>
      </c>
      <c r="H4" s="138">
        <f t="shared" si="0"/>
        <v>44286</v>
      </c>
      <c r="I4" s="138">
        <f t="shared" si="0"/>
        <v>44651</v>
      </c>
      <c r="J4" s="138">
        <f t="shared" si="0"/>
        <v>45016</v>
      </c>
      <c r="K4" s="139">
        <f t="shared" si="0"/>
        <v>45382</v>
      </c>
      <c r="L4" s="139">
        <f t="shared" si="0"/>
        <v>45747</v>
      </c>
      <c r="M4" s="139">
        <f t="shared" si="0"/>
        <v>46112</v>
      </c>
      <c r="N4" s="139">
        <f t="shared" si="0"/>
        <v>46477</v>
      </c>
    </row>
    <row r="5" spans="2:14" ht="15.75" thickBot="1" x14ac:dyDescent="0.3">
      <c r="B5" s="32" t="s">
        <v>48</v>
      </c>
      <c r="C5" s="32"/>
      <c r="D5" s="32"/>
      <c r="E5" s="112">
        <f>YEAR(E4)</f>
        <v>2018</v>
      </c>
      <c r="F5" s="112">
        <f t="shared" ref="F5:N5" si="1">YEAR(F4)</f>
        <v>2019</v>
      </c>
      <c r="G5" s="112">
        <f t="shared" si="1"/>
        <v>2020</v>
      </c>
      <c r="H5" s="112">
        <f t="shared" si="1"/>
        <v>2021</v>
      </c>
      <c r="I5" s="112">
        <f t="shared" si="1"/>
        <v>2022</v>
      </c>
      <c r="J5" s="112">
        <f t="shared" si="1"/>
        <v>2023</v>
      </c>
      <c r="K5" s="116">
        <f t="shared" si="1"/>
        <v>2024</v>
      </c>
      <c r="L5" s="116">
        <f t="shared" si="1"/>
        <v>2025</v>
      </c>
      <c r="M5" s="116">
        <f t="shared" si="1"/>
        <v>2026</v>
      </c>
      <c r="N5" s="116">
        <f t="shared" si="1"/>
        <v>2027</v>
      </c>
    </row>
    <row r="7" spans="2:14" x14ac:dyDescent="0.25">
      <c r="B7" s="1" t="s">
        <v>140</v>
      </c>
      <c r="E7" s="59">
        <v>16156</v>
      </c>
      <c r="F7" s="59">
        <v>19779</v>
      </c>
      <c r="G7" s="59">
        <v>21052</v>
      </c>
      <c r="H7" s="59">
        <v>21644</v>
      </c>
      <c r="I7" s="59">
        <v>28799</v>
      </c>
      <c r="J7" s="59">
        <v>40575</v>
      </c>
      <c r="K7" s="97">
        <f>'Revenue Drivers'!K7</f>
        <v>51020.049203898932</v>
      </c>
      <c r="L7" s="97">
        <f>'Revenue Drivers'!L7</f>
        <v>65355.400491271095</v>
      </c>
      <c r="M7" s="97">
        <f>'Revenue Drivers'!M7</f>
        <v>80993.683255560158</v>
      </c>
      <c r="N7" s="97">
        <f>'Revenue Drivers'!N7</f>
        <v>98245.671945752896</v>
      </c>
    </row>
    <row r="8" spans="2:14" x14ac:dyDescent="0.25">
      <c r="B8" t="s">
        <v>1</v>
      </c>
      <c r="E8" s="59">
        <v>89</v>
      </c>
      <c r="F8" s="59">
        <v>183</v>
      </c>
      <c r="G8" s="59">
        <v>153</v>
      </c>
      <c r="H8" s="59">
        <v>186</v>
      </c>
      <c r="I8" s="59">
        <v>234</v>
      </c>
      <c r="J8" s="59">
        <v>308</v>
      </c>
      <c r="K8" s="97">
        <f>J8*(1+AVERAGE($F$9:$J$9))</f>
        <v>411.62570408525983</v>
      </c>
      <c r="L8" s="97">
        <f t="shared" ref="L8:M8" si="2">K8*(1+AVERAGE($F$9:$J$9))</f>
        <v>550.11597488209702</v>
      </c>
      <c r="M8" s="97">
        <f t="shared" si="2"/>
        <v>735.20089444607891</v>
      </c>
      <c r="N8" s="97">
        <f>M8*(1+AVERAGE($F$9:$J$9))</f>
        <v>982.55709681974031</v>
      </c>
    </row>
    <row r="9" spans="2:14" x14ac:dyDescent="0.25">
      <c r="B9" s="122" t="s">
        <v>330</v>
      </c>
      <c r="C9" s="122"/>
      <c r="D9" s="122"/>
      <c r="E9" s="122"/>
      <c r="F9" s="123">
        <f>F8/E8-1</f>
        <v>1.0561797752808988</v>
      </c>
      <c r="G9" s="123">
        <f t="shared" ref="G9:J9" si="3">G8/F8-1</f>
        <v>-0.16393442622950816</v>
      </c>
      <c r="H9" s="123">
        <f t="shared" si="3"/>
        <v>0.21568627450980382</v>
      </c>
      <c r="I9" s="123">
        <f t="shared" si="3"/>
        <v>0.25806451612903225</v>
      </c>
      <c r="J9" s="123">
        <f t="shared" si="3"/>
        <v>0.31623931623931623</v>
      </c>
      <c r="K9" s="66"/>
      <c r="L9" s="66"/>
      <c r="M9" s="66"/>
      <c r="N9" s="66"/>
    </row>
    <row r="10" spans="2:14" ht="15.75" thickBot="1" x14ac:dyDescent="0.3">
      <c r="B10" s="53" t="s">
        <v>136</v>
      </c>
      <c r="C10" s="61"/>
      <c r="D10" s="61"/>
      <c r="E10" s="124">
        <f>SUM(E7:E8)</f>
        <v>16245</v>
      </c>
      <c r="F10" s="124">
        <f>SUM(F7:F8)</f>
        <v>19962</v>
      </c>
      <c r="G10" s="124">
        <f>SUM(G7:G8)</f>
        <v>21205</v>
      </c>
      <c r="H10" s="124">
        <f>SUM(H7:H8)</f>
        <v>21830</v>
      </c>
      <c r="I10" s="124">
        <f>SUM(I7:I8)</f>
        <v>29033</v>
      </c>
      <c r="J10" s="125">
        <f>SUM(J7:J8)</f>
        <v>40883</v>
      </c>
      <c r="K10" s="124">
        <f>SUM(K7:K8)</f>
        <v>51431.67490798419</v>
      </c>
      <c r="L10" s="124">
        <f>SUM(L7:L8)</f>
        <v>65905.516466153189</v>
      </c>
      <c r="M10" s="124">
        <f>SUM(M7:M8)</f>
        <v>81728.884150006241</v>
      </c>
      <c r="N10" s="124">
        <f>SUM(N7:N8)</f>
        <v>99228.229042572639</v>
      </c>
    </row>
    <row r="11" spans="2:14" x14ac:dyDescent="0.25">
      <c r="B11" s="122" t="s">
        <v>309</v>
      </c>
      <c r="C11" s="122"/>
      <c r="D11" s="122"/>
      <c r="E11" s="122"/>
      <c r="F11" s="126">
        <f>-CFS!F48/E7</f>
        <v>1.6402574894775934E-2</v>
      </c>
      <c r="G11" s="126">
        <f>-CFS!G48/F7</f>
        <v>1.7948329035846099E-2</v>
      </c>
      <c r="H11" s="126">
        <f>-CFS!H48/G7</f>
        <v>6.9352080562416875E-3</v>
      </c>
      <c r="I11" s="126">
        <f>-CFS!I48/H7</f>
        <v>1.034928848641656E-2</v>
      </c>
      <c r="J11" s="126">
        <f>-CFS!J48/I7</f>
        <v>1.5000520851418451E-2</v>
      </c>
      <c r="K11" s="66"/>
      <c r="L11" s="66"/>
      <c r="M11" s="66"/>
      <c r="N11" s="66"/>
    </row>
    <row r="12" spans="2:14" x14ac:dyDescent="0.25">
      <c r="B12" s="1" t="s">
        <v>15</v>
      </c>
      <c r="E12" s="59"/>
      <c r="F12" s="59"/>
      <c r="G12" s="59"/>
      <c r="H12" s="59"/>
      <c r="I12" s="59"/>
      <c r="J12" s="59"/>
      <c r="K12" s="66"/>
      <c r="L12" s="66"/>
      <c r="M12" s="66"/>
      <c r="N12" s="66"/>
    </row>
    <row r="13" spans="2:14" x14ac:dyDescent="0.25">
      <c r="B13" t="s">
        <v>137</v>
      </c>
      <c r="E13" s="59">
        <v>36</v>
      </c>
      <c r="F13" s="59">
        <v>0</v>
      </c>
      <c r="G13" s="59">
        <v>0</v>
      </c>
      <c r="H13" s="59">
        <v>0</v>
      </c>
      <c r="I13" s="59">
        <v>0</v>
      </c>
      <c r="J13" s="59">
        <v>0</v>
      </c>
      <c r="K13" s="66"/>
      <c r="L13" s="66"/>
      <c r="M13" s="66"/>
      <c r="N13" s="66"/>
    </row>
    <row r="14" spans="2:14" x14ac:dyDescent="0.25">
      <c r="B14" t="s">
        <v>141</v>
      </c>
      <c r="E14" s="59">
        <v>10453</v>
      </c>
      <c r="F14" s="59">
        <v>12231</v>
      </c>
      <c r="G14" s="59">
        <v>13042</v>
      </c>
      <c r="H14" s="59">
        <v>13713</v>
      </c>
      <c r="I14" s="59">
        <v>22108</v>
      </c>
      <c r="J14" s="59">
        <v>26891</v>
      </c>
      <c r="K14" s="66"/>
      <c r="L14" s="66"/>
      <c r="M14" s="66"/>
      <c r="N14" s="66"/>
    </row>
    <row r="15" spans="2:14" x14ac:dyDescent="0.25">
      <c r="B15" t="s">
        <v>142</v>
      </c>
      <c r="E15" s="59">
        <v>2212</v>
      </c>
      <c r="F15" s="59">
        <v>2940</v>
      </c>
      <c r="G15" s="59">
        <v>2991</v>
      </c>
      <c r="H15" s="59">
        <v>2579</v>
      </c>
      <c r="I15" s="59">
        <v>4328</v>
      </c>
      <c r="J15" s="59">
        <v>5698</v>
      </c>
      <c r="K15" s="66"/>
      <c r="L15" s="66"/>
      <c r="M15" s="66"/>
      <c r="N15" s="66"/>
    </row>
    <row r="16" spans="2:14" x14ac:dyDescent="0.25">
      <c r="B16" t="s">
        <v>143</v>
      </c>
      <c r="E16" s="59">
        <v>-979</v>
      </c>
      <c r="F16" s="59">
        <v>-776</v>
      </c>
      <c r="G16" s="59">
        <v>-878</v>
      </c>
      <c r="H16" s="59">
        <v>122</v>
      </c>
      <c r="I16" s="59">
        <v>-4795</v>
      </c>
      <c r="J16" s="59">
        <v>-2234</v>
      </c>
      <c r="K16" s="66"/>
      <c r="L16" s="66"/>
      <c r="M16" s="66"/>
      <c r="N16" s="66"/>
    </row>
    <row r="17" spans="2:14" x14ac:dyDescent="0.25">
      <c r="B17" s="30" t="s">
        <v>144</v>
      </c>
      <c r="C17" s="30"/>
      <c r="D17" s="63"/>
      <c r="E17" s="128">
        <f>SUM(E13:E16)</f>
        <v>11722</v>
      </c>
      <c r="F17" s="128">
        <f>SUM(F13:F16)</f>
        <v>14395</v>
      </c>
      <c r="G17" s="128">
        <f t="shared" ref="G17:J17" si="4">SUM(G13:G16)</f>
        <v>15155</v>
      </c>
      <c r="H17" s="128">
        <f t="shared" si="4"/>
        <v>16414</v>
      </c>
      <c r="I17" s="128">
        <f t="shared" si="4"/>
        <v>21641</v>
      </c>
      <c r="J17" s="128">
        <f t="shared" si="4"/>
        <v>30355</v>
      </c>
      <c r="K17" s="129">
        <f>'Cost Metrix'!K8</f>
        <v>38169.158190618662</v>
      </c>
      <c r="L17" s="129">
        <f>'Cost Metrix'!L8</f>
        <v>48893.732148183219</v>
      </c>
      <c r="M17" s="129">
        <f>'Cost Metrix'!M8</f>
        <v>60593.05619772098</v>
      </c>
      <c r="N17" s="129">
        <f>'Cost Metrix'!N8</f>
        <v>73499.627157444964</v>
      </c>
    </row>
    <row r="18" spans="2:14" ht="6.75" customHeight="1" x14ac:dyDescent="0.25">
      <c r="E18" s="59"/>
      <c r="F18" s="59"/>
      <c r="G18" s="59"/>
      <c r="H18" s="59"/>
      <c r="I18" s="59"/>
      <c r="J18" s="59"/>
      <c r="K18" s="66"/>
      <c r="L18" s="66"/>
      <c r="M18" s="66"/>
      <c r="N18" s="66"/>
    </row>
    <row r="19" spans="2:14" x14ac:dyDescent="0.25">
      <c r="B19" s="30" t="s">
        <v>16</v>
      </c>
      <c r="C19" s="30"/>
      <c r="D19" s="30"/>
      <c r="E19" s="128">
        <f>E10-E17</f>
        <v>4523</v>
      </c>
      <c r="F19" s="128">
        <f>F10-F17</f>
        <v>5567</v>
      </c>
      <c r="G19" s="128">
        <f t="shared" ref="G19:N19" si="5">G10-G17</f>
        <v>6050</v>
      </c>
      <c r="H19" s="128">
        <f t="shared" si="5"/>
        <v>5416</v>
      </c>
      <c r="I19" s="128">
        <f t="shared" si="5"/>
        <v>7392</v>
      </c>
      <c r="J19" s="128">
        <f>J10-J17</f>
        <v>10528</v>
      </c>
      <c r="K19" s="128">
        <f>K10-K17</f>
        <v>13262.516717365528</v>
      </c>
      <c r="L19" s="128">
        <f t="shared" si="5"/>
        <v>17011.78431796997</v>
      </c>
      <c r="M19" s="128">
        <f t="shared" si="5"/>
        <v>21135.827952285261</v>
      </c>
      <c r="N19" s="128">
        <f t="shared" si="5"/>
        <v>25728.601885127675</v>
      </c>
    </row>
    <row r="20" spans="2:14" x14ac:dyDescent="0.25">
      <c r="B20" s="122" t="s">
        <v>25</v>
      </c>
      <c r="C20" s="34"/>
      <c r="D20" s="34"/>
      <c r="E20" s="132">
        <f>E19/E10</f>
        <v>0.27842413050169285</v>
      </c>
      <c r="F20" s="132">
        <f>F19/F10</f>
        <v>0.27887987175633705</v>
      </c>
      <c r="G20" s="132">
        <f>G19/G10</f>
        <v>0.28531006838009904</v>
      </c>
      <c r="H20" s="132">
        <f t="shared" ref="H20:N20" si="6">H19/H10</f>
        <v>0.24809894640403116</v>
      </c>
      <c r="I20" s="132">
        <f t="shared" si="6"/>
        <v>0.25460682671442841</v>
      </c>
      <c r="J20" s="132">
        <f t="shared" si="6"/>
        <v>0.25751534867793457</v>
      </c>
      <c r="K20" s="132">
        <f>K19/K10</f>
        <v>0.25786670842614678</v>
      </c>
      <c r="L20" s="132">
        <f t="shared" si="6"/>
        <v>0.25812382984217475</v>
      </c>
      <c r="M20" s="132">
        <f t="shared" si="6"/>
        <v>0.25860903610885339</v>
      </c>
      <c r="N20" s="132">
        <f t="shared" si="6"/>
        <v>0.25928712155176264</v>
      </c>
    </row>
    <row r="21" spans="2:14" x14ac:dyDescent="0.25">
      <c r="E21" s="59"/>
      <c r="F21" s="59"/>
      <c r="G21" s="59"/>
      <c r="H21" s="59"/>
      <c r="I21" s="59"/>
      <c r="J21" s="59"/>
      <c r="K21" s="66"/>
      <c r="L21" s="66"/>
      <c r="M21" s="66"/>
      <c r="N21" s="66"/>
    </row>
    <row r="22" spans="2:14" x14ac:dyDescent="0.25">
      <c r="B22" t="s">
        <v>138</v>
      </c>
      <c r="E22" s="59">
        <v>885</v>
      </c>
      <c r="F22" s="59">
        <v>1019</v>
      </c>
      <c r="G22" s="59">
        <v>1199</v>
      </c>
      <c r="H22" s="59">
        <v>1065</v>
      </c>
      <c r="I22" s="59">
        <v>1349</v>
      </c>
      <c r="J22" s="59">
        <v>1647</v>
      </c>
      <c r="K22" s="66">
        <f>'Cost Metrix'!K10</f>
        <v>2070.9801857996686</v>
      </c>
      <c r="L22" s="66">
        <f>'Cost Metrix'!L10</f>
        <v>2652.8735578342207</v>
      </c>
      <c r="M22" s="66">
        <f>'Cost Metrix'!M10</f>
        <v>3287.6548693014811</v>
      </c>
      <c r="N22" s="66">
        <f>'Cost Metrix'!N10</f>
        <v>3987.9389203858295</v>
      </c>
    </row>
    <row r="23" spans="2:14" x14ac:dyDescent="0.25">
      <c r="B23" t="s">
        <v>145</v>
      </c>
      <c r="E23" s="59">
        <v>1904</v>
      </c>
      <c r="F23" s="59">
        <v>2374</v>
      </c>
      <c r="G23" s="59">
        <v>2230</v>
      </c>
      <c r="H23" s="59">
        <v>2441</v>
      </c>
      <c r="I23" s="59">
        <v>2468</v>
      </c>
      <c r="J23" s="59">
        <v>3694</v>
      </c>
      <c r="K23" s="66">
        <f>'Cost Metrix'!K11</f>
        <v>4644.930665661187</v>
      </c>
      <c r="L23" s="66">
        <f>'Cost Metrix'!L11</f>
        <v>5950.0394187247175</v>
      </c>
      <c r="M23" s="66">
        <f>'Cost Metrix'!M11</f>
        <v>7373.7687232542012</v>
      </c>
      <c r="N23" s="66">
        <f>'Cost Metrix'!N11</f>
        <v>8944.4118833668817</v>
      </c>
    </row>
    <row r="24" spans="2:14" x14ac:dyDescent="0.25">
      <c r="B24" s="30" t="s">
        <v>17</v>
      </c>
      <c r="C24" s="30"/>
      <c r="D24" s="30"/>
      <c r="E24" s="128">
        <f>E19-SUM(E22:E23)</f>
        <v>1734</v>
      </c>
      <c r="F24" s="128">
        <f>F19-SUM(F22:F23)</f>
        <v>2174</v>
      </c>
      <c r="G24" s="128">
        <f t="shared" ref="G24:J24" si="7">G19-SUM(G22:G23)</f>
        <v>2621</v>
      </c>
      <c r="H24" s="128">
        <f t="shared" si="7"/>
        <v>1910</v>
      </c>
      <c r="I24" s="128">
        <f t="shared" si="7"/>
        <v>3575</v>
      </c>
      <c r="J24" s="128">
        <f t="shared" si="7"/>
        <v>5187</v>
      </c>
      <c r="K24" s="128">
        <f>K19-SUM(K22:K23)</f>
        <v>6546.6058659046721</v>
      </c>
      <c r="L24" s="128">
        <f>L19-SUM(L22:L23)</f>
        <v>8408.8713414110316</v>
      </c>
      <c r="M24" s="128">
        <f>M19-SUM(M22:M23)</f>
        <v>10474.404359729579</v>
      </c>
      <c r="N24" s="128">
        <f>N19-SUM(N22:N23)</f>
        <v>12796.251081374963</v>
      </c>
    </row>
    <row r="25" spans="2:14" x14ac:dyDescent="0.25">
      <c r="B25" s="122" t="s">
        <v>18</v>
      </c>
      <c r="C25" s="122"/>
      <c r="D25" s="132"/>
      <c r="E25" s="132">
        <f t="shared" ref="E25:N25" si="8">E24/E10</f>
        <v>0.10674053554939981</v>
      </c>
      <c r="F25" s="132">
        <f t="shared" si="8"/>
        <v>0.10890692315399259</v>
      </c>
      <c r="G25" s="132">
        <f t="shared" si="8"/>
        <v>0.12360292383871728</v>
      </c>
      <c r="H25" s="132">
        <f t="shared" si="8"/>
        <v>8.7494273934951905E-2</v>
      </c>
      <c r="I25" s="132">
        <f t="shared" si="8"/>
        <v>0.12313574208659112</v>
      </c>
      <c r="J25" s="132">
        <f t="shared" si="8"/>
        <v>0.12687425091113666</v>
      </c>
      <c r="K25" s="132">
        <f>K24/K10</f>
        <v>0.12728743284400379</v>
      </c>
      <c r="L25" s="132">
        <f t="shared" si="8"/>
        <v>0.12758979509294247</v>
      </c>
      <c r="M25" s="132">
        <f t="shared" si="8"/>
        <v>0.12816037400565414</v>
      </c>
      <c r="N25" s="132">
        <f t="shared" si="8"/>
        <v>0.12895776942552195</v>
      </c>
    </row>
    <row r="26" spans="2:14" x14ac:dyDescent="0.25">
      <c r="E26" s="59"/>
      <c r="F26" s="59"/>
      <c r="G26" s="59"/>
      <c r="H26" s="59"/>
      <c r="I26" s="59"/>
      <c r="J26" s="59"/>
      <c r="K26" s="66"/>
      <c r="L26" s="66"/>
      <c r="M26" s="66"/>
      <c r="N26" s="66"/>
    </row>
    <row r="27" spans="2:14" x14ac:dyDescent="0.25">
      <c r="B27" t="s">
        <v>146</v>
      </c>
      <c r="E27" s="133">
        <v>131</v>
      </c>
      <c r="F27" s="133">
        <v>163</v>
      </c>
      <c r="G27" s="133">
        <v>348</v>
      </c>
      <c r="H27" s="133">
        <v>375</v>
      </c>
      <c r="I27" s="133">
        <v>399</v>
      </c>
      <c r="J27" s="133">
        <v>441</v>
      </c>
      <c r="K27" s="68">
        <f>AVERAGE($E$28:$J$28)*K10</f>
        <v>637.31401247562769</v>
      </c>
      <c r="L27" s="68">
        <f>AVERAGE($E$28:$J$28)*L10</f>
        <v>816.66617349072999</v>
      </c>
      <c r="M27" s="68">
        <f t="shared" ref="M27" si="9">AVERAGE($E$28:$J$28)*M10</f>
        <v>1012.7409458467838</v>
      </c>
      <c r="N27" s="68">
        <f>AVERAGE($E$28:$J$28)*N10</f>
        <v>1229.5835380650874</v>
      </c>
    </row>
    <row r="28" spans="2:14" ht="17.25" x14ac:dyDescent="0.25">
      <c r="B28" t="s">
        <v>331</v>
      </c>
      <c r="E28" s="130">
        <f>E27/E10</f>
        <v>8.0640196983687296E-3</v>
      </c>
      <c r="F28" s="130">
        <f t="shared" ref="F28:N28" si="10">F27/F10</f>
        <v>8.1655144775072633E-3</v>
      </c>
      <c r="G28" s="130">
        <f t="shared" si="10"/>
        <v>1.6411223767979249E-2</v>
      </c>
      <c r="H28" s="130">
        <f t="shared" si="10"/>
        <v>1.7178195144296839E-2</v>
      </c>
      <c r="I28" s="130">
        <f t="shared" si="10"/>
        <v>1.374298212379017E-2</v>
      </c>
      <c r="J28" s="130">
        <f t="shared" si="10"/>
        <v>1.0786879632120931E-2</v>
      </c>
      <c r="K28" s="66"/>
      <c r="L28" s="66"/>
      <c r="M28" s="66"/>
      <c r="N28" s="66"/>
    </row>
    <row r="29" spans="2:14" x14ac:dyDescent="0.25">
      <c r="B29" s="29" t="s">
        <v>19</v>
      </c>
      <c r="C29" s="29"/>
      <c r="D29" s="29"/>
      <c r="E29" s="118">
        <f>E24-E27</f>
        <v>1603</v>
      </c>
      <c r="F29" s="118">
        <f t="shared" ref="F29:J29" si="11">F24-F27</f>
        <v>2011</v>
      </c>
      <c r="G29" s="118">
        <f t="shared" si="11"/>
        <v>2273</v>
      </c>
      <c r="H29" s="118">
        <f t="shared" si="11"/>
        <v>1535</v>
      </c>
      <c r="I29" s="118">
        <f t="shared" si="11"/>
        <v>3176</v>
      </c>
      <c r="J29" s="118">
        <f t="shared" si="11"/>
        <v>4746</v>
      </c>
      <c r="K29" s="121">
        <f>K24-K27</f>
        <v>5909.2918534290447</v>
      </c>
      <c r="L29" s="121">
        <f>L24-L27</f>
        <v>7592.2051679203014</v>
      </c>
      <c r="M29" s="121">
        <f>M24-M27</f>
        <v>9461.663413882794</v>
      </c>
      <c r="N29" s="121">
        <f>N24-N27</f>
        <v>11566.667543309875</v>
      </c>
    </row>
    <row r="30" spans="2:14" x14ac:dyDescent="0.25">
      <c r="E30" s="59"/>
      <c r="F30" s="59"/>
      <c r="G30" s="59"/>
      <c r="H30" s="59"/>
      <c r="I30" s="59"/>
      <c r="J30" s="59"/>
      <c r="K30" s="66"/>
      <c r="L30" s="66"/>
      <c r="M30" s="66"/>
      <c r="N30" s="66"/>
    </row>
    <row r="31" spans="2:14" x14ac:dyDescent="0.25">
      <c r="B31" t="s">
        <v>147</v>
      </c>
      <c r="E31" s="59">
        <v>53</v>
      </c>
      <c r="F31" s="59">
        <v>53</v>
      </c>
      <c r="G31" s="59">
        <v>166</v>
      </c>
      <c r="H31" s="59">
        <v>203</v>
      </c>
      <c r="I31" s="59">
        <v>218</v>
      </c>
      <c r="J31" s="59">
        <v>300</v>
      </c>
      <c r="K31" s="66">
        <f>J31</f>
        <v>300</v>
      </c>
      <c r="L31" s="66">
        <f t="shared" ref="L31:N31" si="12">K31</f>
        <v>300</v>
      </c>
      <c r="M31" s="66">
        <f t="shared" si="12"/>
        <v>300</v>
      </c>
      <c r="N31" s="66">
        <f t="shared" si="12"/>
        <v>300</v>
      </c>
    </row>
    <row r="32" spans="2:14" x14ac:dyDescent="0.25">
      <c r="B32" s="29" t="s">
        <v>139</v>
      </c>
      <c r="C32" s="29"/>
      <c r="D32" s="29"/>
      <c r="E32" s="118">
        <f>E29-E31</f>
        <v>1550</v>
      </c>
      <c r="F32" s="118">
        <f>F29-F31</f>
        <v>1958</v>
      </c>
      <c r="G32" s="118">
        <f>G29-G31</f>
        <v>2107</v>
      </c>
      <c r="H32" s="118">
        <f>H29-H31</f>
        <v>1332</v>
      </c>
      <c r="I32" s="118">
        <f>I29-I31</f>
        <v>2958</v>
      </c>
      <c r="J32" s="118">
        <f>J29-J31</f>
        <v>4446</v>
      </c>
      <c r="K32" s="121">
        <f>K29-K31</f>
        <v>5609.2918534290447</v>
      </c>
      <c r="L32" s="121">
        <f>L29-L31</f>
        <v>7292.2051679203014</v>
      </c>
      <c r="M32" s="121">
        <f>M29-M31</f>
        <v>9161.663413882794</v>
      </c>
      <c r="N32" s="121">
        <f>N29-N31</f>
        <v>11266.667543309875</v>
      </c>
    </row>
    <row r="33" spans="2:14" x14ac:dyDescent="0.25">
      <c r="B33" s="122" t="s">
        <v>155</v>
      </c>
      <c r="C33" s="122"/>
      <c r="D33" s="132"/>
      <c r="E33" s="132">
        <f>E32/E10</f>
        <v>9.5413973530317026E-2</v>
      </c>
      <c r="F33" s="132">
        <f>F32/F10</f>
        <v>9.8086364091774375E-2</v>
      </c>
      <c r="G33" s="132">
        <f>G32/G10</f>
        <v>9.936335769865598E-2</v>
      </c>
      <c r="H33" s="132">
        <f>H32/H10</f>
        <v>6.1016949152542375E-2</v>
      </c>
      <c r="I33" s="132">
        <f>I32/I10</f>
        <v>0.10188406296283539</v>
      </c>
      <c r="J33" s="132">
        <f>J32/J10</f>
        <v>0.10874935792383142</v>
      </c>
      <c r="K33" s="132">
        <f>K32/K10</f>
        <v>0.10906298236377802</v>
      </c>
      <c r="L33" s="132">
        <f>L32/L10</f>
        <v>0.11064635494762154</v>
      </c>
      <c r="M33" s="132">
        <f>M32/M10</f>
        <v>0.11209823196738328</v>
      </c>
      <c r="N33" s="132">
        <f>N32/N10</f>
        <v>0.11354296707720191</v>
      </c>
    </row>
    <row r="34" spans="2:14" x14ac:dyDescent="0.25">
      <c r="B34" t="s">
        <v>148</v>
      </c>
      <c r="E34" s="59">
        <v>-0.37</v>
      </c>
      <c r="F34" s="59">
        <v>7.0000000000000007E-2</v>
      </c>
      <c r="G34" s="59">
        <v>0.54</v>
      </c>
      <c r="H34" s="59">
        <v>0</v>
      </c>
      <c r="I34" s="59">
        <v>0</v>
      </c>
      <c r="J34" s="59">
        <v>1</v>
      </c>
      <c r="K34" s="66">
        <f>J34</f>
        <v>1</v>
      </c>
      <c r="L34" s="66">
        <f t="shared" ref="L34:N34" si="13">K34</f>
        <v>1</v>
      </c>
      <c r="M34" s="66">
        <f t="shared" si="13"/>
        <v>1</v>
      </c>
      <c r="N34" s="66">
        <f t="shared" si="13"/>
        <v>1</v>
      </c>
    </row>
    <row r="35" spans="2:14" x14ac:dyDescent="0.25">
      <c r="B35" t="s">
        <v>149</v>
      </c>
      <c r="E35" s="59">
        <v>-2.4</v>
      </c>
      <c r="F35" s="59">
        <v>-2.23</v>
      </c>
      <c r="G35" s="59">
        <v>-4.57</v>
      </c>
      <c r="H35" s="59">
        <v>-5</v>
      </c>
      <c r="I35" s="59">
        <v>0</v>
      </c>
      <c r="J35" s="59">
        <v>0</v>
      </c>
      <c r="K35" s="66">
        <f>J35</f>
        <v>0</v>
      </c>
      <c r="L35" s="66">
        <f t="shared" ref="L35:N35" si="14">K35</f>
        <v>0</v>
      </c>
      <c r="M35" s="66">
        <f t="shared" si="14"/>
        <v>0</v>
      </c>
      <c r="N35" s="66">
        <f t="shared" si="14"/>
        <v>0</v>
      </c>
    </row>
    <row r="36" spans="2:14" x14ac:dyDescent="0.25">
      <c r="E36" s="59"/>
      <c r="F36" s="59"/>
      <c r="G36" s="59"/>
      <c r="H36" s="59"/>
      <c r="I36" s="59"/>
      <c r="J36" s="59"/>
      <c r="K36" s="66"/>
      <c r="L36" s="66"/>
      <c r="M36" s="66"/>
      <c r="N36" s="66"/>
    </row>
    <row r="37" spans="2:14" x14ac:dyDescent="0.25">
      <c r="B37" t="s">
        <v>332</v>
      </c>
      <c r="E37" s="59">
        <v>17</v>
      </c>
      <c r="F37" s="59">
        <v>0</v>
      </c>
      <c r="G37" s="59">
        <v>0</v>
      </c>
      <c r="H37" s="59">
        <v>0</v>
      </c>
      <c r="I37" s="59">
        <v>54</v>
      </c>
      <c r="J37" s="59">
        <v>0</v>
      </c>
      <c r="K37" s="66">
        <f>J37</f>
        <v>0</v>
      </c>
      <c r="L37" s="66">
        <f t="shared" ref="L37:N37" si="15">K37</f>
        <v>0</v>
      </c>
      <c r="M37" s="66">
        <f t="shared" si="15"/>
        <v>0</v>
      </c>
      <c r="N37" s="66">
        <f t="shared" si="15"/>
        <v>0</v>
      </c>
    </row>
    <row r="38" spans="2:14" x14ac:dyDescent="0.25">
      <c r="B38" s="118" t="s">
        <v>150</v>
      </c>
      <c r="C38" s="119"/>
      <c r="D38" s="119"/>
      <c r="E38" s="120">
        <f>E32+E34+E35-E37</f>
        <v>1530.23</v>
      </c>
      <c r="F38" s="120">
        <f>F32+F34+F35-F37</f>
        <v>1955.84</v>
      </c>
      <c r="G38" s="120">
        <f>G32+G34+G35-G37</f>
        <v>2102.9699999999998</v>
      </c>
      <c r="H38" s="120">
        <f>H32+H34+H35-H37</f>
        <v>1327</v>
      </c>
      <c r="I38" s="120">
        <f>I32+I34+I35-I37</f>
        <v>2904</v>
      </c>
      <c r="J38" s="120">
        <f>J32+J34+J35-J37</f>
        <v>4447</v>
      </c>
      <c r="K38" s="120">
        <f>K32+K34+K35-K37</f>
        <v>5610.2918534290447</v>
      </c>
      <c r="L38" s="120">
        <f>L32+L34+L35-L37</f>
        <v>7293.2051679203014</v>
      </c>
      <c r="M38" s="120">
        <f>M32+M34+M35-M37</f>
        <v>9162.663413882794</v>
      </c>
      <c r="N38" s="120">
        <f>N32+N34+N35-N37</f>
        <v>11267.667543309875</v>
      </c>
    </row>
    <row r="39" spans="2:14" x14ac:dyDescent="0.25">
      <c r="B39" t="s">
        <v>151</v>
      </c>
      <c r="E39" s="59">
        <v>428</v>
      </c>
      <c r="F39" s="59">
        <v>568</v>
      </c>
      <c r="G39" s="59">
        <v>609</v>
      </c>
      <c r="H39" s="59">
        <v>353</v>
      </c>
      <c r="I39" s="59">
        <v>706</v>
      </c>
      <c r="J39" s="59">
        <v>1173</v>
      </c>
      <c r="K39" s="136">
        <f>K38*'Cost Metrix'!K23</f>
        <v>1456.2026088297612</v>
      </c>
      <c r="L39" s="136">
        <f>L38*'Cost Metrix'!L23</f>
        <v>1893.0181654925839</v>
      </c>
      <c r="M39" s="136">
        <f>M38*'Cost Metrix'!M23</f>
        <v>2378.2531668062852</v>
      </c>
      <c r="N39" s="136">
        <f>N38*'Cost Metrix'!N23</f>
        <v>2924.6262584299589</v>
      </c>
    </row>
    <row r="40" spans="2:14" x14ac:dyDescent="0.25">
      <c r="B40" s="122" t="s">
        <v>63</v>
      </c>
      <c r="C40" s="122"/>
      <c r="D40" s="122"/>
      <c r="E40" s="126">
        <f>E39/E38</f>
        <v>0.27969651620998148</v>
      </c>
      <c r="F40" s="126">
        <f>F39/F38</f>
        <v>0.29041230366492149</v>
      </c>
      <c r="G40" s="126">
        <f>G39/G38</f>
        <v>0.28959043638283005</v>
      </c>
      <c r="H40" s="126">
        <f>H39/H38</f>
        <v>0.26601356443104746</v>
      </c>
      <c r="I40" s="126">
        <f>I39/I38</f>
        <v>0.24311294765840222</v>
      </c>
      <c r="J40" s="126">
        <f>J39/J38</f>
        <v>0.26377333033505734</v>
      </c>
      <c r="K40" s="126">
        <f>K39/K38</f>
        <v>0.25955915429599641</v>
      </c>
      <c r="L40" s="126">
        <f>L39/L38</f>
        <v>0.25955915429599641</v>
      </c>
      <c r="M40" s="126">
        <f t="shared" ref="F40:N40" si="16">M39/M38</f>
        <v>0.25955915429599641</v>
      </c>
      <c r="N40" s="126">
        <f t="shared" si="16"/>
        <v>0.25955915429599641</v>
      </c>
    </row>
    <row r="41" spans="2:14" x14ac:dyDescent="0.25">
      <c r="E41" s="59"/>
      <c r="F41" s="59"/>
      <c r="G41" s="59"/>
      <c r="H41" s="59"/>
      <c r="I41" s="59"/>
      <c r="K41" s="66"/>
      <c r="L41" s="66"/>
      <c r="M41" s="66"/>
      <c r="N41" s="66"/>
    </row>
    <row r="42" spans="2:14" ht="15.75" thickBot="1" x14ac:dyDescent="0.3">
      <c r="B42" s="53" t="s">
        <v>152</v>
      </c>
      <c r="C42" s="53"/>
      <c r="D42" s="53"/>
      <c r="E42" s="117">
        <f t="shared" ref="E42:I42" si="17">E38-E39</f>
        <v>1102.23</v>
      </c>
      <c r="F42" s="117">
        <f t="shared" si="17"/>
        <v>1387.84</v>
      </c>
      <c r="G42" s="117">
        <f t="shared" si="17"/>
        <v>1493.9699999999998</v>
      </c>
      <c r="H42" s="117">
        <f t="shared" si="17"/>
        <v>974</v>
      </c>
      <c r="I42" s="117">
        <f t="shared" si="17"/>
        <v>2198</v>
      </c>
      <c r="J42" s="117">
        <f>J38-J39</f>
        <v>3274</v>
      </c>
      <c r="K42" s="117">
        <f>K38-K39</f>
        <v>4154.0892445992831</v>
      </c>
      <c r="L42" s="117">
        <f t="shared" ref="L42:N42" si="18">L38-L39</f>
        <v>5400.1870024277177</v>
      </c>
      <c r="M42" s="117">
        <f t="shared" si="18"/>
        <v>6784.4102470765083</v>
      </c>
      <c r="N42" s="117">
        <f>N38-N39</f>
        <v>8343.0412848799169</v>
      </c>
    </row>
    <row r="43" spans="2:14" x14ac:dyDescent="0.25">
      <c r="E43" s="59"/>
      <c r="F43" s="59"/>
      <c r="G43" s="59"/>
      <c r="H43" s="59"/>
      <c r="I43" s="59"/>
      <c r="J43" s="59"/>
    </row>
    <row r="44" spans="2:14" x14ac:dyDescent="0.25">
      <c r="B44" s="1" t="s">
        <v>9</v>
      </c>
      <c r="E44" s="59"/>
      <c r="F44" s="59"/>
      <c r="G44" s="59"/>
      <c r="H44" s="59"/>
      <c r="I44" s="59"/>
      <c r="J44" s="59"/>
    </row>
    <row r="45" spans="2:14" x14ac:dyDescent="0.25">
      <c r="B45" s="28" t="s">
        <v>153</v>
      </c>
      <c r="C45" s="28"/>
      <c r="D45" s="28"/>
      <c r="E45" s="115">
        <v>12.75</v>
      </c>
      <c r="F45" s="115">
        <v>15.82</v>
      </c>
      <c r="G45" s="115">
        <v>16.91</v>
      </c>
      <c r="H45" s="115">
        <v>10.49</v>
      </c>
      <c r="I45" s="115">
        <v>24.49</v>
      </c>
      <c r="J45" s="115">
        <v>36.61</v>
      </c>
      <c r="K45" s="137">
        <f>K$42/K49</f>
        <v>46.15654716221426</v>
      </c>
      <c r="L45" s="137">
        <f t="shared" ref="L45:N45" si="19">L$42/L49</f>
        <v>60.002077804752417</v>
      </c>
      <c r="M45" s="137">
        <f t="shared" si="19"/>
        <v>75.382336078627873</v>
      </c>
      <c r="N45" s="137">
        <f>N$42/N49</f>
        <v>92.700458720887966</v>
      </c>
    </row>
    <row r="46" spans="2:14" x14ac:dyDescent="0.25">
      <c r="B46" s="28" t="s">
        <v>154</v>
      </c>
      <c r="C46" s="28"/>
      <c r="D46" s="28"/>
      <c r="E46" s="115">
        <v>12.75</v>
      </c>
      <c r="F46" s="115">
        <v>15.82</v>
      </c>
      <c r="G46" s="115">
        <v>16.91</v>
      </c>
      <c r="H46" s="115">
        <v>10.49</v>
      </c>
      <c r="I46" s="115">
        <v>24.49</v>
      </c>
      <c r="J46" s="115">
        <v>36.61</v>
      </c>
      <c r="K46" s="137">
        <f>K$42/K50</f>
        <v>46.15654716221426</v>
      </c>
      <c r="L46" s="137">
        <f t="shared" ref="L46:N46" si="20">L$42/L50</f>
        <v>60.002077804752417</v>
      </c>
      <c r="M46" s="137">
        <f t="shared" si="20"/>
        <v>75.382336078627873</v>
      </c>
      <c r="N46" s="137">
        <f>N$42/N50</f>
        <v>92.700458720887966</v>
      </c>
    </row>
    <row r="48" spans="2:14" x14ac:dyDescent="0.25">
      <c r="B48" s="1" t="s">
        <v>129</v>
      </c>
      <c r="E48" s="1"/>
    </row>
    <row r="49" spans="2:14" x14ac:dyDescent="0.25">
      <c r="B49" s="28" t="s">
        <v>153</v>
      </c>
      <c r="C49" s="28"/>
      <c r="D49" s="28"/>
      <c r="E49" s="115">
        <v>85</v>
      </c>
      <c r="F49" s="115">
        <v>86</v>
      </c>
      <c r="G49" s="115">
        <v>88</v>
      </c>
      <c r="H49" s="115">
        <v>89</v>
      </c>
      <c r="I49" s="115">
        <v>90</v>
      </c>
      <c r="J49" s="115">
        <v>90</v>
      </c>
      <c r="K49" s="135">
        <f>J49</f>
        <v>90</v>
      </c>
      <c r="L49" s="135">
        <f t="shared" ref="L49:N49" si="21">K49</f>
        <v>90</v>
      </c>
      <c r="M49" s="135">
        <f t="shared" si="21"/>
        <v>90</v>
      </c>
      <c r="N49" s="135">
        <f t="shared" si="21"/>
        <v>90</v>
      </c>
    </row>
    <row r="50" spans="2:14" x14ac:dyDescent="0.25">
      <c r="B50" s="28" t="s">
        <v>154</v>
      </c>
      <c r="C50" s="28"/>
      <c r="D50" s="28"/>
      <c r="E50" s="115">
        <v>85</v>
      </c>
      <c r="F50" s="115">
        <v>86</v>
      </c>
      <c r="G50" s="115">
        <v>88</v>
      </c>
      <c r="H50" s="115">
        <v>89</v>
      </c>
      <c r="I50" s="115">
        <v>90</v>
      </c>
      <c r="J50" s="115">
        <v>90</v>
      </c>
      <c r="K50" s="135">
        <f>J50</f>
        <v>90</v>
      </c>
      <c r="L50" s="135">
        <f t="shared" ref="L50:N50" si="22">K50</f>
        <v>90</v>
      </c>
      <c r="M50" s="135">
        <f t="shared" si="22"/>
        <v>90</v>
      </c>
      <c r="N50" s="135">
        <f t="shared" si="22"/>
        <v>90</v>
      </c>
    </row>
    <row r="52" spans="2:14" x14ac:dyDescent="0.25">
      <c r="E52" s="2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DAD5-45C2-4320-8B00-FBA18B5C14C0}">
  <dimension ref="B1:P69"/>
  <sheetViews>
    <sheetView showGridLines="0" zoomScale="87" zoomScaleNormal="87"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5546875" customWidth="1"/>
    <col min="2" max="2" width="50.5703125" customWidth="1"/>
    <col min="3" max="4" width="1.85546875" customWidth="1"/>
    <col min="5" max="14" width="11.140625" bestFit="1" customWidth="1"/>
  </cols>
  <sheetData>
    <row r="1" spans="2:16" ht="48" customHeight="1" x14ac:dyDescent="0.3">
      <c r="B1" s="114" t="s">
        <v>10</v>
      </c>
    </row>
    <row r="2" spans="2:16" ht="35.25" customHeight="1" x14ac:dyDescent="0.25">
      <c r="B2" s="46" t="s">
        <v>242</v>
      </c>
    </row>
    <row r="3" spans="2:16" ht="6" customHeight="1" x14ac:dyDescent="0.25"/>
    <row r="4" spans="2:16" x14ac:dyDescent="0.25">
      <c r="B4" s="171" t="s">
        <v>68</v>
      </c>
      <c r="C4" s="171"/>
      <c r="D4" s="171"/>
      <c r="E4" s="138">
        <v>43190</v>
      </c>
      <c r="F4" s="138">
        <f>EDATE(E4,12)</f>
        <v>43555</v>
      </c>
      <c r="G4" s="138">
        <f t="shared" ref="G4:N4" si="0">EDATE(F4,12)</f>
        <v>43921</v>
      </c>
      <c r="H4" s="138">
        <f t="shared" si="0"/>
        <v>44286</v>
      </c>
      <c r="I4" s="138">
        <f t="shared" si="0"/>
        <v>44651</v>
      </c>
      <c r="J4" s="138">
        <f t="shared" si="0"/>
        <v>45016</v>
      </c>
      <c r="K4" s="139">
        <f t="shared" si="0"/>
        <v>45382</v>
      </c>
      <c r="L4" s="139">
        <f t="shared" si="0"/>
        <v>45747</v>
      </c>
      <c r="M4" s="139">
        <f t="shared" si="0"/>
        <v>46112</v>
      </c>
      <c r="N4" s="139">
        <f t="shared" si="0"/>
        <v>46477</v>
      </c>
    </row>
    <row r="5" spans="2:16" ht="15.75" thickBot="1" x14ac:dyDescent="0.3">
      <c r="B5" s="172" t="s">
        <v>48</v>
      </c>
      <c r="C5" s="172"/>
      <c r="D5" s="172"/>
      <c r="E5" s="112">
        <f>YEAR(E4)</f>
        <v>2018</v>
      </c>
      <c r="F5" s="112">
        <f t="shared" ref="F5:N5" si="1">YEAR(F4)</f>
        <v>2019</v>
      </c>
      <c r="G5" s="112">
        <f t="shared" si="1"/>
        <v>2020</v>
      </c>
      <c r="H5" s="112">
        <f t="shared" si="1"/>
        <v>2021</v>
      </c>
      <c r="I5" s="112">
        <f t="shared" si="1"/>
        <v>2022</v>
      </c>
      <c r="J5" s="112">
        <f t="shared" si="1"/>
        <v>2023</v>
      </c>
      <c r="K5" s="116">
        <f t="shared" si="1"/>
        <v>2024</v>
      </c>
      <c r="L5" s="116">
        <f t="shared" si="1"/>
        <v>2025</v>
      </c>
      <c r="M5" s="116">
        <f t="shared" si="1"/>
        <v>2026</v>
      </c>
      <c r="N5" s="116">
        <f t="shared" si="1"/>
        <v>2027</v>
      </c>
    </row>
    <row r="7" spans="2:16" x14ac:dyDescent="0.25">
      <c r="B7" s="29" t="s">
        <v>220</v>
      </c>
      <c r="C7" s="29"/>
      <c r="D7" s="29"/>
      <c r="E7" s="214">
        <f>IS!E7</f>
        <v>16156</v>
      </c>
      <c r="F7" s="214">
        <f>IS!F7</f>
        <v>19779</v>
      </c>
      <c r="G7" s="214">
        <f>IS!G7</f>
        <v>21052</v>
      </c>
      <c r="H7" s="214">
        <f>IS!H7</f>
        <v>21644</v>
      </c>
      <c r="I7" s="214">
        <f>IS!I7</f>
        <v>28799</v>
      </c>
      <c r="J7" s="214">
        <f>IS!J7</f>
        <v>40575</v>
      </c>
      <c r="K7" s="173">
        <f>K15</f>
        <v>51020.049203898932</v>
      </c>
      <c r="L7" s="173">
        <f t="shared" ref="L7:N7" si="2">L15</f>
        <v>65355.400491271095</v>
      </c>
      <c r="M7" s="173">
        <f t="shared" si="2"/>
        <v>80993.683255560158</v>
      </c>
      <c r="N7" s="173">
        <f t="shared" si="2"/>
        <v>98245.671945752896</v>
      </c>
    </row>
    <row r="8" spans="2:16" x14ac:dyDescent="0.25">
      <c r="B8" s="34" t="s">
        <v>301</v>
      </c>
      <c r="C8" s="34"/>
      <c r="D8" s="34"/>
      <c r="E8" s="73"/>
      <c r="F8" s="73">
        <f t="shared" ref="F8:J8" si="3">F7/E7-1</f>
        <v>0.22425105224065356</v>
      </c>
      <c r="G8" s="73">
        <f t="shared" si="3"/>
        <v>6.4361191162343845E-2</v>
      </c>
      <c r="H8" s="73">
        <f t="shared" si="3"/>
        <v>2.8120843625308867E-2</v>
      </c>
      <c r="I8" s="73">
        <f t="shared" si="3"/>
        <v>0.33057660321567184</v>
      </c>
      <c r="J8" s="73">
        <f t="shared" si="3"/>
        <v>0.40890308691274013</v>
      </c>
      <c r="K8" s="73">
        <f>K7/J7-1</f>
        <v>0.25742573515462563</v>
      </c>
      <c r="L8" s="73">
        <f t="shared" ref="L8:N8" si="4">L7/K7-1</f>
        <v>0.28097486206024014</v>
      </c>
      <c r="M8" s="73">
        <f t="shared" si="4"/>
        <v>0.23928065082208039</v>
      </c>
      <c r="N8" s="73">
        <f t="shared" si="4"/>
        <v>0.2130041257138211</v>
      </c>
    </row>
    <row r="9" spans="2:16" x14ac:dyDescent="0.25">
      <c r="B9" s="1" t="s">
        <v>225</v>
      </c>
    </row>
    <row r="10" spans="2:16" x14ac:dyDescent="0.25">
      <c r="B10" s="28" t="s">
        <v>222</v>
      </c>
      <c r="C10" s="28"/>
      <c r="D10" s="28"/>
      <c r="E10" s="215">
        <f>(176198+29831)*10^5/10^7</f>
        <v>2060.29</v>
      </c>
      <c r="F10" s="215">
        <f>(191782+46969)*10^5/10^7</f>
        <v>2387.5100000000002</v>
      </c>
      <c r="G10" s="115">
        <f>2030+502</f>
        <v>2532</v>
      </c>
      <c r="H10" s="115">
        <f>1180+349</f>
        <v>1529</v>
      </c>
      <c r="I10" s="115">
        <v>2237</v>
      </c>
      <c r="J10" s="115">
        <f>(2546+633)</f>
        <v>3179</v>
      </c>
      <c r="K10" s="134">
        <f>K29*K68</f>
        <v>3482.6656716417911</v>
      </c>
      <c r="L10" s="134">
        <f>L29*L68</f>
        <v>3786.3313432835821</v>
      </c>
      <c r="M10" s="134">
        <f>M29*M68</f>
        <v>4089.9970149253732</v>
      </c>
      <c r="N10" s="134">
        <f>N29*N68</f>
        <v>4393.6626865671642</v>
      </c>
      <c r="P10" s="72"/>
    </row>
    <row r="11" spans="2:16" x14ac:dyDescent="0.25">
      <c r="B11" s="28" t="s">
        <v>221</v>
      </c>
      <c r="C11" s="28"/>
      <c r="D11" s="28"/>
      <c r="E11" s="215">
        <f>(1099353+213198)*10^5/10^7</f>
        <v>13125.51</v>
      </c>
      <c r="F11" s="215">
        <f>(1300097+319916)*10^5/10^7</f>
        <v>16200.13</v>
      </c>
      <c r="G11" s="115">
        <f>13731+3324</f>
        <v>17055</v>
      </c>
      <c r="H11" s="115">
        <f>14511+3324</f>
        <v>17835</v>
      </c>
      <c r="I11" s="115">
        <v>24137</v>
      </c>
      <c r="J11" s="115">
        <f>25576+7685</f>
        <v>33261</v>
      </c>
      <c r="K11" s="141">
        <f>K24*K62</f>
        <v>45774.826937992235</v>
      </c>
      <c r="L11" s="141">
        <f t="shared" ref="L11:N11" si="5">L24*L62</f>
        <v>59481.051715961999</v>
      </c>
      <c r="M11" s="141">
        <f t="shared" si="5"/>
        <v>74468.878349891849</v>
      </c>
      <c r="N11" s="141">
        <f t="shared" si="5"/>
        <v>91046.364261789495</v>
      </c>
    </row>
    <row r="12" spans="2:16" x14ac:dyDescent="0.25">
      <c r="B12" s="28" t="s">
        <v>224</v>
      </c>
      <c r="C12" s="28"/>
      <c r="D12" s="28"/>
      <c r="E12" s="215">
        <f>(7206+34183)*10^5/10^7</f>
        <v>413.89</v>
      </c>
      <c r="F12" s="215">
        <f>(8400+42606)*10^5/10^7</f>
        <v>510.06</v>
      </c>
      <c r="G12" s="115">
        <f>86+452</f>
        <v>538</v>
      </c>
      <c r="H12" s="115">
        <f>218+143</f>
        <v>361</v>
      </c>
      <c r="I12" s="115">
        <v>506</v>
      </c>
      <c r="J12" s="115">
        <f>373+305</f>
        <v>678</v>
      </c>
      <c r="K12" s="28">
        <f>K25*K65</f>
        <v>808.8919601185645</v>
      </c>
      <c r="L12" s="28">
        <f t="shared" ref="L12:N12" si="6">L25*L65</f>
        <v>958.68816373283562</v>
      </c>
      <c r="M12" s="28">
        <f t="shared" si="6"/>
        <v>1129.8139883039084</v>
      </c>
      <c r="N12" s="28">
        <f t="shared" si="6"/>
        <v>1324.9864608108808</v>
      </c>
    </row>
    <row r="13" spans="2:16" x14ac:dyDescent="0.25">
      <c r="B13" s="28" t="s">
        <v>245</v>
      </c>
      <c r="C13" s="28"/>
      <c r="D13" s="28"/>
      <c r="E13" s="215"/>
      <c r="F13" s="215"/>
      <c r="G13" s="115"/>
      <c r="H13" s="115"/>
      <c r="I13" s="115"/>
      <c r="J13" s="115">
        <v>291</v>
      </c>
      <c r="K13" s="28">
        <f t="shared" ref="K13:M13" si="7">K30*K69</f>
        <v>466.66463414634148</v>
      </c>
      <c r="L13" s="28">
        <f t="shared" si="7"/>
        <v>642.32926829268297</v>
      </c>
      <c r="M13" s="28">
        <f t="shared" si="7"/>
        <v>817.9939024390244</v>
      </c>
      <c r="N13" s="28">
        <f>N30*N69</f>
        <v>993.65853658536582</v>
      </c>
    </row>
    <row r="14" spans="2:16" x14ac:dyDescent="0.25">
      <c r="B14" s="10" t="s">
        <v>223</v>
      </c>
      <c r="C14" s="10"/>
      <c r="D14" s="10"/>
      <c r="E14" s="216">
        <f>(27092+9946)*10^5/10^7</f>
        <v>370.38</v>
      </c>
      <c r="F14" s="216">
        <f>(33899+13729)*10^5/10^7</f>
        <v>476.28</v>
      </c>
      <c r="G14" s="217">
        <f>454+178</f>
        <v>632</v>
      </c>
      <c r="H14" s="217">
        <f>339+93</f>
        <v>432</v>
      </c>
      <c r="I14" s="217">
        <v>503</v>
      </c>
      <c r="J14" s="217">
        <f>487</f>
        <v>487</v>
      </c>
      <c r="K14" s="10">
        <f>J14</f>
        <v>487</v>
      </c>
      <c r="L14" s="10">
        <f t="shared" ref="L14:N14" si="8">K14</f>
        <v>487</v>
      </c>
      <c r="M14" s="10">
        <f t="shared" si="8"/>
        <v>487</v>
      </c>
      <c r="N14" s="10">
        <f t="shared" si="8"/>
        <v>487</v>
      </c>
    </row>
    <row r="15" spans="2:16" ht="15.75" thickBot="1" x14ac:dyDescent="0.3">
      <c r="B15" s="53" t="s">
        <v>6</v>
      </c>
      <c r="C15" s="53"/>
      <c r="D15" s="53"/>
      <c r="E15" s="174">
        <f t="shared" ref="E15:J15" si="9">SUM(E10:E14)</f>
        <v>15970.069999999998</v>
      </c>
      <c r="F15" s="174">
        <f t="shared" si="9"/>
        <v>19573.98</v>
      </c>
      <c r="G15" s="53">
        <f t="shared" si="9"/>
        <v>20757</v>
      </c>
      <c r="H15" s="53">
        <f t="shared" si="9"/>
        <v>20157</v>
      </c>
      <c r="I15" s="53">
        <f t="shared" si="9"/>
        <v>27383</v>
      </c>
      <c r="J15" s="53">
        <f t="shared" si="9"/>
        <v>37896</v>
      </c>
      <c r="K15" s="56">
        <f>SUM(K10:K14)</f>
        <v>51020.049203898932</v>
      </c>
      <c r="L15" s="56">
        <f>SUM(L10:L14)</f>
        <v>65355.400491271095</v>
      </c>
      <c r="M15" s="53">
        <f t="shared" ref="K15:N15" si="10">SUM(M10:M14)</f>
        <v>80993.683255560158</v>
      </c>
      <c r="N15" s="53">
        <f t="shared" si="10"/>
        <v>98245.671945752896</v>
      </c>
    </row>
    <row r="16" spans="2:16" x14ac:dyDescent="0.25">
      <c r="B16" s="175" t="s">
        <v>301</v>
      </c>
      <c r="C16" s="175"/>
      <c r="D16" s="175"/>
      <c r="E16" s="176"/>
      <c r="F16" s="177">
        <f>F15/E15-1</f>
        <v>0.22566651241979541</v>
      </c>
      <c r="G16" s="177">
        <f>G15/F15-1</f>
        <v>6.0438398322671283E-2</v>
      </c>
      <c r="H16" s="177">
        <f t="shared" ref="H16:N16" si="11">H15/G15-1</f>
        <v>-2.8905911258852446E-2</v>
      </c>
      <c r="I16" s="177">
        <f t="shared" si="11"/>
        <v>0.35848588579649743</v>
      </c>
      <c r="J16" s="177">
        <f t="shared" si="11"/>
        <v>0.38392433261512626</v>
      </c>
      <c r="K16" s="177">
        <f t="shared" si="11"/>
        <v>0.34631753229625639</v>
      </c>
      <c r="L16" s="177">
        <f t="shared" si="11"/>
        <v>0.28097486206024014</v>
      </c>
      <c r="M16" s="177">
        <f t="shared" si="11"/>
        <v>0.23928065082208039</v>
      </c>
      <c r="N16" s="177">
        <f t="shared" si="11"/>
        <v>0.2130041257138211</v>
      </c>
    </row>
    <row r="17" spans="2:14" ht="4.5" customHeight="1" x14ac:dyDescent="0.25">
      <c r="B17" s="1"/>
      <c r="C17" s="1"/>
      <c r="D17" s="1"/>
      <c r="E17" s="62"/>
      <c r="F17" s="75"/>
      <c r="G17" s="75"/>
      <c r="H17" s="75"/>
      <c r="I17" s="75"/>
      <c r="J17" s="75"/>
      <c r="K17" s="75"/>
      <c r="L17" s="75"/>
      <c r="M17" s="75"/>
      <c r="N17" s="75"/>
    </row>
    <row r="18" spans="2:14" x14ac:dyDescent="0.25">
      <c r="B18" s="33" t="s">
        <v>244</v>
      </c>
      <c r="C18" s="32"/>
      <c r="D18" s="32"/>
      <c r="E18" s="32"/>
      <c r="F18" s="32"/>
      <c r="G18" s="32"/>
      <c r="H18" s="32"/>
      <c r="I18" s="32"/>
      <c r="J18" s="32"/>
      <c r="K18" s="32"/>
      <c r="L18" s="32"/>
      <c r="M18" s="32"/>
      <c r="N18" s="32"/>
    </row>
    <row r="19" spans="2:14" ht="3.75" customHeight="1" x14ac:dyDescent="0.25">
      <c r="B19" s="1"/>
    </row>
    <row r="20" spans="2:14" x14ac:dyDescent="0.25">
      <c r="B20" t="s">
        <v>226</v>
      </c>
      <c r="E20" s="59">
        <v>253</v>
      </c>
      <c r="F20" s="59">
        <v>287</v>
      </c>
      <c r="G20" s="59">
        <v>327</v>
      </c>
      <c r="H20" s="59">
        <v>353</v>
      </c>
      <c r="I20" s="59">
        <v>389</v>
      </c>
      <c r="J20" s="59">
        <v>423</v>
      </c>
      <c r="K20" s="77">
        <f>J20+K33</f>
        <v>463</v>
      </c>
      <c r="L20" s="77">
        <f t="shared" ref="L20:N20" si="12">K20+L33</f>
        <v>503</v>
      </c>
      <c r="M20" s="77">
        <f t="shared" si="12"/>
        <v>543</v>
      </c>
      <c r="N20" s="77">
        <f t="shared" si="12"/>
        <v>583</v>
      </c>
    </row>
    <row r="21" spans="2:14" x14ac:dyDescent="0.25">
      <c r="B21" t="s">
        <v>227</v>
      </c>
      <c r="E21" s="59">
        <v>36</v>
      </c>
      <c r="F21" s="59">
        <v>30</v>
      </c>
      <c r="G21" s="59">
        <v>38</v>
      </c>
      <c r="H21" s="59">
        <v>40</v>
      </c>
      <c r="I21" s="59">
        <v>50</v>
      </c>
      <c r="J21" s="59">
        <v>111</v>
      </c>
      <c r="K21" s="77">
        <f>J21+K34</f>
        <v>220</v>
      </c>
      <c r="L21" s="77">
        <f t="shared" ref="L21:M21" si="13">K21+L34</f>
        <v>329</v>
      </c>
      <c r="M21" s="77">
        <f t="shared" si="13"/>
        <v>438</v>
      </c>
      <c r="N21" s="77">
        <v>550</v>
      </c>
    </row>
    <row r="22" spans="2:14" x14ac:dyDescent="0.25">
      <c r="B22" t="s">
        <v>228</v>
      </c>
      <c r="E22" s="59">
        <v>36</v>
      </c>
      <c r="F22" s="59">
        <v>55</v>
      </c>
      <c r="G22" s="59">
        <v>92</v>
      </c>
      <c r="H22" s="59">
        <v>117</v>
      </c>
      <c r="I22" s="59">
        <v>138</v>
      </c>
      <c r="J22" s="59">
        <v>222</v>
      </c>
      <c r="K22" s="77">
        <f>J22+K35</f>
        <v>306</v>
      </c>
      <c r="L22" s="77">
        <f t="shared" ref="L22:N22" si="14">K22+L35</f>
        <v>390</v>
      </c>
      <c r="M22" s="77">
        <f t="shared" si="14"/>
        <v>474</v>
      </c>
      <c r="N22" s="77">
        <f t="shared" si="14"/>
        <v>558</v>
      </c>
    </row>
    <row r="23" spans="2:14" x14ac:dyDescent="0.25">
      <c r="B23" t="s">
        <v>229</v>
      </c>
      <c r="E23" s="59">
        <v>3</v>
      </c>
      <c r="F23" s="59">
        <v>3</v>
      </c>
      <c r="G23" s="59">
        <v>4</v>
      </c>
      <c r="H23" s="59">
        <v>4</v>
      </c>
      <c r="I23" s="59">
        <v>5</v>
      </c>
      <c r="J23" s="59">
        <v>7</v>
      </c>
      <c r="K23" s="77">
        <f>J23+K36</f>
        <v>10</v>
      </c>
      <c r="L23" s="77">
        <f t="shared" ref="L23:M23" si="15">K23+L36</f>
        <v>13</v>
      </c>
      <c r="M23" s="77">
        <f t="shared" si="15"/>
        <v>16</v>
      </c>
      <c r="N23" s="77">
        <v>20</v>
      </c>
    </row>
    <row r="24" spans="2:14" x14ac:dyDescent="0.25">
      <c r="B24" s="29" t="s">
        <v>232</v>
      </c>
      <c r="C24" s="29"/>
      <c r="D24" s="29"/>
      <c r="E24" s="118">
        <f t="shared" ref="E24:N24" si="16">SUM(E20:E23)</f>
        <v>328</v>
      </c>
      <c r="F24" s="118">
        <f t="shared" si="16"/>
        <v>375</v>
      </c>
      <c r="G24" s="118">
        <f t="shared" si="16"/>
        <v>461</v>
      </c>
      <c r="H24" s="118">
        <f t="shared" si="16"/>
        <v>514</v>
      </c>
      <c r="I24" s="118">
        <f t="shared" si="16"/>
        <v>582</v>
      </c>
      <c r="J24" s="118">
        <f t="shared" si="16"/>
        <v>763</v>
      </c>
      <c r="K24" s="118">
        <f>SUM(K20:K23)</f>
        <v>999</v>
      </c>
      <c r="L24" s="118">
        <f t="shared" si="16"/>
        <v>1235</v>
      </c>
      <c r="M24" s="118">
        <f t="shared" si="16"/>
        <v>1471</v>
      </c>
      <c r="N24" s="118">
        <f t="shared" si="16"/>
        <v>1711</v>
      </c>
    </row>
    <row r="25" spans="2:14" x14ac:dyDescent="0.25">
      <c r="B25" s="29" t="s">
        <v>233</v>
      </c>
      <c r="C25" s="28"/>
      <c r="D25" s="28"/>
      <c r="E25" s="214">
        <v>500</v>
      </c>
      <c r="F25" s="214">
        <v>537</v>
      </c>
      <c r="G25" s="214">
        <v>584</v>
      </c>
      <c r="H25" s="214">
        <v>599</v>
      </c>
      <c r="I25" s="214">
        <v>733</v>
      </c>
      <c r="J25" s="214">
        <v>896</v>
      </c>
      <c r="K25" s="173">
        <f>J25+K39</f>
        <v>975.2</v>
      </c>
      <c r="L25" s="173">
        <f t="shared" ref="L25:N25" si="17">K25+L39</f>
        <v>1054.4000000000001</v>
      </c>
      <c r="M25" s="173">
        <f t="shared" si="17"/>
        <v>1133.6000000000001</v>
      </c>
      <c r="N25" s="173">
        <f t="shared" si="17"/>
        <v>1212.8000000000002</v>
      </c>
    </row>
    <row r="26" spans="2:14" x14ac:dyDescent="0.25">
      <c r="B26" t="s">
        <v>235</v>
      </c>
      <c r="E26" s="59">
        <v>166</v>
      </c>
      <c r="F26" s="59">
        <v>172</v>
      </c>
      <c r="G26" s="59">
        <v>183</v>
      </c>
      <c r="H26" s="59">
        <v>168</v>
      </c>
      <c r="I26" s="59">
        <v>163</v>
      </c>
      <c r="J26" s="59">
        <v>185</v>
      </c>
      <c r="K26">
        <f>J26+K41</f>
        <v>201</v>
      </c>
      <c r="L26">
        <f>K26+L41</f>
        <v>217</v>
      </c>
      <c r="M26">
        <f>L26+M41</f>
        <v>233</v>
      </c>
      <c r="N26">
        <f t="shared" ref="N26" si="18">M26+N41</f>
        <v>249</v>
      </c>
    </row>
    <row r="27" spans="2:14" x14ac:dyDescent="0.25">
      <c r="B27" t="s">
        <v>236</v>
      </c>
      <c r="E27" s="59">
        <v>70</v>
      </c>
      <c r="F27" s="59">
        <v>76</v>
      </c>
      <c r="G27" s="59">
        <v>92</v>
      </c>
      <c r="H27" s="59">
        <v>103</v>
      </c>
      <c r="I27" s="59">
        <v>136</v>
      </c>
      <c r="J27" s="59">
        <v>198</v>
      </c>
      <c r="K27">
        <f>J27+K42</f>
        <v>228</v>
      </c>
      <c r="L27">
        <f>K27+L42</f>
        <v>258</v>
      </c>
      <c r="M27">
        <f>L27+M42</f>
        <v>288</v>
      </c>
      <c r="N27">
        <f t="shared" ref="N27" si="19">M27+N42</f>
        <v>318</v>
      </c>
    </row>
    <row r="28" spans="2:14" x14ac:dyDescent="0.25">
      <c r="B28" t="s">
        <v>237</v>
      </c>
      <c r="E28" s="59">
        <v>486</v>
      </c>
      <c r="F28" s="59">
        <v>486</v>
      </c>
      <c r="G28" s="59">
        <v>499</v>
      </c>
      <c r="H28" s="59">
        <v>511</v>
      </c>
      <c r="I28" s="59">
        <v>544</v>
      </c>
      <c r="J28" s="59">
        <v>622</v>
      </c>
      <c r="K28">
        <f>J28+K43</f>
        <v>672</v>
      </c>
      <c r="L28">
        <f>K28+L43</f>
        <v>722</v>
      </c>
      <c r="M28">
        <f>L28+M43</f>
        <v>772</v>
      </c>
      <c r="N28">
        <f t="shared" ref="N28" si="20">M28+N43</f>
        <v>822</v>
      </c>
    </row>
    <row r="29" spans="2:14" x14ac:dyDescent="0.25">
      <c r="B29" s="29" t="s">
        <v>238</v>
      </c>
      <c r="C29" s="29"/>
      <c r="D29" s="29"/>
      <c r="E29" s="118">
        <f t="shared" ref="E29:J29" si="21">SUM(E26:E28)</f>
        <v>722</v>
      </c>
      <c r="F29" s="118">
        <f t="shared" si="21"/>
        <v>734</v>
      </c>
      <c r="G29" s="118">
        <f t="shared" si="21"/>
        <v>774</v>
      </c>
      <c r="H29" s="118">
        <f t="shared" si="21"/>
        <v>782</v>
      </c>
      <c r="I29" s="118">
        <f t="shared" si="21"/>
        <v>843</v>
      </c>
      <c r="J29" s="118">
        <f t="shared" si="21"/>
        <v>1005</v>
      </c>
      <c r="K29" s="29">
        <f>SUM(K26:K28)</f>
        <v>1101</v>
      </c>
      <c r="L29" s="29">
        <f>SUM(L26:L28)</f>
        <v>1197</v>
      </c>
      <c r="M29" s="29">
        <f>SUM(M26:M28)</f>
        <v>1293</v>
      </c>
      <c r="N29" s="29">
        <f t="shared" ref="N29" si="22">SUM(N26:N28)</f>
        <v>1389</v>
      </c>
    </row>
    <row r="30" spans="2:14" x14ac:dyDescent="0.25">
      <c r="B30" s="29" t="s">
        <v>240</v>
      </c>
      <c r="C30" s="29"/>
      <c r="D30" s="29"/>
      <c r="E30" s="214"/>
      <c r="F30" s="214"/>
      <c r="G30" s="214"/>
      <c r="H30" s="214">
        <v>14</v>
      </c>
      <c r="I30" s="214">
        <v>20</v>
      </c>
      <c r="J30" s="214">
        <v>41</v>
      </c>
      <c r="K30" s="173">
        <f>J30+K46</f>
        <v>65.75</v>
      </c>
      <c r="L30" s="173">
        <f t="shared" ref="L30:M30" si="23">K30+L46</f>
        <v>90.5</v>
      </c>
      <c r="M30" s="173">
        <f t="shared" si="23"/>
        <v>115.25</v>
      </c>
      <c r="N30" s="173">
        <v>140</v>
      </c>
    </row>
    <row r="32" spans="2:14" x14ac:dyDescent="0.25">
      <c r="B32" s="33" t="s">
        <v>230</v>
      </c>
      <c r="C32" s="32"/>
      <c r="D32" s="32"/>
      <c r="E32" s="32"/>
      <c r="F32" s="32"/>
      <c r="G32" s="32"/>
      <c r="H32" s="32"/>
      <c r="I32" s="32"/>
      <c r="J32" s="32"/>
      <c r="K32" s="32"/>
      <c r="L32" s="32"/>
      <c r="M32" s="32"/>
      <c r="N32" s="32"/>
    </row>
    <row r="33" spans="2:14" x14ac:dyDescent="0.25">
      <c r="B33" s="28" t="s">
        <v>226</v>
      </c>
      <c r="C33" s="28"/>
      <c r="D33" s="28"/>
      <c r="E33" s="115">
        <v>45</v>
      </c>
      <c r="F33" s="115">
        <f>F20-E20</f>
        <v>34</v>
      </c>
      <c r="G33" s="115">
        <f t="shared" ref="F33:J36" si="24">G20-F20</f>
        <v>40</v>
      </c>
      <c r="H33" s="115">
        <f t="shared" si="24"/>
        <v>26</v>
      </c>
      <c r="I33" s="115">
        <f t="shared" si="24"/>
        <v>36</v>
      </c>
      <c r="J33" s="115">
        <f t="shared" si="24"/>
        <v>34</v>
      </c>
      <c r="K33" s="135">
        <v>40</v>
      </c>
      <c r="L33" s="135">
        <v>40</v>
      </c>
      <c r="M33" s="135">
        <v>40</v>
      </c>
      <c r="N33" s="135">
        <v>40</v>
      </c>
    </row>
    <row r="34" spans="2:14" x14ac:dyDescent="0.25">
      <c r="B34" s="28" t="s">
        <v>227</v>
      </c>
      <c r="C34" s="28"/>
      <c r="D34" s="28"/>
      <c r="E34" s="115"/>
      <c r="F34" s="115">
        <f t="shared" si="24"/>
        <v>-6</v>
      </c>
      <c r="G34" s="115">
        <f t="shared" si="24"/>
        <v>8</v>
      </c>
      <c r="H34" s="115">
        <f t="shared" si="24"/>
        <v>2</v>
      </c>
      <c r="I34" s="115">
        <f t="shared" si="24"/>
        <v>10</v>
      </c>
      <c r="J34" s="115">
        <f t="shared" si="24"/>
        <v>61</v>
      </c>
      <c r="K34" s="135">
        <v>109</v>
      </c>
      <c r="L34" s="135">
        <v>109</v>
      </c>
      <c r="M34" s="135">
        <v>109</v>
      </c>
      <c r="N34" s="135">
        <v>109</v>
      </c>
    </row>
    <row r="35" spans="2:14" x14ac:dyDescent="0.25">
      <c r="B35" s="28" t="s">
        <v>228</v>
      </c>
      <c r="C35" s="28"/>
      <c r="D35" s="28"/>
      <c r="E35" s="115"/>
      <c r="F35" s="115">
        <f t="shared" si="24"/>
        <v>19</v>
      </c>
      <c r="G35" s="115">
        <f t="shared" si="24"/>
        <v>37</v>
      </c>
      <c r="H35" s="115">
        <f t="shared" si="24"/>
        <v>25</v>
      </c>
      <c r="I35" s="115">
        <f t="shared" si="24"/>
        <v>21</v>
      </c>
      <c r="J35" s="115">
        <f t="shared" si="24"/>
        <v>84</v>
      </c>
      <c r="K35" s="135">
        <v>84</v>
      </c>
      <c r="L35" s="135">
        <v>84</v>
      </c>
      <c r="M35" s="135">
        <v>84</v>
      </c>
      <c r="N35" s="135">
        <v>84</v>
      </c>
    </row>
    <row r="36" spans="2:14" x14ac:dyDescent="0.25">
      <c r="B36" s="10" t="s">
        <v>229</v>
      </c>
      <c r="C36" s="10"/>
      <c r="D36" s="10"/>
      <c r="E36" s="217">
        <v>1</v>
      </c>
      <c r="F36" s="217">
        <f t="shared" si="24"/>
        <v>0</v>
      </c>
      <c r="G36" s="217">
        <f t="shared" si="24"/>
        <v>1</v>
      </c>
      <c r="H36" s="217">
        <f t="shared" si="24"/>
        <v>0</v>
      </c>
      <c r="I36" s="217">
        <f t="shared" si="24"/>
        <v>1</v>
      </c>
      <c r="J36" s="217">
        <f t="shared" si="24"/>
        <v>2</v>
      </c>
      <c r="K36" s="180">
        <v>3</v>
      </c>
      <c r="L36" s="180">
        <v>3</v>
      </c>
      <c r="M36" s="180">
        <v>3</v>
      </c>
      <c r="N36" s="180">
        <v>3</v>
      </c>
    </row>
    <row r="37" spans="2:14" x14ac:dyDescent="0.25">
      <c r="B37" s="30" t="s">
        <v>232</v>
      </c>
      <c r="C37" s="30"/>
      <c r="D37" s="30"/>
      <c r="E37" s="30"/>
      <c r="F37" s="30">
        <f>SUM(F33:F36)</f>
        <v>47</v>
      </c>
      <c r="G37" s="30">
        <f t="shared" ref="G37:N37" si="25">SUM(G33:G36)</f>
        <v>86</v>
      </c>
      <c r="H37" s="30">
        <f t="shared" si="25"/>
        <v>53</v>
      </c>
      <c r="I37" s="30">
        <f t="shared" si="25"/>
        <v>68</v>
      </c>
      <c r="J37" s="30">
        <f t="shared" si="25"/>
        <v>181</v>
      </c>
      <c r="K37" s="30">
        <f t="shared" si="25"/>
        <v>236</v>
      </c>
      <c r="L37" s="30">
        <f t="shared" si="25"/>
        <v>236</v>
      </c>
      <c r="M37" s="30">
        <f t="shared" si="25"/>
        <v>236</v>
      </c>
      <c r="N37" s="30">
        <f t="shared" si="25"/>
        <v>236</v>
      </c>
    </row>
    <row r="38" spans="2:14" x14ac:dyDescent="0.25">
      <c r="B38" s="166"/>
      <c r="C38" s="166"/>
      <c r="D38" s="166"/>
      <c r="E38" s="166"/>
      <c r="F38" s="166"/>
      <c r="G38" s="166"/>
      <c r="H38" s="166"/>
      <c r="I38" s="166"/>
      <c r="J38" s="166"/>
      <c r="K38" s="181"/>
      <c r="L38" s="181"/>
      <c r="M38" s="181"/>
      <c r="N38" s="181"/>
    </row>
    <row r="39" spans="2:14" x14ac:dyDescent="0.25">
      <c r="B39" s="30" t="s">
        <v>233</v>
      </c>
      <c r="C39" s="30"/>
      <c r="D39" s="30"/>
      <c r="E39" s="30"/>
      <c r="F39" s="30">
        <f>F25-E25</f>
        <v>37</v>
      </c>
      <c r="G39" s="30">
        <f>G25-F25</f>
        <v>47</v>
      </c>
      <c r="H39" s="30">
        <f>H25-G25</f>
        <v>15</v>
      </c>
      <c r="I39" s="30">
        <f>I25-H25</f>
        <v>134</v>
      </c>
      <c r="J39" s="30">
        <f>J25-I25</f>
        <v>163</v>
      </c>
      <c r="K39" s="127">
        <f>AVERAGE(F39:J39)</f>
        <v>79.2</v>
      </c>
      <c r="L39" s="127">
        <f>K39</f>
        <v>79.2</v>
      </c>
      <c r="M39" s="127">
        <f t="shared" ref="M39:N39" si="26">L39</f>
        <v>79.2</v>
      </c>
      <c r="N39" s="127">
        <f t="shared" si="26"/>
        <v>79.2</v>
      </c>
    </row>
    <row r="40" spans="2:14" x14ac:dyDescent="0.25">
      <c r="B40" s="178"/>
      <c r="C40" s="178"/>
      <c r="D40" s="178"/>
      <c r="E40" s="178"/>
      <c r="F40" s="178"/>
      <c r="G40" s="178"/>
      <c r="H40" s="178"/>
      <c r="I40" s="178"/>
      <c r="J40" s="178"/>
      <c r="K40" s="179"/>
      <c r="L40" s="179"/>
      <c r="M40" s="179"/>
      <c r="N40" s="179"/>
    </row>
    <row r="41" spans="2:14" x14ac:dyDescent="0.25">
      <c r="B41" s="28" t="s">
        <v>235</v>
      </c>
      <c r="C41" s="28"/>
      <c r="D41" s="28"/>
      <c r="E41" s="115">
        <v>11</v>
      </c>
      <c r="F41" s="115">
        <f>F26-E26</f>
        <v>6</v>
      </c>
      <c r="G41" s="115">
        <f>G26-F26</f>
        <v>11</v>
      </c>
      <c r="H41" s="115">
        <f>H26-G26</f>
        <v>-15</v>
      </c>
      <c r="I41" s="115">
        <f>I26-H26</f>
        <v>-5</v>
      </c>
      <c r="J41" s="115">
        <f>J26-I26</f>
        <v>22</v>
      </c>
      <c r="K41" s="135">
        <v>16</v>
      </c>
      <c r="L41" s="135">
        <v>16</v>
      </c>
      <c r="M41" s="135">
        <v>16</v>
      </c>
      <c r="N41" s="135">
        <v>16</v>
      </c>
    </row>
    <row r="42" spans="2:14" x14ac:dyDescent="0.25">
      <c r="B42" s="28" t="s">
        <v>236</v>
      </c>
      <c r="C42" s="28"/>
      <c r="D42" s="28"/>
      <c r="E42" s="115">
        <v>21</v>
      </c>
      <c r="F42" s="115">
        <f>F27-E27</f>
        <v>6</v>
      </c>
      <c r="G42" s="115">
        <f>G27-F27</f>
        <v>16</v>
      </c>
      <c r="H42" s="115">
        <f>H27-G27</f>
        <v>11</v>
      </c>
      <c r="I42" s="115">
        <f>I27-H27</f>
        <v>33</v>
      </c>
      <c r="J42" s="115">
        <f>J27-I27</f>
        <v>62</v>
      </c>
      <c r="K42" s="135">
        <v>30</v>
      </c>
      <c r="L42" s="135">
        <v>30</v>
      </c>
      <c r="M42" s="135">
        <v>30</v>
      </c>
      <c r="N42" s="135">
        <v>30</v>
      </c>
    </row>
    <row r="43" spans="2:14" x14ac:dyDescent="0.25">
      <c r="B43" s="10" t="s">
        <v>237</v>
      </c>
      <c r="C43" s="10"/>
      <c r="D43" s="10"/>
      <c r="E43" s="217">
        <v>12</v>
      </c>
      <c r="F43" s="217">
        <f>F28-E28</f>
        <v>0</v>
      </c>
      <c r="G43" s="217">
        <f>G28-F28</f>
        <v>13</v>
      </c>
      <c r="H43" s="217">
        <f>H28-G28</f>
        <v>12</v>
      </c>
      <c r="I43" s="217">
        <f>I28-H28</f>
        <v>33</v>
      </c>
      <c r="J43" s="217">
        <f>J28-I28</f>
        <v>78</v>
      </c>
      <c r="K43" s="180">
        <v>50</v>
      </c>
      <c r="L43" s="180">
        <v>50</v>
      </c>
      <c r="M43" s="180">
        <v>50</v>
      </c>
      <c r="N43" s="180">
        <v>50</v>
      </c>
    </row>
    <row r="44" spans="2:14" x14ac:dyDescent="0.25">
      <c r="B44" s="30" t="s">
        <v>238</v>
      </c>
      <c r="C44" s="30"/>
      <c r="D44" s="30"/>
      <c r="E44" s="30">
        <f>SUM(E41:E43)</f>
        <v>44</v>
      </c>
      <c r="F44" s="30">
        <f t="shared" ref="F44:J44" si="27">SUM(F41:F43)</f>
        <v>12</v>
      </c>
      <c r="G44" s="30">
        <f t="shared" si="27"/>
        <v>40</v>
      </c>
      <c r="H44" s="30">
        <f t="shared" si="27"/>
        <v>8</v>
      </c>
      <c r="I44" s="30">
        <f t="shared" si="27"/>
        <v>61</v>
      </c>
      <c r="J44" s="30">
        <f t="shared" si="27"/>
        <v>162</v>
      </c>
      <c r="K44" s="30">
        <f t="shared" ref="K44" si="28">SUM(K41:K43)</f>
        <v>96</v>
      </c>
      <c r="L44" s="30">
        <f t="shared" ref="L44" si="29">SUM(L41:L43)</f>
        <v>96</v>
      </c>
      <c r="M44" s="30">
        <f t="shared" ref="M44:N44" si="30">SUM(M41:M43)</f>
        <v>96</v>
      </c>
      <c r="N44" s="30">
        <f t="shared" si="30"/>
        <v>96</v>
      </c>
    </row>
    <row r="45" spans="2:14" ht="5.25" customHeight="1" x14ac:dyDescent="0.25">
      <c r="B45" s="178"/>
      <c r="C45" s="178"/>
      <c r="D45" s="178"/>
      <c r="E45" s="178"/>
      <c r="F45" s="178"/>
      <c r="G45" s="178"/>
      <c r="H45" s="178"/>
      <c r="I45" s="178"/>
      <c r="J45" s="178"/>
      <c r="K45" s="178"/>
      <c r="L45" s="178"/>
      <c r="M45" s="178"/>
      <c r="N45" s="178"/>
    </row>
    <row r="46" spans="2:14" x14ac:dyDescent="0.25">
      <c r="B46" s="54" t="s">
        <v>240</v>
      </c>
      <c r="C46" s="54"/>
      <c r="D46" s="54"/>
      <c r="E46" s="54"/>
      <c r="F46" s="54"/>
      <c r="G46" s="54"/>
      <c r="H46" s="54"/>
      <c r="I46" s="54"/>
      <c r="J46" s="54"/>
      <c r="K46" s="98">
        <f>(N30-J30)/4</f>
        <v>24.75</v>
      </c>
      <c r="L46" s="98">
        <f>K46</f>
        <v>24.75</v>
      </c>
      <c r="M46" s="98">
        <f t="shared" ref="M46:N46" si="31">L46</f>
        <v>24.75</v>
      </c>
      <c r="N46" s="98">
        <f t="shared" si="31"/>
        <v>24.75</v>
      </c>
    </row>
    <row r="48" spans="2:14" x14ac:dyDescent="0.25">
      <c r="B48" s="1" t="s">
        <v>231</v>
      </c>
    </row>
    <row r="49" spans="2:14" x14ac:dyDescent="0.25">
      <c r="B49" s="1"/>
    </row>
    <row r="50" spans="2:14" x14ac:dyDescent="0.25">
      <c r="B50" t="s">
        <v>226</v>
      </c>
      <c r="E50">
        <f>101*10^3</f>
        <v>101000</v>
      </c>
      <c r="F50">
        <f>1.01*10^6</f>
        <v>1010000</v>
      </c>
      <c r="G50">
        <f>1.24*10^6</f>
        <v>1240000</v>
      </c>
      <c r="H50">
        <f>1.36*10^6</f>
        <v>1360000</v>
      </c>
      <c r="I50">
        <f>1.5*10^6</f>
        <v>1500000</v>
      </c>
      <c r="J50">
        <f>1.74*10^6</f>
        <v>1740000</v>
      </c>
    </row>
    <row r="51" spans="2:14" x14ac:dyDescent="0.25">
      <c r="B51" t="s">
        <v>227</v>
      </c>
      <c r="E51">
        <v>9000</v>
      </c>
      <c r="F51">
        <v>12000</v>
      </c>
      <c r="G51">
        <v>13000</v>
      </c>
      <c r="H51">
        <v>13000</v>
      </c>
      <c r="I51">
        <v>20000</v>
      </c>
      <c r="J51">
        <v>64000</v>
      </c>
    </row>
    <row r="52" spans="2:14" x14ac:dyDescent="0.25">
      <c r="B52" t="s">
        <v>228</v>
      </c>
      <c r="E52">
        <v>24000</v>
      </c>
      <c r="F52">
        <v>39000</v>
      </c>
      <c r="G52">
        <v>76000</v>
      </c>
      <c r="H52">
        <v>105000</v>
      </c>
      <c r="I52">
        <v>132000</v>
      </c>
      <c r="J52">
        <v>274000</v>
      </c>
    </row>
    <row r="53" spans="2:14" x14ac:dyDescent="0.25">
      <c r="B53" t="s">
        <v>229</v>
      </c>
      <c r="F53">
        <v>15000</v>
      </c>
      <c r="G53">
        <v>18000</v>
      </c>
      <c r="H53">
        <v>18000</v>
      </c>
      <c r="I53">
        <v>19000</v>
      </c>
      <c r="J53">
        <v>24000</v>
      </c>
    </row>
    <row r="54" spans="2:14" x14ac:dyDescent="0.25">
      <c r="B54" s="1" t="s">
        <v>234</v>
      </c>
      <c r="C54" s="1"/>
      <c r="D54" s="1"/>
      <c r="E54" s="1">
        <f t="shared" ref="E54:J54" si="32">SUM(E50:E53)</f>
        <v>134000</v>
      </c>
      <c r="F54" s="1">
        <f t="shared" si="32"/>
        <v>1076000</v>
      </c>
      <c r="G54" s="1">
        <f t="shared" si="32"/>
        <v>1347000</v>
      </c>
      <c r="H54" s="1">
        <f t="shared" si="32"/>
        <v>1496000</v>
      </c>
      <c r="I54" s="1">
        <f t="shared" si="32"/>
        <v>1671000</v>
      </c>
      <c r="J54" s="1">
        <f t="shared" si="32"/>
        <v>2102000</v>
      </c>
      <c r="K54" s="1"/>
      <c r="L54" s="1"/>
      <c r="M54" s="1"/>
      <c r="N54" s="1"/>
    </row>
    <row r="55" spans="2:14" x14ac:dyDescent="0.25">
      <c r="B55" s="1" t="s">
        <v>233</v>
      </c>
      <c r="C55" s="1"/>
      <c r="D55" s="1"/>
      <c r="E55" s="1">
        <v>331000</v>
      </c>
      <c r="F55" s="1">
        <v>355000</v>
      </c>
      <c r="G55">
        <v>386000</v>
      </c>
      <c r="H55" s="1">
        <v>388000</v>
      </c>
      <c r="I55" s="1">
        <v>455000</v>
      </c>
      <c r="J55" s="1">
        <v>554000</v>
      </c>
    </row>
    <row r="56" spans="2:14" x14ac:dyDescent="0.25">
      <c r="B56" t="s">
        <v>235</v>
      </c>
      <c r="E56">
        <v>92000</v>
      </c>
      <c r="F56">
        <v>90000</v>
      </c>
      <c r="G56">
        <v>92000</v>
      </c>
      <c r="H56">
        <v>83000</v>
      </c>
      <c r="I56">
        <v>78000</v>
      </c>
      <c r="J56">
        <v>87000</v>
      </c>
    </row>
    <row r="57" spans="2:14" x14ac:dyDescent="0.25">
      <c r="B57" t="s">
        <v>236</v>
      </c>
      <c r="E57">
        <v>67000</v>
      </c>
      <c r="F57">
        <v>68000</v>
      </c>
      <c r="G57">
        <v>77000</v>
      </c>
      <c r="H57">
        <v>85000</v>
      </c>
      <c r="I57">
        <v>107000</v>
      </c>
      <c r="J57">
        <v>145000</v>
      </c>
    </row>
    <row r="58" spans="2:14" x14ac:dyDescent="0.25">
      <c r="B58" t="s">
        <v>237</v>
      </c>
      <c r="E58">
        <v>411000</v>
      </c>
      <c r="F58">
        <v>403000</v>
      </c>
      <c r="G58">
        <v>403000</v>
      </c>
      <c r="H58">
        <v>410000</v>
      </c>
      <c r="I58">
        <v>418000</v>
      </c>
      <c r="J58">
        <v>443000</v>
      </c>
    </row>
    <row r="59" spans="2:14" x14ac:dyDescent="0.25">
      <c r="B59" s="1" t="s">
        <v>238</v>
      </c>
      <c r="C59" s="1"/>
      <c r="D59" s="1"/>
      <c r="E59" s="1">
        <f t="shared" ref="E59:J59" si="33">SUM(E56:E58)</f>
        <v>570000</v>
      </c>
      <c r="F59" s="1">
        <f t="shared" si="33"/>
        <v>561000</v>
      </c>
      <c r="G59" s="1">
        <f t="shared" si="33"/>
        <v>572000</v>
      </c>
      <c r="H59" s="1">
        <f t="shared" si="33"/>
        <v>578000</v>
      </c>
      <c r="I59" s="1">
        <f t="shared" si="33"/>
        <v>603000</v>
      </c>
      <c r="J59" s="1">
        <f t="shared" si="33"/>
        <v>675000</v>
      </c>
    </row>
    <row r="61" spans="2:14" x14ac:dyDescent="0.25">
      <c r="B61" s="33" t="s">
        <v>239</v>
      </c>
      <c r="C61" s="32"/>
      <c r="D61" s="32"/>
      <c r="E61" s="32"/>
      <c r="F61" s="32"/>
      <c r="G61" s="32"/>
      <c r="H61" s="32"/>
      <c r="I61" s="32"/>
      <c r="J61" s="32"/>
      <c r="K61" s="32"/>
      <c r="L61" s="32"/>
      <c r="M61" s="32"/>
      <c r="N61" s="32"/>
    </row>
    <row r="62" spans="2:14" x14ac:dyDescent="0.25">
      <c r="B62" s="10" t="s">
        <v>221</v>
      </c>
      <c r="C62" s="10"/>
      <c r="D62" s="10"/>
      <c r="E62" s="105">
        <f>E11/E24</f>
        <v>40.016798780487804</v>
      </c>
      <c r="F62" s="105">
        <f t="shared" ref="E62:J62" si="34">F11/F24</f>
        <v>43.200346666666661</v>
      </c>
      <c r="G62" s="105">
        <f t="shared" si="34"/>
        <v>36.995661605206074</v>
      </c>
      <c r="H62" s="105">
        <f t="shared" si="34"/>
        <v>34.69844357976654</v>
      </c>
      <c r="I62" s="105">
        <f t="shared" si="34"/>
        <v>41.472508591065292</v>
      </c>
      <c r="J62" s="105">
        <f>J11/J24</f>
        <v>43.592398427260811</v>
      </c>
      <c r="K62" s="182">
        <f>J62*(1+K63)</f>
        <v>45.820647585577809</v>
      </c>
      <c r="L62" s="182">
        <f t="shared" ref="L62:N62" si="35">K62*(1+L63)</f>
        <v>48.162794911710122</v>
      </c>
      <c r="M62" s="182">
        <f t="shared" si="35"/>
        <v>50.624662372462168</v>
      </c>
      <c r="N62" s="182">
        <f t="shared" si="35"/>
        <v>53.212369527638515</v>
      </c>
    </row>
    <row r="63" spans="2:14" x14ac:dyDescent="0.25">
      <c r="B63" s="183" t="s">
        <v>241</v>
      </c>
      <c r="C63" s="183"/>
      <c r="D63" s="183"/>
      <c r="E63" s="184"/>
      <c r="F63" s="185">
        <f>F62/E62-1</f>
        <v>7.9555286359666466E-2</v>
      </c>
      <c r="G63" s="185">
        <f t="shared" ref="G63:J63" si="36">G62/F62-1</f>
        <v>-0.14362581646244321</v>
      </c>
      <c r="H63" s="185">
        <f t="shared" si="36"/>
        <v>-6.2094254454859277E-2</v>
      </c>
      <c r="I63" s="185">
        <f t="shared" si="36"/>
        <v>0.19522676847813614</v>
      </c>
      <c r="J63" s="185">
        <f>J62/I62-1</f>
        <v>5.1115543964278531E-2</v>
      </c>
      <c r="K63" s="186">
        <f>J63</f>
        <v>5.1115543964278531E-2</v>
      </c>
      <c r="L63" s="186">
        <f t="shared" ref="L63:N63" si="37">K63</f>
        <v>5.1115543964278531E-2</v>
      </c>
      <c r="M63" s="186">
        <f t="shared" si="37"/>
        <v>5.1115543964278531E-2</v>
      </c>
      <c r="N63" s="186">
        <f t="shared" si="37"/>
        <v>5.1115543964278531E-2</v>
      </c>
    </row>
    <row r="64" spans="2:14" ht="4.5" customHeight="1" x14ac:dyDescent="0.25">
      <c r="B64" s="34"/>
      <c r="C64" s="34"/>
      <c r="D64" s="34"/>
      <c r="E64" s="69"/>
      <c r="F64" s="70"/>
      <c r="G64" s="70"/>
      <c r="H64" s="70"/>
      <c r="I64" s="70"/>
      <c r="J64" s="70"/>
      <c r="K64" s="71"/>
      <c r="L64" s="71"/>
      <c r="M64" s="71"/>
      <c r="N64" s="71"/>
    </row>
    <row r="65" spans="2:14" x14ac:dyDescent="0.25">
      <c r="B65" s="10" t="s">
        <v>224</v>
      </c>
      <c r="C65" s="10"/>
      <c r="D65" s="10"/>
      <c r="E65" s="105">
        <f t="shared" ref="E65:J65" si="38">E12/E25</f>
        <v>0.82777999999999996</v>
      </c>
      <c r="F65" s="105">
        <f t="shared" si="38"/>
        <v>0.94983240223463683</v>
      </c>
      <c r="G65" s="105">
        <f t="shared" si="38"/>
        <v>0.92123287671232879</v>
      </c>
      <c r="H65" s="105">
        <f t="shared" si="38"/>
        <v>0.60267111853088484</v>
      </c>
      <c r="I65" s="105">
        <f t="shared" si="38"/>
        <v>0.69031377899045021</v>
      </c>
      <c r="J65" s="105">
        <f t="shared" si="38"/>
        <v>0.7566964285714286</v>
      </c>
      <c r="K65" s="182">
        <f>J65*(1+K66)</f>
        <v>0.82946263342756821</v>
      </c>
      <c r="L65" s="182">
        <f t="shared" ref="L65:N65" si="39">K65*(1+L66)</f>
        <v>0.90922625543705948</v>
      </c>
      <c r="M65" s="182">
        <f t="shared" si="39"/>
        <v>0.99666018728291128</v>
      </c>
      <c r="N65" s="182">
        <f t="shared" si="39"/>
        <v>1.0925020290327181</v>
      </c>
    </row>
    <row r="66" spans="2:14" x14ac:dyDescent="0.25">
      <c r="B66" s="183" t="s">
        <v>243</v>
      </c>
      <c r="C66" s="12"/>
      <c r="D66" s="12"/>
      <c r="E66" s="187"/>
      <c r="F66" s="188">
        <f>F65/E65-1</f>
        <v>0.1474454592218184</v>
      </c>
      <c r="G66" s="188">
        <f t="shared" ref="G66:J66" si="40">G65/F65-1</f>
        <v>-3.0110075688113969E-2</v>
      </c>
      <c r="H66" s="188">
        <f t="shared" si="40"/>
        <v>-0.34579938062818449</v>
      </c>
      <c r="I66" s="188">
        <f t="shared" si="40"/>
        <v>0.14542369422515145</v>
      </c>
      <c r="J66" s="188">
        <f t="shared" si="40"/>
        <v>9.6163008187464705E-2</v>
      </c>
      <c r="K66" s="189">
        <f>J66</f>
        <v>9.6163008187464705E-2</v>
      </c>
      <c r="L66" s="189">
        <f t="shared" ref="L66:N66" si="41">K66</f>
        <v>9.6163008187464705E-2</v>
      </c>
      <c r="M66" s="189">
        <f t="shared" si="41"/>
        <v>9.6163008187464705E-2</v>
      </c>
      <c r="N66" s="189">
        <f t="shared" si="41"/>
        <v>9.6163008187464705E-2</v>
      </c>
    </row>
    <row r="67" spans="2:14" ht="5.25" customHeight="1" x14ac:dyDescent="0.25">
      <c r="B67" s="34"/>
      <c r="E67" s="25"/>
      <c r="F67" s="73"/>
      <c r="G67" s="73"/>
      <c r="H67" s="73"/>
      <c r="I67" s="73"/>
      <c r="J67" s="73"/>
      <c r="K67" s="73"/>
      <c r="L67" s="73"/>
      <c r="M67" s="73"/>
      <c r="N67" s="73"/>
    </row>
    <row r="68" spans="2:14" x14ac:dyDescent="0.25">
      <c r="B68" s="28" t="s">
        <v>222</v>
      </c>
      <c r="C68" s="28"/>
      <c r="D68" s="28"/>
      <c r="E68" s="134">
        <f t="shared" ref="E68:J68" si="42">E10/E29</f>
        <v>2.8535872576177286</v>
      </c>
      <c r="F68" s="134">
        <f t="shared" si="42"/>
        <v>3.2527384196185287</v>
      </c>
      <c r="G68" s="134">
        <f t="shared" si="42"/>
        <v>3.2713178294573644</v>
      </c>
      <c r="H68" s="134">
        <f t="shared" si="42"/>
        <v>1.9552429667519182</v>
      </c>
      <c r="I68" s="134">
        <f>I10/I29</f>
        <v>2.6536180308422299</v>
      </c>
      <c r="J68" s="134">
        <f t="shared" si="42"/>
        <v>3.1631840796019901</v>
      </c>
      <c r="K68" s="137">
        <f>J68</f>
        <v>3.1631840796019901</v>
      </c>
      <c r="L68" s="137">
        <f t="shared" ref="L68:N68" si="43">K68</f>
        <v>3.1631840796019901</v>
      </c>
      <c r="M68" s="137">
        <f t="shared" si="43"/>
        <v>3.1631840796019901</v>
      </c>
      <c r="N68" s="137">
        <f t="shared" si="43"/>
        <v>3.1631840796019901</v>
      </c>
    </row>
    <row r="69" spans="2:14" x14ac:dyDescent="0.25">
      <c r="B69" s="28" t="s">
        <v>246</v>
      </c>
      <c r="C69" s="28"/>
      <c r="D69" s="28"/>
      <c r="E69" s="28"/>
      <c r="F69" s="28"/>
      <c r="G69" s="28"/>
      <c r="H69" s="28"/>
      <c r="I69" s="28"/>
      <c r="J69" s="134">
        <f>J13/J30</f>
        <v>7.0975609756097562</v>
      </c>
      <c r="K69" s="137">
        <f>J69</f>
        <v>7.0975609756097562</v>
      </c>
      <c r="L69" s="137">
        <f t="shared" ref="L69:N69" si="44">K69</f>
        <v>7.0975609756097562</v>
      </c>
      <c r="M69" s="137">
        <f t="shared" si="44"/>
        <v>7.0975609756097562</v>
      </c>
      <c r="N69" s="137">
        <f t="shared" si="44"/>
        <v>7.0975609756097562</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C66C-4987-49DF-B9F4-A50641D17345}">
  <dimension ref="B1:N23"/>
  <sheetViews>
    <sheetView showGridLines="0" zoomScale="91" zoomScaleNormal="91"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5546875" customWidth="1"/>
    <col min="2" max="2" width="50.5703125" customWidth="1"/>
    <col min="3" max="4" width="1.85546875" customWidth="1"/>
    <col min="5" max="14" width="11.140625" bestFit="1" customWidth="1"/>
  </cols>
  <sheetData>
    <row r="1" spans="2:14" ht="49.5" customHeight="1" x14ac:dyDescent="0.3">
      <c r="B1" s="114" t="s">
        <v>10</v>
      </c>
    </row>
    <row r="2" spans="2:14" ht="30" customHeight="1" x14ac:dyDescent="0.25">
      <c r="B2" s="147" t="s">
        <v>334</v>
      </c>
    </row>
    <row r="4" spans="2:14" x14ac:dyDescent="0.25">
      <c r="B4" s="32" t="s">
        <v>68</v>
      </c>
      <c r="C4" s="32"/>
      <c r="D4" s="32"/>
      <c r="E4" s="111">
        <v>43190</v>
      </c>
      <c r="F4" s="111">
        <f>EDATE(E4,12)</f>
        <v>43555</v>
      </c>
      <c r="G4" s="111">
        <f t="shared" ref="G4:N4" si="0">EDATE(F4,12)</f>
        <v>43921</v>
      </c>
      <c r="H4" s="111">
        <f t="shared" si="0"/>
        <v>44286</v>
      </c>
      <c r="I4" s="111">
        <f t="shared" si="0"/>
        <v>44651</v>
      </c>
      <c r="J4" s="111">
        <f t="shared" si="0"/>
        <v>45016</v>
      </c>
      <c r="K4" s="111">
        <f t="shared" si="0"/>
        <v>45382</v>
      </c>
      <c r="L4" s="111">
        <f t="shared" si="0"/>
        <v>45747</v>
      </c>
      <c r="M4" s="111">
        <f t="shared" si="0"/>
        <v>46112</v>
      </c>
      <c r="N4" s="111">
        <f t="shared" si="0"/>
        <v>46477</v>
      </c>
    </row>
    <row r="5" spans="2:14" ht="15.75" thickBot="1" x14ac:dyDescent="0.3">
      <c r="B5" s="32" t="s">
        <v>48</v>
      </c>
      <c r="C5" s="32"/>
      <c r="D5" s="32"/>
      <c r="E5" s="112">
        <f>YEAR(E4)</f>
        <v>2018</v>
      </c>
      <c r="F5" s="112">
        <f t="shared" ref="F5:N5" si="1">YEAR(F4)</f>
        <v>2019</v>
      </c>
      <c r="G5" s="112">
        <f t="shared" si="1"/>
        <v>2020</v>
      </c>
      <c r="H5" s="112">
        <f t="shared" si="1"/>
        <v>2021</v>
      </c>
      <c r="I5" s="112">
        <f t="shared" si="1"/>
        <v>2022</v>
      </c>
      <c r="J5" s="112">
        <f t="shared" si="1"/>
        <v>2023</v>
      </c>
      <c r="K5" s="116">
        <f t="shared" si="1"/>
        <v>2024</v>
      </c>
      <c r="L5" s="116">
        <f t="shared" si="1"/>
        <v>2025</v>
      </c>
      <c r="M5" s="116">
        <f t="shared" si="1"/>
        <v>2026</v>
      </c>
      <c r="N5" s="116">
        <f t="shared" si="1"/>
        <v>2027</v>
      </c>
    </row>
    <row r="6" spans="2:14" x14ac:dyDescent="0.25">
      <c r="K6" t="s">
        <v>248</v>
      </c>
    </row>
    <row r="7" spans="2:14" x14ac:dyDescent="0.25">
      <c r="B7" s="30" t="s">
        <v>140</v>
      </c>
      <c r="C7" s="54"/>
      <c r="D7" s="54"/>
      <c r="E7" s="210">
        <f>IS!E7</f>
        <v>16156</v>
      </c>
      <c r="F7" s="210">
        <f>IS!F7</f>
        <v>19779</v>
      </c>
      <c r="G7" s="210">
        <f>IS!G7</f>
        <v>21052</v>
      </c>
      <c r="H7" s="210">
        <f>IS!H7</f>
        <v>21644</v>
      </c>
      <c r="I7" s="210">
        <f>IS!I7</f>
        <v>28799</v>
      </c>
      <c r="J7" s="210">
        <f>IS!J7</f>
        <v>40575</v>
      </c>
      <c r="K7" s="211">
        <f>IS!K7</f>
        <v>51020.049203898932</v>
      </c>
      <c r="L7" s="211">
        <f>IS!L7</f>
        <v>65355.400491271095</v>
      </c>
      <c r="M7" s="211">
        <f>IS!M7</f>
        <v>80993.683255560158</v>
      </c>
      <c r="N7" s="211">
        <f>IS!N7</f>
        <v>98245.671945752896</v>
      </c>
    </row>
    <row r="8" spans="2:14" x14ac:dyDescent="0.25">
      <c r="B8" s="30" t="s">
        <v>144</v>
      </c>
      <c r="C8" s="54"/>
      <c r="D8" s="54"/>
      <c r="E8" s="210">
        <f>IS!E17</f>
        <v>11722</v>
      </c>
      <c r="F8" s="210">
        <f>IS!F17</f>
        <v>14395</v>
      </c>
      <c r="G8" s="210">
        <f>IS!G17</f>
        <v>15155</v>
      </c>
      <c r="H8" s="210">
        <f>IS!H17</f>
        <v>16414</v>
      </c>
      <c r="I8" s="210">
        <f>IS!I17</f>
        <v>21641</v>
      </c>
      <c r="J8" s="210">
        <f>IS!J17</f>
        <v>30355</v>
      </c>
      <c r="K8" s="211">
        <f>K7*K14</f>
        <v>38169.158190618662</v>
      </c>
      <c r="L8" s="211">
        <f t="shared" ref="L8:N8" si="2">L7*L14</f>
        <v>48893.732148183219</v>
      </c>
      <c r="M8" s="211">
        <f t="shared" si="2"/>
        <v>60593.05619772098</v>
      </c>
      <c r="N8" s="211">
        <f t="shared" si="2"/>
        <v>73499.627157444964</v>
      </c>
    </row>
    <row r="9" spans="2:14" x14ac:dyDescent="0.25">
      <c r="E9" s="44"/>
      <c r="F9" s="44"/>
      <c r="G9" s="44"/>
      <c r="H9" s="44"/>
      <c r="I9" s="44"/>
      <c r="J9" s="44"/>
      <c r="K9" s="68"/>
      <c r="L9" s="68"/>
      <c r="M9" s="68"/>
      <c r="N9" s="68"/>
    </row>
    <row r="10" spans="2:14" x14ac:dyDescent="0.25">
      <c r="B10" s="54" t="s">
        <v>138</v>
      </c>
      <c r="C10" s="54"/>
      <c r="D10" s="54"/>
      <c r="E10" s="210">
        <f>IS!E22</f>
        <v>885</v>
      </c>
      <c r="F10" s="210">
        <f>IS!F22</f>
        <v>1019</v>
      </c>
      <c r="G10" s="210">
        <f>IS!G22</f>
        <v>1199</v>
      </c>
      <c r="H10" s="210">
        <f>IS!H22</f>
        <v>1065</v>
      </c>
      <c r="I10" s="210">
        <f>IS!I22</f>
        <v>1349</v>
      </c>
      <c r="J10" s="210">
        <f>IS!J22</f>
        <v>1647</v>
      </c>
      <c r="K10" s="211">
        <f>K7*K16</f>
        <v>2070.9801857996686</v>
      </c>
      <c r="L10" s="211">
        <f t="shared" ref="L10:N10" si="3">L7*L16</f>
        <v>2652.8735578342207</v>
      </c>
      <c r="M10" s="211">
        <f t="shared" si="3"/>
        <v>3287.6548693014811</v>
      </c>
      <c r="N10" s="211">
        <f t="shared" si="3"/>
        <v>3987.9389203858295</v>
      </c>
    </row>
    <row r="11" spans="2:14" x14ac:dyDescent="0.25">
      <c r="B11" s="54" t="s">
        <v>145</v>
      </c>
      <c r="C11" s="54"/>
      <c r="D11" s="54"/>
      <c r="E11" s="210">
        <f>IS!E23</f>
        <v>1904</v>
      </c>
      <c r="F11" s="210">
        <f>IS!F23</f>
        <v>2374</v>
      </c>
      <c r="G11" s="210">
        <f>IS!G23</f>
        <v>2230</v>
      </c>
      <c r="H11" s="210">
        <f>IS!H23</f>
        <v>2441</v>
      </c>
      <c r="I11" s="210">
        <f>IS!I23</f>
        <v>2468</v>
      </c>
      <c r="J11" s="210">
        <f>IS!J23</f>
        <v>3694</v>
      </c>
      <c r="K11" s="211">
        <f>K7*K17</f>
        <v>4644.930665661187</v>
      </c>
      <c r="L11" s="211">
        <f t="shared" ref="L11:N11" si="4">L7*L17</f>
        <v>5950.0394187247175</v>
      </c>
      <c r="M11" s="211">
        <f t="shared" si="4"/>
        <v>7373.7687232542012</v>
      </c>
      <c r="N11" s="211">
        <f t="shared" si="4"/>
        <v>8944.4118833668817</v>
      </c>
    </row>
    <row r="13" spans="2:14" x14ac:dyDescent="0.25">
      <c r="B13" s="33" t="s">
        <v>247</v>
      </c>
      <c r="C13" s="32"/>
      <c r="D13" s="32"/>
      <c r="E13" s="32"/>
      <c r="F13" s="32"/>
      <c r="G13" s="32"/>
      <c r="H13" s="32"/>
      <c r="I13" s="32"/>
      <c r="J13" s="32"/>
      <c r="K13" s="32"/>
      <c r="L13" s="32"/>
      <c r="M13" s="32"/>
      <c r="N13" s="32"/>
    </row>
    <row r="14" spans="2:14" x14ac:dyDescent="0.25">
      <c r="B14" s="30" t="s">
        <v>144</v>
      </c>
      <c r="C14" s="9"/>
      <c r="D14" s="9"/>
      <c r="E14" s="190">
        <f>E8/E7</f>
        <v>0.72555087893042836</v>
      </c>
      <c r="F14" s="190">
        <f t="shared" ref="F14:I14" si="5">F8/F7</f>
        <v>0.72779210273522421</v>
      </c>
      <c r="G14" s="190">
        <f t="shared" si="5"/>
        <v>0.71988409652289564</v>
      </c>
      <c r="H14" s="190">
        <f t="shared" si="5"/>
        <v>0.75836259471447054</v>
      </c>
      <c r="I14" s="190">
        <f t="shared" si="5"/>
        <v>0.7514497031146915</v>
      </c>
      <c r="J14" s="190">
        <f>J8/J7</f>
        <v>0.74812076401725203</v>
      </c>
      <c r="K14" s="190">
        <f>J14</f>
        <v>0.74812076401725203</v>
      </c>
      <c r="L14" s="190">
        <f t="shared" ref="L14:N14" si="6">K14</f>
        <v>0.74812076401725203</v>
      </c>
      <c r="M14" s="190">
        <f t="shared" si="6"/>
        <v>0.74812076401725203</v>
      </c>
      <c r="N14" s="190">
        <f t="shared" si="6"/>
        <v>0.74812076401725203</v>
      </c>
    </row>
    <row r="15" spans="2:14" x14ac:dyDescent="0.25">
      <c r="E15" s="5"/>
      <c r="F15" s="5"/>
      <c r="G15" s="5"/>
      <c r="H15" s="5"/>
      <c r="I15" s="5"/>
      <c r="J15" s="5"/>
      <c r="K15" s="5"/>
      <c r="L15" s="5"/>
      <c r="M15" s="5"/>
      <c r="N15" s="5"/>
    </row>
    <row r="16" spans="2:14" x14ac:dyDescent="0.25">
      <c r="B16" s="28" t="s">
        <v>138</v>
      </c>
      <c r="C16" s="28"/>
      <c r="D16" s="28"/>
      <c r="E16" s="191">
        <f>E10/E7</f>
        <v>5.4778410497647929E-2</v>
      </c>
      <c r="F16" s="191">
        <f t="shared" ref="F16:I16" si="7">F10/F7</f>
        <v>5.1519288133879369E-2</v>
      </c>
      <c r="G16" s="191">
        <f t="shared" si="7"/>
        <v>5.6954208626258787E-2</v>
      </c>
      <c r="H16" s="191">
        <f t="shared" si="7"/>
        <v>4.9205322491221587E-2</v>
      </c>
      <c r="I16" s="191">
        <f t="shared" si="7"/>
        <v>4.6841904232785864E-2</v>
      </c>
      <c r="J16" s="191">
        <f>J10/J7</f>
        <v>4.0591497227356749E-2</v>
      </c>
      <c r="K16" s="191">
        <f>J16</f>
        <v>4.0591497227356749E-2</v>
      </c>
      <c r="L16" s="191">
        <f t="shared" ref="L16:N16" si="8">K16</f>
        <v>4.0591497227356749E-2</v>
      </c>
      <c r="M16" s="191">
        <f t="shared" si="8"/>
        <v>4.0591497227356749E-2</v>
      </c>
      <c r="N16" s="191">
        <f t="shared" si="8"/>
        <v>4.0591497227356749E-2</v>
      </c>
    </row>
    <row r="17" spans="2:14" x14ac:dyDescent="0.25">
      <c r="B17" s="28" t="s">
        <v>145</v>
      </c>
      <c r="C17" s="28"/>
      <c r="D17" s="28"/>
      <c r="E17" s="191">
        <f>E11/E7</f>
        <v>0.11785095320623917</v>
      </c>
      <c r="F17" s="191">
        <f t="shared" ref="F17:J17" si="9">F11/F7</f>
        <v>0.12002629051013701</v>
      </c>
      <c r="G17" s="191">
        <f t="shared" si="9"/>
        <v>0.10592817784533536</v>
      </c>
      <c r="H17" s="191">
        <f t="shared" si="9"/>
        <v>0.11277952319349473</v>
      </c>
      <c r="I17" s="191">
        <f t="shared" si="9"/>
        <v>8.5697420049307263E-2</v>
      </c>
      <c r="J17" s="191">
        <f t="shared" si="9"/>
        <v>9.1041281577325939E-2</v>
      </c>
      <c r="K17" s="191">
        <f>J17</f>
        <v>9.1041281577325939E-2</v>
      </c>
      <c r="L17" s="191">
        <f t="shared" ref="L17:N17" si="10">K17</f>
        <v>9.1041281577325939E-2</v>
      </c>
      <c r="M17" s="191">
        <f t="shared" si="10"/>
        <v>9.1041281577325939E-2</v>
      </c>
      <c r="N17" s="191">
        <f t="shared" si="10"/>
        <v>9.1041281577325939E-2</v>
      </c>
    </row>
    <row r="18" spans="2:14" x14ac:dyDescent="0.25">
      <c r="B18" s="28" t="s">
        <v>17</v>
      </c>
      <c r="C18" s="28"/>
      <c r="D18" s="28"/>
      <c r="E18" s="191">
        <f>1-SUM(E14:E17)</f>
        <v>0.10181975736568449</v>
      </c>
      <c r="F18" s="191">
        <f t="shared" ref="F18:N18" si="11">1-SUM(F14:F17)</f>
        <v>0.10066231862075936</v>
      </c>
      <c r="G18" s="191">
        <f t="shared" si="11"/>
        <v>0.11723351700551021</v>
      </c>
      <c r="H18" s="191">
        <f t="shared" si="11"/>
        <v>7.9652559600813189E-2</v>
      </c>
      <c r="I18" s="191">
        <f t="shared" si="11"/>
        <v>0.11601097260321536</v>
      </c>
      <c r="J18" s="191">
        <f t="shared" si="11"/>
        <v>0.12024645717806526</v>
      </c>
      <c r="K18" s="191">
        <f t="shared" si="11"/>
        <v>0.12024645717806526</v>
      </c>
      <c r="L18" s="191">
        <f t="shared" si="11"/>
        <v>0.12024645717806526</v>
      </c>
      <c r="M18" s="191">
        <f t="shared" si="11"/>
        <v>0.12024645717806526</v>
      </c>
      <c r="N18" s="191">
        <f t="shared" si="11"/>
        <v>0.12024645717806526</v>
      </c>
    </row>
    <row r="21" spans="2:14" x14ac:dyDescent="0.25">
      <c r="B21" s="28" t="s">
        <v>139</v>
      </c>
      <c r="C21" s="28"/>
      <c r="D21" s="28"/>
      <c r="E21" s="200">
        <f>IS!E32</f>
        <v>1550</v>
      </c>
      <c r="F21" s="200">
        <f>IS!F32</f>
        <v>1958</v>
      </c>
      <c r="G21" s="200">
        <f>IS!G32</f>
        <v>2107</v>
      </c>
      <c r="H21" s="200">
        <f>IS!H32</f>
        <v>1332</v>
      </c>
      <c r="I21" s="200">
        <f>IS!I32</f>
        <v>2958</v>
      </c>
      <c r="J21" s="200">
        <f>IS!J32</f>
        <v>4446</v>
      </c>
      <c r="K21" s="28"/>
      <c r="L21" s="28"/>
      <c r="M21" s="28"/>
      <c r="N21" s="28"/>
    </row>
    <row r="22" spans="2:14" x14ac:dyDescent="0.25">
      <c r="B22" s="28" t="s">
        <v>3</v>
      </c>
      <c r="C22" s="28"/>
      <c r="D22" s="28"/>
      <c r="E22" s="200">
        <f>-CFS!E43</f>
        <v>456.08</v>
      </c>
      <c r="F22" s="200">
        <f>-CFS!F43</f>
        <v>636</v>
      </c>
      <c r="G22" s="200">
        <f>-CFS!G43</f>
        <v>558</v>
      </c>
      <c r="H22" s="200">
        <f>-CFS!H43</f>
        <v>271</v>
      </c>
      <c r="I22" s="200">
        <f>-CFS!I43</f>
        <v>802</v>
      </c>
      <c r="J22" s="200">
        <f>-CFS!J43</f>
        <v>1154</v>
      </c>
      <c r="K22" s="28"/>
      <c r="L22" s="28"/>
      <c r="M22" s="28"/>
      <c r="N22" s="28"/>
    </row>
    <row r="23" spans="2:14" x14ac:dyDescent="0.25">
      <c r="B23" s="28" t="s">
        <v>20</v>
      </c>
      <c r="C23" s="28"/>
      <c r="D23" s="28"/>
      <c r="E23" s="212">
        <f>E22/E21</f>
        <v>0.29424516129032258</v>
      </c>
      <c r="F23" s="212">
        <f t="shared" ref="F23:H23" si="12">F22/F21</f>
        <v>0.32482124616956076</v>
      </c>
      <c r="G23" s="212">
        <f t="shared" si="12"/>
        <v>0.26483151400094923</v>
      </c>
      <c r="H23" s="212">
        <f t="shared" si="12"/>
        <v>0.20345345345345345</v>
      </c>
      <c r="I23" s="212">
        <f>I22/I21</f>
        <v>0.27112914131169707</v>
      </c>
      <c r="J23" s="212">
        <f>J22/J21</f>
        <v>0.25955915429599641</v>
      </c>
      <c r="K23" s="213">
        <f>J23</f>
        <v>0.25955915429599641</v>
      </c>
      <c r="L23" s="213">
        <f t="shared" ref="L23:N23" si="13">K23</f>
        <v>0.25955915429599641</v>
      </c>
      <c r="M23" s="213">
        <f t="shared" si="13"/>
        <v>0.25955915429599641</v>
      </c>
      <c r="N23" s="213">
        <f t="shared" si="13"/>
        <v>0.25955915429599641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7CBD2-FB1A-4DB2-8365-562E498D03CE}">
  <dimension ref="A1:AE90"/>
  <sheetViews>
    <sheetView showGridLines="0" tabSelected="1" zoomScale="91" zoomScaleNormal="91" workbookViewId="0">
      <pane xSplit="1" ySplit="5" topLeftCell="B6" activePane="bottomRight" state="frozen"/>
      <selection pane="topRight" activeCell="B1" sqref="B1"/>
      <selection pane="bottomLeft" activeCell="A5" sqref="A5"/>
      <selection pane="bottomRight" activeCell="A5" sqref="A5"/>
    </sheetView>
  </sheetViews>
  <sheetFormatPr defaultRowHeight="15" x14ac:dyDescent="0.25"/>
  <cols>
    <col min="1" max="1" width="1.85546875" customWidth="1"/>
    <col min="2" max="2" width="50.5703125" customWidth="1"/>
    <col min="3" max="3" width="1.85546875" customWidth="1"/>
    <col min="4" max="4" width="9.28515625" bestFit="1" customWidth="1"/>
    <col min="5" max="8" width="11.140625" bestFit="1" customWidth="1"/>
    <col min="9" max="9" width="12.7109375" customWidth="1"/>
    <col min="10" max="11" width="11.28515625" bestFit="1" customWidth="1"/>
    <col min="12" max="12" width="11.28515625" customWidth="1"/>
    <col min="13" max="14" width="11.28515625" bestFit="1" customWidth="1"/>
    <col min="25" max="25" width="9.140625" customWidth="1"/>
    <col min="31" max="31" width="11.42578125" bestFit="1" customWidth="1"/>
  </cols>
  <sheetData>
    <row r="1" spans="2:31" ht="48" customHeight="1" x14ac:dyDescent="0.3">
      <c r="B1" s="114" t="s">
        <v>10</v>
      </c>
    </row>
    <row r="2" spans="2:31" ht="30.75" customHeight="1" x14ac:dyDescent="0.25">
      <c r="B2" s="147" t="s">
        <v>334</v>
      </c>
    </row>
    <row r="3" spans="2:31" ht="5.25" customHeight="1" x14ac:dyDescent="0.25">
      <c r="B3" s="147"/>
    </row>
    <row r="4" spans="2:31" x14ac:dyDescent="0.25">
      <c r="E4" s="151" t="s">
        <v>324</v>
      </c>
      <c r="F4" s="151"/>
      <c r="G4" s="151"/>
      <c r="H4" s="151"/>
      <c r="I4" s="151"/>
      <c r="J4" s="151"/>
      <c r="K4" s="151" t="s">
        <v>321</v>
      </c>
      <c r="L4" s="151"/>
      <c r="M4" s="151"/>
      <c r="N4" s="151"/>
      <c r="O4" s="152" t="s">
        <v>318</v>
      </c>
      <c r="P4" s="152"/>
      <c r="Q4" s="152"/>
      <c r="R4" s="152"/>
      <c r="S4" s="152"/>
      <c r="T4" s="152"/>
      <c r="U4" s="152"/>
      <c r="V4" s="152"/>
      <c r="W4" s="152"/>
      <c r="X4" s="152"/>
      <c r="Y4" s="152" t="s">
        <v>317</v>
      </c>
      <c r="Z4" s="152"/>
      <c r="AA4" s="152"/>
      <c r="AB4" s="152"/>
      <c r="AC4" s="152"/>
      <c r="AD4" s="152"/>
    </row>
    <row r="5" spans="2:31" x14ac:dyDescent="0.25">
      <c r="B5" t="s">
        <v>68</v>
      </c>
      <c r="E5" s="146">
        <v>43190</v>
      </c>
      <c r="F5" s="146">
        <f>EDATE(E5,12)</f>
        <v>43555</v>
      </c>
      <c r="G5" s="146">
        <f t="shared" ref="G5:N5" si="0">EDATE(F5,12)</f>
        <v>43921</v>
      </c>
      <c r="H5" s="146">
        <f t="shared" si="0"/>
        <v>44286</v>
      </c>
      <c r="I5" s="146">
        <f t="shared" si="0"/>
        <v>44651</v>
      </c>
      <c r="J5" s="154">
        <f t="shared" si="0"/>
        <v>45016</v>
      </c>
      <c r="K5" s="155">
        <f t="shared" si="0"/>
        <v>45382</v>
      </c>
      <c r="L5" s="155">
        <f t="shared" si="0"/>
        <v>45747</v>
      </c>
      <c r="M5" s="155">
        <f t="shared" si="0"/>
        <v>46112</v>
      </c>
      <c r="N5" s="155">
        <f t="shared" si="0"/>
        <v>46477</v>
      </c>
      <c r="O5" s="155">
        <f t="shared" ref="O5" si="1">EDATE(N5,12)</f>
        <v>46843</v>
      </c>
      <c r="P5" s="155">
        <f t="shared" ref="P5" si="2">EDATE(O5,12)</f>
        <v>47208</v>
      </c>
      <c r="Q5" s="155">
        <f t="shared" ref="Q5" si="3">EDATE(P5,12)</f>
        <v>47573</v>
      </c>
      <c r="R5" s="155">
        <f t="shared" ref="R5" si="4">EDATE(Q5,12)</f>
        <v>47938</v>
      </c>
      <c r="S5" s="155">
        <f t="shared" ref="S5" si="5">EDATE(R5,12)</f>
        <v>48304</v>
      </c>
      <c r="T5" s="155">
        <f t="shared" ref="T5" si="6">EDATE(S5,12)</f>
        <v>48669</v>
      </c>
      <c r="U5" s="155">
        <f t="shared" ref="U5" si="7">EDATE(T5,12)</f>
        <v>49034</v>
      </c>
      <c r="V5" s="155">
        <f t="shared" ref="V5" si="8">EDATE(U5,12)</f>
        <v>49399</v>
      </c>
      <c r="W5" s="155">
        <f t="shared" ref="W5" si="9">EDATE(V5,12)</f>
        <v>49765</v>
      </c>
      <c r="X5" s="155">
        <f t="shared" ref="X5" si="10">EDATE(W5,12)</f>
        <v>50130</v>
      </c>
      <c r="Y5" s="155">
        <f t="shared" ref="Y5" si="11">EDATE(X5,12)</f>
        <v>50495</v>
      </c>
      <c r="Z5" s="155">
        <f t="shared" ref="Z5" si="12">EDATE(Y5,12)</f>
        <v>50860</v>
      </c>
      <c r="AA5" s="155">
        <f t="shared" ref="AA5" si="13">EDATE(Z5,12)</f>
        <v>51226</v>
      </c>
      <c r="AB5" s="155">
        <f t="shared" ref="AB5" si="14">EDATE(AA5,12)</f>
        <v>51591</v>
      </c>
      <c r="AC5" s="155">
        <f t="shared" ref="AC5" si="15">EDATE(AB5,12)</f>
        <v>51956</v>
      </c>
      <c r="AD5" s="155">
        <f t="shared" ref="AD5" si="16">EDATE(AC5,12)</f>
        <v>52321</v>
      </c>
    </row>
    <row r="6" spans="2:31" ht="15.75" thickBot="1" x14ac:dyDescent="0.3">
      <c r="B6" t="s">
        <v>48</v>
      </c>
      <c r="E6" s="57">
        <f>YEAR(E5)</f>
        <v>2018</v>
      </c>
      <c r="F6" s="57">
        <f t="shared" ref="F6:N6" si="17">YEAR(F5)</f>
        <v>2019</v>
      </c>
      <c r="G6" s="57">
        <f t="shared" si="17"/>
        <v>2020</v>
      </c>
      <c r="H6" s="57">
        <f t="shared" si="17"/>
        <v>2021</v>
      </c>
      <c r="I6" s="57">
        <f t="shared" si="17"/>
        <v>2022</v>
      </c>
      <c r="J6" s="89">
        <f t="shared" si="17"/>
        <v>2023</v>
      </c>
      <c r="K6" s="58">
        <f t="shared" si="17"/>
        <v>2024</v>
      </c>
      <c r="L6" s="58">
        <f t="shared" si="17"/>
        <v>2025</v>
      </c>
      <c r="M6" s="58">
        <f t="shared" si="17"/>
        <v>2026</v>
      </c>
      <c r="N6" s="58">
        <f t="shared" si="17"/>
        <v>2027</v>
      </c>
      <c r="O6" s="58">
        <f t="shared" ref="O6:AD6" si="18">YEAR(O5)</f>
        <v>2028</v>
      </c>
      <c r="P6" s="58">
        <f t="shared" si="18"/>
        <v>2029</v>
      </c>
      <c r="Q6" s="58">
        <f t="shared" si="18"/>
        <v>2030</v>
      </c>
      <c r="R6" s="58">
        <f t="shared" si="18"/>
        <v>2031</v>
      </c>
      <c r="S6" s="58">
        <f t="shared" si="18"/>
        <v>2032</v>
      </c>
      <c r="T6" s="58">
        <f t="shared" si="18"/>
        <v>2033</v>
      </c>
      <c r="U6" s="58">
        <f t="shared" si="18"/>
        <v>2034</v>
      </c>
      <c r="V6" s="58">
        <f t="shared" si="18"/>
        <v>2035</v>
      </c>
      <c r="W6" s="58">
        <f t="shared" si="18"/>
        <v>2036</v>
      </c>
      <c r="X6" s="58">
        <f t="shared" si="18"/>
        <v>2037</v>
      </c>
      <c r="Y6" s="58">
        <f t="shared" si="18"/>
        <v>2038</v>
      </c>
      <c r="Z6" s="58">
        <f t="shared" si="18"/>
        <v>2039</v>
      </c>
      <c r="AA6" s="58">
        <f t="shared" si="18"/>
        <v>2040</v>
      </c>
      <c r="AB6" s="58">
        <f t="shared" si="18"/>
        <v>2041</v>
      </c>
      <c r="AC6" s="58">
        <f t="shared" si="18"/>
        <v>2042</v>
      </c>
      <c r="AD6" s="58">
        <f t="shared" si="18"/>
        <v>2043</v>
      </c>
    </row>
    <row r="7" spans="2:31" x14ac:dyDescent="0.25">
      <c r="E7" s="82"/>
      <c r="F7" s="65"/>
      <c r="G7" s="65"/>
      <c r="H7" s="65"/>
      <c r="I7" s="65"/>
      <c r="J7" s="65"/>
      <c r="K7" s="65">
        <v>1</v>
      </c>
      <c r="L7" s="65">
        <f t="shared" ref="L7:AD7" si="19">K7+1</f>
        <v>2</v>
      </c>
      <c r="M7" s="65">
        <f t="shared" si="19"/>
        <v>3</v>
      </c>
      <c r="N7" s="65">
        <f t="shared" si="19"/>
        <v>4</v>
      </c>
      <c r="O7" s="65">
        <f t="shared" si="19"/>
        <v>5</v>
      </c>
      <c r="P7" s="65">
        <f t="shared" si="19"/>
        <v>6</v>
      </c>
      <c r="Q7" s="65">
        <f t="shared" si="19"/>
        <v>7</v>
      </c>
      <c r="R7" s="65">
        <f t="shared" si="19"/>
        <v>8</v>
      </c>
      <c r="S7" s="65">
        <f t="shared" si="19"/>
        <v>9</v>
      </c>
      <c r="T7" s="65">
        <f t="shared" si="19"/>
        <v>10</v>
      </c>
      <c r="U7" s="65">
        <f t="shared" si="19"/>
        <v>11</v>
      </c>
      <c r="V7" s="65">
        <f t="shared" si="19"/>
        <v>12</v>
      </c>
      <c r="W7" s="65">
        <f t="shared" si="19"/>
        <v>13</v>
      </c>
      <c r="X7" s="65">
        <f t="shared" si="19"/>
        <v>14</v>
      </c>
      <c r="Y7" s="65">
        <f t="shared" si="19"/>
        <v>15</v>
      </c>
      <c r="Z7" s="65">
        <f t="shared" si="19"/>
        <v>16</v>
      </c>
      <c r="AA7" s="65">
        <f t="shared" si="19"/>
        <v>17</v>
      </c>
      <c r="AB7" s="65">
        <f t="shared" si="19"/>
        <v>18</v>
      </c>
      <c r="AC7" s="65">
        <f t="shared" si="19"/>
        <v>19</v>
      </c>
      <c r="AD7" s="65">
        <f t="shared" si="19"/>
        <v>20</v>
      </c>
    </row>
    <row r="8" spans="2:31" ht="4.5" customHeight="1" x14ac:dyDescent="0.25">
      <c r="E8" s="82"/>
      <c r="F8" s="65"/>
      <c r="G8" s="65"/>
      <c r="H8" s="65"/>
      <c r="I8" s="65"/>
      <c r="J8" s="65"/>
      <c r="K8" s="65"/>
      <c r="L8" s="65"/>
      <c r="M8" s="65"/>
      <c r="N8" s="65"/>
      <c r="O8" s="65"/>
      <c r="P8" s="65"/>
      <c r="Q8" s="65"/>
      <c r="R8" s="65"/>
      <c r="S8" s="65"/>
      <c r="T8" s="65"/>
      <c r="U8" s="65"/>
      <c r="V8" s="65"/>
      <c r="W8" s="65"/>
      <c r="X8" s="65"/>
      <c r="Y8" s="65"/>
      <c r="Z8" s="65"/>
      <c r="AA8" s="65"/>
      <c r="AB8" s="65"/>
      <c r="AC8" s="65"/>
      <c r="AD8" s="65"/>
    </row>
    <row r="9" spans="2:31" x14ac:dyDescent="0.25">
      <c r="B9" s="28" t="s">
        <v>17</v>
      </c>
      <c r="C9" s="28"/>
      <c r="D9" s="28"/>
      <c r="E9" s="200">
        <f>IS!E24</f>
        <v>1734</v>
      </c>
      <c r="F9" s="200">
        <f>IS!F24</f>
        <v>2174</v>
      </c>
      <c r="G9" s="200">
        <f>IS!G24</f>
        <v>2621</v>
      </c>
      <c r="H9" s="200">
        <f>IS!H24</f>
        <v>1910</v>
      </c>
      <c r="I9" s="200">
        <f>IS!I24</f>
        <v>3575</v>
      </c>
      <c r="J9" s="201">
        <f>IS!J24</f>
        <v>5187</v>
      </c>
      <c r="K9" s="137">
        <f>IS!K24</f>
        <v>6546.6058659046721</v>
      </c>
      <c r="L9" s="137">
        <f>IS!L24</f>
        <v>8408.8713414110316</v>
      </c>
      <c r="M9" s="137">
        <f>IS!M24</f>
        <v>10474.404359729579</v>
      </c>
      <c r="N9" s="137">
        <f>IS!N24</f>
        <v>12796.251081374963</v>
      </c>
    </row>
    <row r="10" spans="2:31" x14ac:dyDescent="0.25">
      <c r="B10" s="28" t="s">
        <v>302</v>
      </c>
      <c r="C10" s="28"/>
      <c r="D10" s="28"/>
      <c r="E10" s="200">
        <f>CFS!E44</f>
        <v>-51.079999999999984</v>
      </c>
      <c r="F10" s="200">
        <f>CFS!F44</f>
        <v>1243</v>
      </c>
      <c r="G10" s="200">
        <f>CFS!G44</f>
        <v>-348</v>
      </c>
      <c r="H10" s="200">
        <f>CFS!H44</f>
        <v>4139</v>
      </c>
      <c r="I10" s="200">
        <f>CFS!I44</f>
        <v>-724</v>
      </c>
      <c r="J10" s="201">
        <f>CFS!J44</f>
        <v>1370</v>
      </c>
      <c r="K10" s="137">
        <f>K9*K11</f>
        <v>1729.1016071504532</v>
      </c>
      <c r="L10" s="137">
        <f>L9*L11</f>
        <v>2220.9665968253544</v>
      </c>
      <c r="M10" s="137">
        <f t="shared" ref="M10:N10" si="20">M9*M11</f>
        <v>2766.5189845439604</v>
      </c>
      <c r="N10" s="137">
        <f t="shared" si="20"/>
        <v>3379.7694199891457</v>
      </c>
    </row>
    <row r="11" spans="2:31" x14ac:dyDescent="0.25">
      <c r="B11" s="34" t="s">
        <v>311</v>
      </c>
      <c r="C11" s="34"/>
      <c r="D11" s="88"/>
      <c r="E11" s="87">
        <f>E10/E9</f>
        <v>-2.9457900807381768E-2</v>
      </c>
      <c r="F11" s="87">
        <f>F10/F9</f>
        <v>0.57175712971481141</v>
      </c>
      <c r="G11" s="87">
        <f>G10/G9</f>
        <v>-0.1327737504769172</v>
      </c>
      <c r="H11" s="87">
        <f>H10/H9</f>
        <v>2.1670157068062825</v>
      </c>
      <c r="I11" s="87">
        <f>I10/I9</f>
        <v>-0.20251748251748253</v>
      </c>
      <c r="J11" s="91">
        <f>J10/J9</f>
        <v>0.26412184306921149</v>
      </c>
      <c r="K11" s="74">
        <f>J11</f>
        <v>0.26412184306921149</v>
      </c>
      <c r="L11" s="74">
        <f t="shared" ref="L11:O11" si="21">K11</f>
        <v>0.26412184306921149</v>
      </c>
      <c r="M11" s="74">
        <f t="shared" si="21"/>
        <v>0.26412184306921149</v>
      </c>
      <c r="N11" s="74">
        <f t="shared" si="21"/>
        <v>0.26412184306921149</v>
      </c>
      <c r="O11" s="74">
        <f t="shared" si="21"/>
        <v>0.26412184306921149</v>
      </c>
      <c r="P11" s="206">
        <f t="shared" ref="P11:X11" si="22">O11</f>
        <v>0.26412184306921149</v>
      </c>
      <c r="Q11" s="206">
        <f t="shared" si="22"/>
        <v>0.26412184306921149</v>
      </c>
      <c r="R11" s="206">
        <f t="shared" si="22"/>
        <v>0.26412184306921149</v>
      </c>
      <c r="S11" s="206">
        <f t="shared" si="22"/>
        <v>0.26412184306921149</v>
      </c>
      <c r="T11" s="206">
        <f t="shared" si="22"/>
        <v>0.26412184306921149</v>
      </c>
      <c r="U11" s="206">
        <f t="shared" si="22"/>
        <v>0.26412184306921149</v>
      </c>
      <c r="V11" s="206">
        <f t="shared" si="22"/>
        <v>0.26412184306921149</v>
      </c>
      <c r="W11" s="206">
        <f t="shared" si="22"/>
        <v>0.26412184306921149</v>
      </c>
      <c r="X11" s="206">
        <f t="shared" si="22"/>
        <v>0.26412184306921149</v>
      </c>
      <c r="Y11" s="74">
        <f>X11-($X$11-$AD$11)/6</f>
        <v>0.23343486922434292</v>
      </c>
      <c r="Z11" s="74">
        <f t="shared" ref="Z11:AC11" si="23">Y11-($X$11-$AD$11)/6</f>
        <v>0.20274789537947435</v>
      </c>
      <c r="AA11" s="74">
        <f t="shared" si="23"/>
        <v>0.17206092153460578</v>
      </c>
      <c r="AB11" s="74">
        <f t="shared" si="23"/>
        <v>0.14137394768973721</v>
      </c>
      <c r="AC11" s="74">
        <f t="shared" si="23"/>
        <v>0.11068697384486863</v>
      </c>
      <c r="AD11" s="206">
        <v>0.08</v>
      </c>
    </row>
    <row r="12" spans="2:31" x14ac:dyDescent="0.25">
      <c r="B12" s="153" t="s">
        <v>2</v>
      </c>
      <c r="C12" s="34"/>
      <c r="D12" s="88"/>
      <c r="E12" s="202">
        <f>IS!E31</f>
        <v>53</v>
      </c>
      <c r="F12" s="202">
        <f>IS!F31</f>
        <v>53</v>
      </c>
      <c r="G12" s="202">
        <f>IS!G31</f>
        <v>166</v>
      </c>
      <c r="H12" s="202">
        <f>IS!H31</f>
        <v>203</v>
      </c>
      <c r="I12" s="202">
        <f>IS!I31</f>
        <v>218</v>
      </c>
      <c r="J12" s="202">
        <f>IS!J31</f>
        <v>300</v>
      </c>
      <c r="K12" s="207">
        <f>IS!K31</f>
        <v>300</v>
      </c>
      <c r="L12" s="207">
        <f>IS!L31</f>
        <v>300</v>
      </c>
      <c r="M12" s="207">
        <f>IS!M31</f>
        <v>300</v>
      </c>
      <c r="N12" s="207">
        <f>IS!N31</f>
        <v>300</v>
      </c>
      <c r="O12" s="73"/>
      <c r="P12" s="94"/>
      <c r="Q12" s="94"/>
      <c r="R12" s="94"/>
      <c r="S12" s="94"/>
      <c r="T12" s="94"/>
      <c r="U12" s="94"/>
      <c r="V12" s="94"/>
      <c r="W12" s="94"/>
      <c r="X12" s="94"/>
      <c r="Y12" s="73"/>
      <c r="Z12" s="73"/>
      <c r="AA12" s="73"/>
      <c r="AB12" s="73"/>
      <c r="AC12" s="73"/>
      <c r="AD12" s="94"/>
    </row>
    <row r="13" spans="2:31" x14ac:dyDescent="0.25">
      <c r="B13" s="34" t="s">
        <v>63</v>
      </c>
      <c r="C13" s="34"/>
      <c r="D13" s="88"/>
      <c r="E13" s="203">
        <f>IS!E40</f>
        <v>0.27969651620998148</v>
      </c>
      <c r="F13" s="203">
        <f>IS!F40</f>
        <v>0.29041230366492149</v>
      </c>
      <c r="G13" s="203">
        <f>IS!G40</f>
        <v>0.28959043638283005</v>
      </c>
      <c r="H13" s="203">
        <f>IS!H40</f>
        <v>0.26601356443104746</v>
      </c>
      <c r="I13" s="203">
        <f>IS!I40</f>
        <v>0.24311294765840222</v>
      </c>
      <c r="J13" s="203">
        <f>IS!J40</f>
        <v>0.26377333033505734</v>
      </c>
      <c r="K13" s="208">
        <f>IS!K40</f>
        <v>0.25955915429599641</v>
      </c>
      <c r="L13" s="208">
        <f>IS!L40</f>
        <v>0.25955915429599641</v>
      </c>
      <c r="M13" s="208">
        <f>IS!M40</f>
        <v>0.25955915429599641</v>
      </c>
      <c r="N13" s="208">
        <f>IS!N40</f>
        <v>0.25955915429599641</v>
      </c>
      <c r="O13" s="73"/>
      <c r="P13" s="94"/>
      <c r="Q13" s="94"/>
      <c r="R13" s="94"/>
      <c r="S13" s="94"/>
      <c r="T13" s="94"/>
      <c r="U13" s="94"/>
      <c r="V13" s="94"/>
      <c r="W13" s="94"/>
      <c r="X13" s="94"/>
      <c r="Y13" s="73"/>
      <c r="Z13" s="73"/>
      <c r="AA13" s="73"/>
      <c r="AB13" s="73"/>
      <c r="AC13" s="73"/>
      <c r="AD13" s="94"/>
    </row>
    <row r="14" spans="2:31" x14ac:dyDescent="0.25">
      <c r="B14" s="28" t="s">
        <v>309</v>
      </c>
      <c r="C14" s="28"/>
      <c r="D14" s="149"/>
      <c r="E14" s="204">
        <f>-CFS!E48</f>
        <v>304.85000000000002</v>
      </c>
      <c r="F14" s="204">
        <f>-CFS!F48</f>
        <v>265</v>
      </c>
      <c r="G14" s="204">
        <f>-CFS!G48</f>
        <v>355</v>
      </c>
      <c r="H14" s="204">
        <f>-CFS!H48</f>
        <v>146</v>
      </c>
      <c r="I14" s="204">
        <f>-CFS!I48</f>
        <v>224</v>
      </c>
      <c r="J14" s="205">
        <f>-CFS!J48</f>
        <v>432</v>
      </c>
      <c r="K14" s="137">
        <f>$D$15*IS!J7</f>
        <v>608.64613354630364</v>
      </c>
      <c r="L14" s="137">
        <f>$D$15*IS!K7</f>
        <v>765.32731192348126</v>
      </c>
      <c r="M14" s="137">
        <f>$D$15*IS!L7</f>
        <v>980.3650478221158</v>
      </c>
      <c r="N14" s="137">
        <f>$D$15*IS!M7</f>
        <v>1214.9474345082117</v>
      </c>
    </row>
    <row r="15" spans="2:31" x14ac:dyDescent="0.25">
      <c r="B15" s="150" t="s">
        <v>335</v>
      </c>
      <c r="D15" s="84">
        <f>-MEDIAN(F15:J15)</f>
        <v>1.5000520851418451E-2</v>
      </c>
      <c r="E15" s="85"/>
      <c r="F15" s="86">
        <f>-F14/IS!E7</f>
        <v>-1.6402574894775934E-2</v>
      </c>
      <c r="G15" s="86">
        <f>-G14/IS!F7</f>
        <v>-1.7948329035846099E-2</v>
      </c>
      <c r="H15" s="86">
        <f>-H14/IS!G7</f>
        <v>-6.9352080562416875E-3</v>
      </c>
      <c r="I15" s="86">
        <f>-I14/IS!H7</f>
        <v>-1.034928848641656E-2</v>
      </c>
      <c r="J15" s="92">
        <f>-J14/IS!I7</f>
        <v>-1.5000520851418451E-2</v>
      </c>
    </row>
    <row r="16" spans="2:31" x14ac:dyDescent="0.25">
      <c r="E16" s="82"/>
      <c r="F16" s="82"/>
      <c r="G16" s="82"/>
      <c r="H16" s="82"/>
      <c r="I16" s="82"/>
      <c r="J16" s="90"/>
      <c r="K16" s="83"/>
      <c r="L16" s="83"/>
      <c r="M16" s="83"/>
      <c r="N16" s="83"/>
      <c r="AE16" t="s">
        <v>126</v>
      </c>
    </row>
    <row r="17" spans="1:31" ht="15.75" thickBot="1" x14ac:dyDescent="0.3">
      <c r="A17" t="s">
        <v>14</v>
      </c>
      <c r="B17" s="53" t="s">
        <v>303</v>
      </c>
      <c r="C17" s="53"/>
      <c r="D17" s="53"/>
      <c r="E17" s="56">
        <f>E10+E12*(1-E13)-E14</f>
        <v>-317.753915359129</v>
      </c>
      <c r="F17" s="56">
        <f>F10+F12*(1-F13)-F14</f>
        <v>1015.6081479057591</v>
      </c>
      <c r="G17" s="56">
        <f t="shared" ref="G17:N17" si="24">G10+G12*(1-G13)-G14</f>
        <v>-585.07201243954978</v>
      </c>
      <c r="H17" s="56">
        <f t="shared" si="24"/>
        <v>4141.999246420497</v>
      </c>
      <c r="I17" s="56">
        <f t="shared" si="24"/>
        <v>-782.99862258953169</v>
      </c>
      <c r="J17" s="56">
        <f t="shared" si="24"/>
        <v>1158.8680008994829</v>
      </c>
      <c r="K17" s="56">
        <f t="shared" si="24"/>
        <v>1342.5877273153505</v>
      </c>
      <c r="L17" s="56">
        <f t="shared" si="24"/>
        <v>1677.771538613074</v>
      </c>
      <c r="M17" s="56">
        <f t="shared" si="24"/>
        <v>2008.2861904330457</v>
      </c>
      <c r="N17" s="56">
        <f t="shared" si="24"/>
        <v>2386.954239192135</v>
      </c>
      <c r="O17" s="56">
        <f>N17*(1+O11)</f>
        <v>3017.4009921694296</v>
      </c>
      <c r="P17" s="56">
        <f>O17*(1+P11)</f>
        <v>3814.3625035000873</v>
      </c>
      <c r="Q17" s="56">
        <f t="shared" ref="Q17:AD17" si="25">P17*(1+Q11)</f>
        <v>4821.8189580586222</v>
      </c>
      <c r="R17" s="56">
        <f t="shared" si="25"/>
        <v>6095.3666682071307</v>
      </c>
      <c r="S17" s="56">
        <f t="shared" si="25"/>
        <v>7705.2861467966377</v>
      </c>
      <c r="T17" s="56">
        <f t="shared" si="25"/>
        <v>9740.4205252642296</v>
      </c>
      <c r="U17" s="56">
        <f t="shared" si="25"/>
        <v>12313.078346666196</v>
      </c>
      <c r="V17" s="56">
        <f t="shared" si="25"/>
        <v>15565.231293443272</v>
      </c>
      <c r="W17" s="56">
        <f t="shared" si="25"/>
        <v>19676.348870466078</v>
      </c>
      <c r="X17" s="56">
        <f t="shared" si="25"/>
        <v>24873.302399006378</v>
      </c>
      <c r="Y17" s="56">
        <f t="shared" si="25"/>
        <v>30679.598491695964</v>
      </c>
      <c r="Z17" s="56">
        <f t="shared" si="25"/>
        <v>36899.822516974615</v>
      </c>
      <c r="AA17" s="56">
        <f t="shared" si="25"/>
        <v>43248.839983708669</v>
      </c>
      <c r="AB17" s="56">
        <f t="shared" si="25"/>
        <v>49363.099225207312</v>
      </c>
      <c r="AC17" s="56">
        <f t="shared" si="25"/>
        <v>54826.951298049484</v>
      </c>
      <c r="AD17" s="56">
        <f>AC17*(1+AD11)</f>
        <v>59213.107401893445</v>
      </c>
      <c r="AE17" s="56">
        <f>AD17*(1+D24)/(D25-D24)</f>
        <v>663817.60723097704</v>
      </c>
    </row>
    <row r="18" spans="1:31" x14ac:dyDescent="0.25">
      <c r="E18" s="82"/>
      <c r="G18" s="18"/>
      <c r="H18" s="18"/>
      <c r="I18" s="18"/>
      <c r="J18" s="18"/>
      <c r="K18" s="18"/>
      <c r="L18" s="18"/>
      <c r="M18" s="18"/>
      <c r="N18" s="18"/>
    </row>
    <row r="19" spans="1:31" ht="15.75" thickBot="1" x14ac:dyDescent="0.3">
      <c r="B19" s="53" t="s">
        <v>336</v>
      </c>
      <c r="C19" s="61"/>
      <c r="D19" s="61"/>
      <c r="E19" s="102"/>
      <c r="F19" s="103"/>
      <c r="G19" s="103"/>
      <c r="H19" s="103"/>
      <c r="I19" s="103"/>
      <c r="J19" s="103"/>
      <c r="K19" s="104">
        <f>K17/(1+$D$25)^K7</f>
        <v>1141.3292258277538</v>
      </c>
      <c r="L19" s="104">
        <f>L17/(1+$D$25)^L7</f>
        <v>1212.4653986836893</v>
      </c>
      <c r="M19" s="104">
        <f>M17/(1+$D$25)^M7</f>
        <v>1233.7591825271263</v>
      </c>
      <c r="N19" s="104">
        <f>N17/(1+$D$25)^N7</f>
        <v>1246.571388243962</v>
      </c>
      <c r="O19" s="104">
        <f>O17/(1+$D$25)^O7</f>
        <v>1339.5975840491988</v>
      </c>
      <c r="P19" s="104">
        <f>P17/(1+$D$25)^P7</f>
        <v>1439.5659198615026</v>
      </c>
      <c r="Q19" s="104">
        <f>Q17/(1+$D$25)^Q7</f>
        <v>1546.994457367269</v>
      </c>
      <c r="R19" s="104">
        <f>R17/(1+$D$25)^R7</f>
        <v>1662.4399189411861</v>
      </c>
      <c r="S19" s="104">
        <f>S17/(1+$D$25)^S7</f>
        <v>1786.5005727250978</v>
      </c>
      <c r="T19" s="104">
        <f>T17/(1+$D$25)^T7</f>
        <v>1919.8193330077358</v>
      </c>
      <c r="U19" s="104">
        <f>U17/(1+$D$25)^U7</f>
        <v>2063.0870919722984</v>
      </c>
      <c r="V19" s="104">
        <f>V17/(1+$D$25)^V7</f>
        <v>2217.0463000778436</v>
      </c>
      <c r="W19" s="104">
        <f>W17/(1+$D$25)^W7</f>
        <v>2382.4948136289613</v>
      </c>
      <c r="X19" s="104">
        <f>X17/(1+$D$25)^X7</f>
        <v>2560.2900294728151</v>
      </c>
      <c r="Y19" s="104">
        <f>Y17/(1+$D$25)^Y7</f>
        <v>2684.5633205587883</v>
      </c>
      <c r="Z19" s="104">
        <f>Z17/(1+$D$25)^Z7</f>
        <v>2744.8367709760214</v>
      </c>
      <c r="AA19" s="104">
        <f>AA17/(1+$D$25)^AA7</f>
        <v>2734.8592142243911</v>
      </c>
      <c r="AB19" s="104">
        <f>AB17/(1+$D$25)^AB7</f>
        <v>2653.5739511259549</v>
      </c>
      <c r="AC19" s="104">
        <f>AC17/(1+$D$25)^AC7</f>
        <v>2505.4811467892732</v>
      </c>
      <c r="AD19" s="104">
        <f>AD17/(1+$D$25)^AD7</f>
        <v>2300.2930112982613</v>
      </c>
      <c r="AE19" s="104">
        <f>AE17/(1+$D$25)^AD7</f>
        <v>25787.787023677174</v>
      </c>
    </row>
    <row r="20" spans="1:31" x14ac:dyDescent="0.25">
      <c r="E20" s="82"/>
      <c r="F20" s="93"/>
      <c r="G20" s="93"/>
      <c r="H20" s="93"/>
      <c r="I20" s="93"/>
      <c r="J20" s="93"/>
      <c r="K20" s="100"/>
      <c r="L20" s="100"/>
      <c r="M20" s="100"/>
      <c r="N20" s="100"/>
      <c r="O20" s="100"/>
      <c r="P20" s="100"/>
      <c r="Q20" s="100"/>
      <c r="R20" s="100"/>
      <c r="S20" s="100"/>
      <c r="T20" s="100"/>
      <c r="U20" s="100"/>
      <c r="V20" s="100"/>
      <c r="W20" s="100"/>
      <c r="X20" s="100"/>
      <c r="Y20" s="100"/>
      <c r="Z20" s="100"/>
      <c r="AA20" s="100"/>
      <c r="AB20" s="100"/>
      <c r="AC20" s="100"/>
      <c r="AD20" s="100"/>
      <c r="AE20" s="100"/>
    </row>
    <row r="21" spans="1:31" x14ac:dyDescent="0.25">
      <c r="E21" s="82"/>
      <c r="F21" s="93"/>
      <c r="G21" s="93"/>
      <c r="H21" s="93"/>
      <c r="I21" s="93"/>
      <c r="J21" s="93"/>
      <c r="K21" s="100"/>
      <c r="L21" s="100"/>
      <c r="M21" s="100"/>
      <c r="N21" s="100"/>
      <c r="O21" s="100"/>
      <c r="P21" s="100"/>
      <c r="Q21" s="100"/>
      <c r="R21" s="100"/>
      <c r="S21" s="100"/>
      <c r="T21" s="100"/>
      <c r="U21" s="100"/>
      <c r="V21" s="100"/>
      <c r="W21" s="100"/>
      <c r="X21" s="100"/>
      <c r="Y21" s="100"/>
      <c r="Z21" s="100"/>
      <c r="AA21" s="100"/>
      <c r="AB21" s="100"/>
      <c r="AC21" s="100"/>
      <c r="AD21" s="100"/>
      <c r="AE21" s="100"/>
    </row>
    <row r="22" spans="1:31" x14ac:dyDescent="0.25">
      <c r="E22" s="82"/>
      <c r="F22" s="93"/>
      <c r="G22" s="93"/>
      <c r="I22" s="108" t="s">
        <v>322</v>
      </c>
      <c r="J22" s="108"/>
      <c r="K22" s="108"/>
      <c r="L22" s="108"/>
      <c r="M22" s="108"/>
      <c r="N22" s="108"/>
      <c r="O22" s="93"/>
      <c r="P22" s="93"/>
      <c r="Q22" s="93"/>
      <c r="R22" s="93"/>
      <c r="S22" s="93"/>
      <c r="T22" s="93"/>
      <c r="U22" s="93"/>
      <c r="V22" s="93"/>
      <c r="W22" s="93"/>
      <c r="X22" s="93"/>
      <c r="Y22" s="93"/>
      <c r="Z22" s="93"/>
      <c r="AA22" s="93"/>
      <c r="AB22" s="93"/>
      <c r="AC22" s="93"/>
      <c r="AD22" s="93"/>
      <c r="AE22" s="93"/>
    </row>
    <row r="23" spans="1:31" x14ac:dyDescent="0.25">
      <c r="F23" s="93"/>
      <c r="G23" s="93"/>
      <c r="I23" s="157" t="s">
        <v>128</v>
      </c>
      <c r="J23" s="157"/>
      <c r="K23" s="157"/>
      <c r="L23" s="157"/>
      <c r="M23" s="157"/>
      <c r="N23" s="157"/>
    </row>
    <row r="24" spans="1:31" x14ac:dyDescent="0.25">
      <c r="B24" t="s">
        <v>323</v>
      </c>
      <c r="D24" s="99">
        <v>0.08</v>
      </c>
      <c r="E24" s="82"/>
      <c r="F24" s="82"/>
      <c r="H24" s="55">
        <f>D31</f>
        <v>724.03728505595893</v>
      </c>
      <c r="I24" s="101">
        <v>0.06</v>
      </c>
      <c r="J24" s="101">
        <v>7.0000000000000007E-2</v>
      </c>
      <c r="K24" s="101">
        <v>0.08</v>
      </c>
      <c r="L24" s="101">
        <v>8.5000000000000006E-2</v>
      </c>
      <c r="M24" s="101">
        <v>0.09</v>
      </c>
      <c r="N24" s="101">
        <v>9.5000000000000001E-2</v>
      </c>
    </row>
    <row r="25" spans="1:31" x14ac:dyDescent="0.25">
      <c r="B25" t="s">
        <v>127</v>
      </c>
      <c r="D25" s="6">
        <f>WACC!K23</f>
        <v>0.17633693848646786</v>
      </c>
      <c r="E25" s="82"/>
      <c r="F25" s="82"/>
      <c r="G25" s="156" t="s">
        <v>127</v>
      </c>
      <c r="H25" s="101">
        <v>0.14000000000000001</v>
      </c>
      <c r="I25" s="25">
        <f t="dataTable" ref="I25:N30" dt2D="1" dtr="1" r1="D24" r2="D25"/>
        <v>1282.3135620446492</v>
      </c>
      <c r="J25" s="25">
        <v>1379.7665458561353</v>
      </c>
      <c r="K25" s="25">
        <v>1509.7038576047828</v>
      </c>
      <c r="L25" s="25">
        <v>1592.3912378084681</v>
      </c>
      <c r="M25" s="25">
        <v>1691.6160940528898</v>
      </c>
      <c r="N25" s="25">
        <v>1812.8909183516284</v>
      </c>
    </row>
    <row r="26" spans="1:31" x14ac:dyDescent="0.25">
      <c r="B26" t="s">
        <v>316</v>
      </c>
      <c r="D26" s="25">
        <f>SUM(K19:N19)</f>
        <v>4834.1251952825314</v>
      </c>
      <c r="E26" s="82"/>
      <c r="F26" s="82"/>
      <c r="G26" s="156"/>
      <c r="H26" s="101">
        <v>0.16</v>
      </c>
      <c r="I26" s="25">
        <v>877.78264318468882</v>
      </c>
      <c r="J26" s="25">
        <v>921.35700533218176</v>
      </c>
      <c r="K26" s="25">
        <v>975.82495801654795</v>
      </c>
      <c r="L26" s="25">
        <v>1008.5057296271677</v>
      </c>
      <c r="M26" s="25">
        <v>1045.8551828964473</v>
      </c>
      <c r="N26" s="25">
        <v>1088.9507058994623</v>
      </c>
    </row>
    <row r="27" spans="1:31" x14ac:dyDescent="0.25">
      <c r="B27" t="s">
        <v>319</v>
      </c>
      <c r="D27" s="25">
        <f>SUM(O19:AD19)</f>
        <v>34541.443436076603</v>
      </c>
      <c r="E27" s="82"/>
      <c r="F27" s="82"/>
      <c r="G27" s="156"/>
      <c r="H27" s="101">
        <v>0.17630000000000001</v>
      </c>
      <c r="I27" s="25">
        <v>670.77068410696711</v>
      </c>
      <c r="J27" s="25">
        <v>695.10496521222808</v>
      </c>
      <c r="K27" s="159">
        <v>724.49309493748069</v>
      </c>
      <c r="L27" s="25">
        <v>741.60129970086723</v>
      </c>
      <c r="M27" s="25">
        <v>760.69191521319772</v>
      </c>
      <c r="N27" s="25">
        <v>782.13069991523651</v>
      </c>
    </row>
    <row r="28" spans="1:31" x14ac:dyDescent="0.25">
      <c r="B28" t="s">
        <v>312</v>
      </c>
      <c r="D28" s="25">
        <f>AE19</f>
        <v>25787.787023677174</v>
      </c>
      <c r="E28" s="82"/>
      <c r="F28" s="82"/>
      <c r="G28" s="156"/>
      <c r="H28" s="101">
        <v>0.185</v>
      </c>
      <c r="I28" s="25">
        <v>587.90917797834527</v>
      </c>
      <c r="J28" s="25">
        <v>606.10278598567436</v>
      </c>
      <c r="K28" s="25">
        <v>627.76184313725628</v>
      </c>
      <c r="L28" s="25">
        <v>640.21580099941605</v>
      </c>
      <c r="M28" s="25">
        <v>653.98070179443471</v>
      </c>
      <c r="N28" s="25">
        <v>669.2750360111221</v>
      </c>
    </row>
    <row r="29" spans="1:31" x14ac:dyDescent="0.25">
      <c r="B29" t="s">
        <v>6</v>
      </c>
      <c r="D29" s="25">
        <f>D26+D28+D27</f>
        <v>65163.355655036306</v>
      </c>
      <c r="E29" s="82" t="s">
        <v>313</v>
      </c>
      <c r="F29" s="82"/>
      <c r="G29" s="156"/>
      <c r="H29" s="101">
        <v>0.19</v>
      </c>
      <c r="I29" s="25">
        <v>546.77475586145999</v>
      </c>
      <c r="J29" s="25">
        <v>562.2507472166501</v>
      </c>
      <c r="K29" s="25">
        <v>580.54055518187477</v>
      </c>
      <c r="L29" s="25">
        <v>590.99187401914594</v>
      </c>
      <c r="M29" s="25">
        <v>602.48832474014421</v>
      </c>
      <c r="N29" s="25">
        <v>615.194928168616</v>
      </c>
    </row>
    <row r="30" spans="1:31" x14ac:dyDescent="0.25">
      <c r="B30" t="s">
        <v>49</v>
      </c>
      <c r="D30" s="209">
        <v>90</v>
      </c>
      <c r="E30" s="82" t="s">
        <v>313</v>
      </c>
      <c r="F30" s="82"/>
      <c r="G30" s="156"/>
      <c r="H30" s="101">
        <v>0.2</v>
      </c>
      <c r="I30" s="25">
        <v>476.01960268945686</v>
      </c>
      <c r="J30" s="25">
        <v>487.33475177225051</v>
      </c>
      <c r="K30" s="25">
        <v>500.53575903550973</v>
      </c>
      <c r="L30" s="25">
        <v>507.99719792343888</v>
      </c>
      <c r="M30" s="25">
        <v>516.13694943754342</v>
      </c>
      <c r="N30" s="25">
        <v>525.05191538156259</v>
      </c>
    </row>
    <row r="31" spans="1:31" x14ac:dyDescent="0.25">
      <c r="B31" s="95" t="s">
        <v>314</v>
      </c>
      <c r="C31" s="95"/>
      <c r="D31" s="158">
        <f>D29/D30</f>
        <v>724.03728505595893</v>
      </c>
      <c r="E31" s="96" t="s">
        <v>315</v>
      </c>
      <c r="F31" s="82"/>
      <c r="G31" s="82"/>
      <c r="H31" s="82"/>
      <c r="I31" s="82"/>
      <c r="J31" s="82"/>
      <c r="K31" s="83"/>
      <c r="L31" s="83"/>
      <c r="M31" s="83"/>
      <c r="N31" s="83"/>
    </row>
    <row r="32" spans="1:31" x14ac:dyDescent="0.25">
      <c r="B32" s="161" t="s">
        <v>320</v>
      </c>
      <c r="C32" s="161"/>
      <c r="D32" s="162">
        <v>3545</v>
      </c>
      <c r="E32" s="163" t="s">
        <v>315</v>
      </c>
      <c r="F32" s="82"/>
      <c r="G32" s="82"/>
      <c r="H32" s="82"/>
      <c r="I32" s="82"/>
      <c r="J32" s="82"/>
      <c r="K32" s="83"/>
      <c r="L32" s="83"/>
      <c r="M32" s="83"/>
      <c r="N32" s="83"/>
    </row>
    <row r="33" spans="2:14" x14ac:dyDescent="0.25">
      <c r="E33" s="82"/>
      <c r="F33" s="82"/>
      <c r="G33" s="82"/>
      <c r="H33" s="82"/>
      <c r="I33" s="82"/>
      <c r="J33" s="82"/>
      <c r="K33" s="83"/>
      <c r="L33" s="83"/>
      <c r="M33" s="83"/>
      <c r="N33" s="83"/>
    </row>
    <row r="34" spans="2:14" x14ac:dyDescent="0.25">
      <c r="D34" s="160" t="str">
        <f>IF(D32&gt;D31,"OVERVALUED","UNDERVALUED")</f>
        <v>OVERVALUED</v>
      </c>
      <c r="E34" s="160"/>
      <c r="F34" s="82"/>
      <c r="G34" s="82"/>
      <c r="H34" s="82"/>
      <c r="I34" s="82"/>
      <c r="J34" s="82"/>
      <c r="K34" s="83"/>
      <c r="L34" s="83"/>
      <c r="M34" s="83"/>
      <c r="N34" s="83"/>
    </row>
    <row r="35" spans="2:14" x14ac:dyDescent="0.25">
      <c r="E35" s="82"/>
      <c r="F35" s="82"/>
      <c r="G35" s="82"/>
      <c r="H35" s="82"/>
      <c r="I35" s="82"/>
      <c r="J35" s="82"/>
      <c r="K35" s="83"/>
      <c r="L35" s="83"/>
      <c r="M35" s="83"/>
      <c r="N35" s="83"/>
    </row>
    <row r="36" spans="2:14" x14ac:dyDescent="0.25">
      <c r="E36" s="82"/>
      <c r="F36" s="82"/>
      <c r="G36" s="82"/>
      <c r="H36" s="82"/>
      <c r="I36" s="82"/>
      <c r="J36" s="82"/>
      <c r="K36" s="83"/>
      <c r="L36" s="83"/>
      <c r="M36" s="83"/>
      <c r="N36" s="83"/>
    </row>
    <row r="37" spans="2:14" x14ac:dyDescent="0.25">
      <c r="E37" s="82"/>
      <c r="F37" s="82"/>
      <c r="G37" s="82"/>
      <c r="H37" s="82"/>
      <c r="I37" s="82"/>
      <c r="J37" s="82"/>
      <c r="K37" s="83"/>
      <c r="L37" s="83"/>
      <c r="M37" s="83"/>
      <c r="N37" s="83"/>
    </row>
    <row r="38" spans="2:14" x14ac:dyDescent="0.25">
      <c r="E38" s="82"/>
      <c r="F38" s="82"/>
      <c r="G38" s="82"/>
      <c r="H38" s="82"/>
      <c r="I38" s="82"/>
      <c r="J38" s="82"/>
      <c r="K38" s="83"/>
      <c r="L38" s="83"/>
      <c r="M38" s="83"/>
      <c r="N38" s="83"/>
    </row>
    <row r="39" spans="2:14" x14ac:dyDescent="0.25">
      <c r="E39" s="82"/>
      <c r="F39" s="82"/>
      <c r="G39" s="82"/>
      <c r="H39" s="82"/>
      <c r="I39" s="82"/>
      <c r="J39" s="82"/>
      <c r="K39" s="83"/>
      <c r="L39" s="83"/>
      <c r="M39" s="83"/>
      <c r="N39" s="83"/>
    </row>
    <row r="40" spans="2:14" x14ac:dyDescent="0.25">
      <c r="E40" s="82"/>
      <c r="F40" s="82"/>
      <c r="G40" s="82"/>
      <c r="H40" s="82"/>
      <c r="I40" s="82"/>
      <c r="J40" s="82"/>
      <c r="K40" s="83"/>
      <c r="L40" s="83"/>
      <c r="M40" s="83"/>
      <c r="N40" s="83"/>
    </row>
    <row r="41" spans="2:14" x14ac:dyDescent="0.25">
      <c r="E41" s="82"/>
      <c r="F41" s="82"/>
      <c r="G41" s="82"/>
      <c r="H41" s="82"/>
      <c r="I41" s="82"/>
      <c r="J41" s="82"/>
      <c r="K41" s="83"/>
      <c r="L41" s="83"/>
      <c r="M41" s="83"/>
      <c r="N41" s="83"/>
    </row>
    <row r="42" spans="2:14" x14ac:dyDescent="0.25">
      <c r="E42" s="82"/>
      <c r="F42" s="82"/>
      <c r="G42" s="82"/>
      <c r="H42" s="82"/>
      <c r="I42" s="82"/>
      <c r="J42" s="82"/>
      <c r="K42" s="83"/>
      <c r="L42" s="83"/>
      <c r="M42" s="83"/>
      <c r="N42" s="83"/>
    </row>
    <row r="43" spans="2:14" x14ac:dyDescent="0.25">
      <c r="E43" s="82"/>
      <c r="F43" s="82"/>
      <c r="G43" s="82"/>
      <c r="H43" s="82"/>
      <c r="I43" s="82"/>
      <c r="J43" s="82"/>
      <c r="K43" s="83"/>
      <c r="L43" s="83"/>
      <c r="M43" s="83"/>
      <c r="N43" s="83"/>
    </row>
    <row r="44" spans="2:14" x14ac:dyDescent="0.25">
      <c r="E44" s="82"/>
      <c r="F44" s="82"/>
      <c r="G44" s="82"/>
      <c r="H44" s="82"/>
      <c r="I44" s="82"/>
      <c r="J44" s="82"/>
      <c r="K44" s="83"/>
      <c r="L44" s="83"/>
      <c r="M44" s="83"/>
      <c r="N44" s="83"/>
    </row>
    <row r="45" spans="2:14" x14ac:dyDescent="0.25">
      <c r="E45" s="82"/>
      <c r="F45" s="82"/>
      <c r="G45" s="82"/>
      <c r="H45" s="82"/>
      <c r="I45" s="82"/>
      <c r="J45" s="82"/>
      <c r="K45" s="83"/>
      <c r="L45" s="83"/>
      <c r="M45" s="83"/>
      <c r="N45" s="83"/>
    </row>
    <row r="46" spans="2:14" x14ac:dyDescent="0.25">
      <c r="E46" s="82"/>
      <c r="F46" s="82"/>
      <c r="G46" s="82"/>
      <c r="H46" s="82"/>
      <c r="I46" s="82"/>
      <c r="J46" s="82"/>
      <c r="K46" s="83"/>
      <c r="L46" s="83"/>
      <c r="M46" s="83"/>
      <c r="N46" s="83"/>
    </row>
    <row r="48" spans="2:14" x14ac:dyDescent="0.25">
      <c r="B48" t="s">
        <v>308</v>
      </c>
      <c r="E48">
        <f>IS!E29*(1-IS!E40)</f>
        <v>1154.6464845153996</v>
      </c>
      <c r="F48">
        <f>IS!F29*(1-IS!F40)</f>
        <v>1426.9808573298428</v>
      </c>
      <c r="G48">
        <f>IS!G29*(1-IS!G40)</f>
        <v>1614.7609381018272</v>
      </c>
      <c r="H48">
        <f>IS!H29*(1-IS!H40)</f>
        <v>1126.6691785983421</v>
      </c>
      <c r="I48">
        <f>IS!I29*(1-IS!I40)</f>
        <v>2403.8732782369148</v>
      </c>
      <c r="J48">
        <f>IS!J29*(1-IS!J40)</f>
        <v>3494.1317742298179</v>
      </c>
      <c r="K48">
        <f>IS!K29*(1-IS!K40)</f>
        <v>4375.4810574647809</v>
      </c>
      <c r="L48">
        <f>IS!L29*(1-IS!L40)</f>
        <v>5621.5788152932146</v>
      </c>
      <c r="M48">
        <f>IS!M29*(1-IS!M40)</f>
        <v>7005.8020599420061</v>
      </c>
      <c r="N48">
        <f>IS!N29*(1-IS!N40)</f>
        <v>8564.4330977454138</v>
      </c>
    </row>
    <row r="49" spans="2:14" x14ac:dyDescent="0.25">
      <c r="B49" t="s">
        <v>307</v>
      </c>
      <c r="E49">
        <f>IS!E27</f>
        <v>131</v>
      </c>
      <c r="F49">
        <f>IS!F27</f>
        <v>163</v>
      </c>
      <c r="G49">
        <f>IS!G27</f>
        <v>348</v>
      </c>
      <c r="H49">
        <f>IS!H27</f>
        <v>375</v>
      </c>
      <c r="I49">
        <f>IS!I27</f>
        <v>399</v>
      </c>
      <c r="J49">
        <f>IS!J27</f>
        <v>441</v>
      </c>
      <c r="K49">
        <f>J49*(1+AVERAGE(F50:J50))</f>
        <v>584.42144662105818</v>
      </c>
      <c r="L49">
        <f t="shared" ref="L49:N49" si="26">K49*(1+AVERAGE(G50:K50))</f>
        <v>786.31256605742703</v>
      </c>
      <c r="M49">
        <f t="shared" si="26"/>
        <v>851.01281854365504</v>
      </c>
      <c r="N49">
        <f t="shared" si="26"/>
        <v>923.03537708145507</v>
      </c>
    </row>
    <row r="50" spans="2:14" x14ac:dyDescent="0.25">
      <c r="F50" s="73">
        <f>F49/E49-1</f>
        <v>0.24427480916030531</v>
      </c>
      <c r="G50" s="73">
        <f t="shared" ref="G50:J50" si="27">G49/F49-1</f>
        <v>1.1349693251533743</v>
      </c>
      <c r="H50" s="73">
        <f t="shared" si="27"/>
        <v>7.7586206896551824E-2</v>
      </c>
      <c r="I50" s="73">
        <f t="shared" si="27"/>
        <v>6.4000000000000057E-2</v>
      </c>
      <c r="J50" s="73">
        <f t="shared" si="27"/>
        <v>0.10526315789473695</v>
      </c>
    </row>
    <row r="51" spans="2:14" x14ac:dyDescent="0.25">
      <c r="B51" t="s">
        <v>310</v>
      </c>
      <c r="E51">
        <f>D90-E90</f>
        <v>-3308</v>
      </c>
      <c r="F51">
        <f t="shared" ref="F51:J51" si="28">E90-F90</f>
        <v>-828</v>
      </c>
      <c r="G51">
        <f t="shared" si="28"/>
        <v>-366</v>
      </c>
      <c r="H51">
        <f t="shared" si="28"/>
        <v>-1061</v>
      </c>
      <c r="I51">
        <f t="shared" si="28"/>
        <v>-1461</v>
      </c>
      <c r="J51">
        <f t="shared" si="28"/>
        <v>-2156</v>
      </c>
      <c r="K51">
        <f>J51*(1+MEDIAN(F52:J52))</f>
        <v>-2968.8180961357211</v>
      </c>
      <c r="L51">
        <f>K51*(1+MEDIAN(G52:K52))</f>
        <v>-4234.5802254732744</v>
      </c>
      <c r="M51">
        <f t="shared" ref="M51:N51" si="29">L51*(1+MEDIAN(H52:L52))</f>
        <v>-6248.9767050789733</v>
      </c>
      <c r="N51">
        <f t="shared" si="29"/>
        <v>-8913.2416766166352</v>
      </c>
    </row>
    <row r="52" spans="2:14" x14ac:dyDescent="0.25">
      <c r="F52" s="73">
        <f>F51/E51-1</f>
        <v>-0.74969770253929868</v>
      </c>
      <c r="G52" s="73">
        <f t="shared" ref="G52:J52" si="30">G51/F51-1</f>
        <v>-0.55797101449275366</v>
      </c>
      <c r="H52" s="73">
        <f t="shared" si="30"/>
        <v>1.8989071038251368</v>
      </c>
      <c r="I52" s="73">
        <f t="shared" si="30"/>
        <v>0.37700282752120651</v>
      </c>
      <c r="J52" s="73">
        <f t="shared" si="30"/>
        <v>0.47570157426420256</v>
      </c>
    </row>
    <row r="53" spans="2:14" x14ac:dyDescent="0.25">
      <c r="B53" t="s">
        <v>309</v>
      </c>
      <c r="D53" s="4">
        <v>0.02</v>
      </c>
      <c r="E53" s="81"/>
      <c r="F53" s="81">
        <f>$D$53*IS!E7</f>
        <v>323.12</v>
      </c>
      <c r="G53" s="81">
        <f>$D$53*IS!F7</f>
        <v>395.58</v>
      </c>
      <c r="H53" s="81">
        <f>$D$53*IS!G7</f>
        <v>421.04</v>
      </c>
      <c r="I53" s="81">
        <f>$D$53*IS!H7</f>
        <v>432.88</v>
      </c>
      <c r="J53" s="81">
        <f>$D$53*IS!I7</f>
        <v>575.98</v>
      </c>
      <c r="K53" s="81">
        <f>$D$53*IS!J7</f>
        <v>811.5</v>
      </c>
      <c r="L53" s="81">
        <f>$D$53*IS!K7</f>
        <v>1020.4009840779787</v>
      </c>
      <c r="M53" s="81">
        <f>$D$53*IS!L7</f>
        <v>1307.108009825422</v>
      </c>
      <c r="N53" s="81">
        <f>$D$53*IS!M7</f>
        <v>1619.8736651112031</v>
      </c>
    </row>
    <row r="55" spans="2:14" x14ac:dyDescent="0.25">
      <c r="B55" t="s">
        <v>303</v>
      </c>
      <c r="F55" s="25">
        <f>F48-F49+F51-F53</f>
        <v>112.86085732984282</v>
      </c>
      <c r="G55" s="25">
        <f t="shared" ref="G55:N55" si="31">G48-G49+G51-G53</f>
        <v>505.18093810182717</v>
      </c>
      <c r="H55" s="25">
        <f t="shared" si="31"/>
        <v>-730.37082140165785</v>
      </c>
      <c r="I55" s="25">
        <f t="shared" si="31"/>
        <v>110.99327823691476</v>
      </c>
      <c r="J55" s="25">
        <f t="shared" si="31"/>
        <v>321.15177422981787</v>
      </c>
      <c r="K55" s="25">
        <f t="shared" si="31"/>
        <v>10.741514708001432</v>
      </c>
      <c r="L55" s="25">
        <f>L48-L49+L51-L53</f>
        <v>-419.71496031546542</v>
      </c>
      <c r="M55" s="25">
        <f t="shared" si="31"/>
        <v>-1401.2954735060443</v>
      </c>
      <c r="N55" s="25">
        <f t="shared" si="31"/>
        <v>-2891.71762106388</v>
      </c>
    </row>
    <row r="62" spans="2:14" x14ac:dyDescent="0.25">
      <c r="B62" s="1" t="s">
        <v>304</v>
      </c>
    </row>
    <row r="64" spans="2:14" x14ac:dyDescent="0.25">
      <c r="B64" s="1" t="s">
        <v>120</v>
      </c>
    </row>
    <row r="65" spans="2:10" x14ac:dyDescent="0.25">
      <c r="B65" t="str">
        <f>BS!B27</f>
        <v>Inventories</v>
      </c>
      <c r="E65">
        <f>BS!E27</f>
        <v>5925</v>
      </c>
      <c r="F65">
        <f>BS!F27</f>
        <v>7039</v>
      </c>
      <c r="G65">
        <f>BS!G27</f>
        <v>8103</v>
      </c>
      <c r="H65">
        <f>BS!H27</f>
        <v>8408</v>
      </c>
      <c r="I65">
        <f>BS!I27</f>
        <v>13609</v>
      </c>
      <c r="J65">
        <f>BS!J27</f>
        <v>16548</v>
      </c>
    </row>
    <row r="66" spans="2:10" x14ac:dyDescent="0.25">
      <c r="B66" t="str">
        <f>BS!B28</f>
        <v>Finaicial Assets:</v>
      </c>
    </row>
    <row r="67" spans="2:10" x14ac:dyDescent="0.25">
      <c r="B67" t="str">
        <f>BS!B29</f>
        <v>Investments</v>
      </c>
      <c r="E67">
        <f>BS!E29</f>
        <v>2</v>
      </c>
      <c r="F67">
        <f>BS!F29</f>
        <v>69</v>
      </c>
      <c r="G67">
        <f>BS!G29</f>
        <v>114</v>
      </c>
      <c r="H67">
        <f>BS!H29</f>
        <v>2805</v>
      </c>
      <c r="I67">
        <f>BS!I29</f>
        <v>15</v>
      </c>
      <c r="J67">
        <f>BS!J29</f>
        <v>2164</v>
      </c>
    </row>
    <row r="68" spans="2:10" x14ac:dyDescent="0.25">
      <c r="B68" t="str">
        <f>BS!B30</f>
        <v>Trade Recievables</v>
      </c>
      <c r="E68">
        <f>BS!E30</f>
        <v>296</v>
      </c>
      <c r="F68">
        <f>BS!F30</f>
        <v>420</v>
      </c>
      <c r="G68">
        <f>BS!G30</f>
        <v>312</v>
      </c>
      <c r="H68">
        <f>BS!H30</f>
        <v>366</v>
      </c>
      <c r="I68">
        <f>BS!I30</f>
        <v>565</v>
      </c>
      <c r="J68">
        <f>BS!J30</f>
        <v>674</v>
      </c>
    </row>
    <row r="69" spans="2:10" x14ac:dyDescent="0.25">
      <c r="B69" t="str">
        <f>BS!B31</f>
        <v>Cash and Cash Equivalents</v>
      </c>
      <c r="E69">
        <f>BS!E31</f>
        <v>472</v>
      </c>
      <c r="F69">
        <f>BS!F31</f>
        <v>430</v>
      </c>
      <c r="G69">
        <f>BS!G31</f>
        <v>75</v>
      </c>
      <c r="H69">
        <f>BS!H31</f>
        <v>181</v>
      </c>
      <c r="I69">
        <f>BS!I31</f>
        <v>219</v>
      </c>
      <c r="J69">
        <f>BS!J31</f>
        <v>232</v>
      </c>
    </row>
    <row r="70" spans="2:10" x14ac:dyDescent="0.25">
      <c r="B70" t="str">
        <f>BS!B32</f>
        <v>Bank Balance other than above</v>
      </c>
      <c r="E70">
        <f>BS!E32</f>
        <v>146</v>
      </c>
      <c r="F70">
        <f>BS!F32</f>
        <v>637</v>
      </c>
      <c r="G70">
        <f>BS!G32</f>
        <v>306</v>
      </c>
      <c r="H70">
        <f>BS!H32</f>
        <v>379</v>
      </c>
      <c r="I70">
        <f>BS!I32</f>
        <v>1354</v>
      </c>
      <c r="J70">
        <f>BS!J32</f>
        <v>1111</v>
      </c>
    </row>
    <row r="71" spans="2:10" x14ac:dyDescent="0.25">
      <c r="B71" t="str">
        <f>BS!B33</f>
        <v>loan recoevables</v>
      </c>
      <c r="E71">
        <f>BS!E33</f>
        <v>0</v>
      </c>
      <c r="F71">
        <f>BS!F33</f>
        <v>247</v>
      </c>
      <c r="G71">
        <f>BS!G33</f>
        <v>56</v>
      </c>
      <c r="H71">
        <f>BS!H33</f>
        <v>76</v>
      </c>
      <c r="I71">
        <f>BS!I33</f>
        <v>423</v>
      </c>
      <c r="J71">
        <f>BS!J33</f>
        <v>135</v>
      </c>
    </row>
    <row r="72" spans="2:10" x14ac:dyDescent="0.25">
      <c r="B72" t="str">
        <f>BS!B34</f>
        <v>other financial assets</v>
      </c>
      <c r="E72">
        <f>BS!E34</f>
        <v>340</v>
      </c>
      <c r="F72">
        <f>BS!F34</f>
        <v>99</v>
      </c>
      <c r="G72">
        <f>BS!G34</f>
        <v>459</v>
      </c>
      <c r="H72">
        <f>BS!H34</f>
        <v>230</v>
      </c>
      <c r="I72">
        <f>BS!I34</f>
        <v>291</v>
      </c>
      <c r="J72">
        <f>BS!J34</f>
        <v>201</v>
      </c>
    </row>
    <row r="73" spans="2:10" x14ac:dyDescent="0.25">
      <c r="B73" t="str">
        <f>BS!B35</f>
        <v>Asset held for sale</v>
      </c>
      <c r="E73">
        <f>BS!E35</f>
        <v>0</v>
      </c>
      <c r="F73">
        <f>BS!F35</f>
        <v>0</v>
      </c>
      <c r="G73">
        <f>BS!G35</f>
        <v>0</v>
      </c>
      <c r="H73">
        <f>BS!H35</f>
        <v>0</v>
      </c>
      <c r="I73">
        <f>BS!I35</f>
        <v>0</v>
      </c>
      <c r="J73">
        <f>BS!J35</f>
        <v>18</v>
      </c>
    </row>
    <row r="74" spans="2:10" x14ac:dyDescent="0.25">
      <c r="B74" t="str">
        <f>BS!B36</f>
        <v>other current asset</v>
      </c>
      <c r="E74">
        <f>BS!E36</f>
        <v>421</v>
      </c>
      <c r="F74">
        <f>BS!F36</f>
        <v>647</v>
      </c>
      <c r="G74">
        <f>BS!G36</f>
        <v>696</v>
      </c>
      <c r="H74">
        <f>BS!H36</f>
        <v>752</v>
      </c>
      <c r="I74">
        <f>BS!I36</f>
        <v>978</v>
      </c>
      <c r="J74">
        <f>BS!J36</f>
        <v>1288</v>
      </c>
    </row>
    <row r="75" spans="2:10" x14ac:dyDescent="0.25">
      <c r="B75" s="1" t="s">
        <v>306</v>
      </c>
      <c r="C75" s="1"/>
      <c r="D75" s="1"/>
      <c r="E75" s="1">
        <f>SUM(E65:E74)</f>
        <v>7602</v>
      </c>
      <c r="F75" s="1">
        <f t="shared" ref="F75:J75" si="32">SUM(F65:F74)</f>
        <v>9588</v>
      </c>
      <c r="G75" s="1">
        <f t="shared" si="32"/>
        <v>10121</v>
      </c>
      <c r="H75" s="1">
        <f t="shared" si="32"/>
        <v>13197</v>
      </c>
      <c r="I75" s="1">
        <f t="shared" si="32"/>
        <v>17454</v>
      </c>
      <c r="J75" s="1">
        <f t="shared" si="32"/>
        <v>22371</v>
      </c>
    </row>
    <row r="77" spans="2:10" x14ac:dyDescent="0.25">
      <c r="B77" s="1" t="s">
        <v>123</v>
      </c>
    </row>
    <row r="78" spans="2:10" x14ac:dyDescent="0.25">
      <c r="B78" t="str">
        <f>BS!B61</f>
        <v>Borrowings</v>
      </c>
      <c r="E78">
        <f>BS!E61</f>
        <v>79</v>
      </c>
      <c r="F78">
        <f>BS!F61</f>
        <v>0</v>
      </c>
      <c r="G78">
        <f>BS!G61</f>
        <v>706</v>
      </c>
      <c r="H78">
        <f>BS!H61</f>
        <v>163</v>
      </c>
      <c r="I78">
        <f>BS!I61</f>
        <v>516</v>
      </c>
      <c r="J78">
        <f>BS!J61</f>
        <v>2195</v>
      </c>
    </row>
    <row r="79" spans="2:10" x14ac:dyDescent="0.25">
      <c r="B79" t="str">
        <f>BS!B62</f>
        <v>Gold on loans</v>
      </c>
      <c r="E79">
        <f>BS!E62</f>
        <v>1612</v>
      </c>
      <c r="F79">
        <f>BS!F62</f>
        <v>2353</v>
      </c>
      <c r="G79">
        <f>BS!G62</f>
        <v>1585</v>
      </c>
      <c r="H79">
        <f>BS!H62</f>
        <v>4210</v>
      </c>
      <c r="I79">
        <f>BS!I62</f>
        <v>5398</v>
      </c>
      <c r="J79">
        <f>BS!J62</f>
        <v>5299</v>
      </c>
    </row>
    <row r="80" spans="2:10" x14ac:dyDescent="0.25">
      <c r="B80" t="str">
        <f>BS!B63</f>
        <v>Lease liabilities</v>
      </c>
      <c r="E80">
        <f>BS!E63</f>
        <v>0</v>
      </c>
      <c r="F80">
        <f>BS!F63</f>
        <v>0</v>
      </c>
      <c r="G80">
        <f>BS!G63</f>
        <v>187</v>
      </c>
      <c r="H80">
        <f>BS!H63</f>
        <v>197</v>
      </c>
      <c r="I80">
        <f>BS!I63</f>
        <v>221</v>
      </c>
      <c r="J80">
        <f>BS!J63</f>
        <v>266</v>
      </c>
    </row>
    <row r="81" spans="2:10" x14ac:dyDescent="0.25">
      <c r="B81" t="str">
        <f>BS!B64</f>
        <v>Trade Payables</v>
      </c>
    </row>
    <row r="82" spans="2:10" x14ac:dyDescent="0.25">
      <c r="B82" t="str">
        <f>BS!B65</f>
        <v>- total o/s dues on micro and small financing</v>
      </c>
      <c r="E82">
        <f>BS!E65</f>
        <v>0</v>
      </c>
      <c r="F82">
        <f>BS!F65</f>
        <v>16</v>
      </c>
      <c r="G82">
        <f>BS!G65</f>
        <v>68</v>
      </c>
      <c r="H82">
        <f>BS!H65</f>
        <v>167</v>
      </c>
      <c r="I82">
        <f>BS!I65</f>
        <v>242</v>
      </c>
      <c r="J82">
        <f>BS!J65</f>
        <v>181</v>
      </c>
    </row>
    <row r="83" spans="2:10" x14ac:dyDescent="0.25">
      <c r="B83" t="str">
        <f>BS!B66</f>
        <v>-total o/s dues of creditors other than micro and small financers</v>
      </c>
      <c r="E83">
        <f>BS!E66</f>
        <v>878</v>
      </c>
      <c r="F83">
        <f>BS!F66</f>
        <v>890</v>
      </c>
      <c r="G83">
        <f>BS!G66</f>
        <v>528</v>
      </c>
      <c r="H83">
        <f>BS!H66</f>
        <v>622</v>
      </c>
      <c r="I83">
        <f>BS!I66</f>
        <v>1052</v>
      </c>
      <c r="J83">
        <f>BS!J66</f>
        <v>1033</v>
      </c>
    </row>
    <row r="84" spans="2:10" x14ac:dyDescent="0.25">
      <c r="B84" t="str">
        <f>BS!B67</f>
        <v xml:space="preserve">other financial liabilities </v>
      </c>
      <c r="E84">
        <f>BS!E67</f>
        <v>255</v>
      </c>
      <c r="F84">
        <f>BS!F67</f>
        <v>238</v>
      </c>
      <c r="G84">
        <f>BS!G67</f>
        <v>219</v>
      </c>
      <c r="H84">
        <f>BS!H67</f>
        <v>232</v>
      </c>
      <c r="I84">
        <f>BS!I67</f>
        <v>440</v>
      </c>
      <c r="J84">
        <f>BS!J67</f>
        <v>568</v>
      </c>
    </row>
    <row r="86" spans="2:10" x14ac:dyDescent="0.25">
      <c r="B86" t="str">
        <f>BS!B69</f>
        <v>Other current liabilities</v>
      </c>
      <c r="E86">
        <f>BS!E69</f>
        <v>1445</v>
      </c>
      <c r="F86">
        <f>BS!F69</f>
        <v>1890</v>
      </c>
      <c r="G86">
        <f>BS!G69</f>
        <v>2206</v>
      </c>
      <c r="H86">
        <f>BS!H69</f>
        <v>2013</v>
      </c>
      <c r="I86">
        <f>BS!I69</f>
        <v>2523</v>
      </c>
      <c r="J86">
        <f>BS!J69</f>
        <v>3517</v>
      </c>
    </row>
    <row r="87" spans="2:10" x14ac:dyDescent="0.25">
      <c r="B87" t="str">
        <f>BS!B70</f>
        <v>Provisions</v>
      </c>
      <c r="E87">
        <f>BS!E70</f>
        <v>25</v>
      </c>
      <c r="F87">
        <f>BS!F70</f>
        <v>65</v>
      </c>
      <c r="G87">
        <f>BS!G70</f>
        <v>120</v>
      </c>
      <c r="H87">
        <f>BS!H70</f>
        <v>30</v>
      </c>
      <c r="I87">
        <f>BS!I70</f>
        <v>38</v>
      </c>
      <c r="J87">
        <f>BS!J70</f>
        <v>132</v>
      </c>
    </row>
    <row r="88" spans="2:10" x14ac:dyDescent="0.25">
      <c r="B88" s="1" t="s">
        <v>305</v>
      </c>
      <c r="E88" s="1">
        <f>SUM(E78:E87)</f>
        <v>4294</v>
      </c>
      <c r="F88" s="1">
        <f t="shared" ref="F88:J88" si="33">SUM(F78:F87)</f>
        <v>5452</v>
      </c>
      <c r="G88" s="1">
        <f t="shared" si="33"/>
        <v>5619</v>
      </c>
      <c r="H88" s="1">
        <f t="shared" si="33"/>
        <v>7634</v>
      </c>
      <c r="I88" s="1">
        <f t="shared" si="33"/>
        <v>10430</v>
      </c>
      <c r="J88" s="1">
        <f t="shared" si="33"/>
        <v>13191</v>
      </c>
    </row>
    <row r="90" spans="2:10" x14ac:dyDescent="0.25">
      <c r="B90" s="1" t="s">
        <v>121</v>
      </c>
      <c r="E90" s="1">
        <f>E75-E88</f>
        <v>3308</v>
      </c>
      <c r="F90" s="1">
        <f t="shared" ref="F90:J90" si="34">F75-F88</f>
        <v>4136</v>
      </c>
      <c r="G90" s="1">
        <f t="shared" si="34"/>
        <v>4502</v>
      </c>
      <c r="H90" s="1">
        <f t="shared" si="34"/>
        <v>5563</v>
      </c>
      <c r="I90" s="1">
        <f t="shared" si="34"/>
        <v>7024</v>
      </c>
      <c r="J90" s="1">
        <f t="shared" si="34"/>
        <v>9180</v>
      </c>
    </row>
  </sheetData>
  <mergeCells count="8">
    <mergeCell ref="D34:E34"/>
    <mergeCell ref="G25:G30"/>
    <mergeCell ref="I23:N23"/>
    <mergeCell ref="I22:N22"/>
    <mergeCell ref="E4:J4"/>
    <mergeCell ref="Y4:AD4"/>
    <mergeCell ref="K4:N4"/>
    <mergeCell ref="O4:X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7CFD-656C-4D76-AC0E-2296E2032322}">
  <dimension ref="B1:Q9"/>
  <sheetViews>
    <sheetView showGridLines="0" workbookViewId="0">
      <selection activeCell="L1" sqref="L1"/>
    </sheetView>
  </sheetViews>
  <sheetFormatPr defaultRowHeight="15" x14ac:dyDescent="0.25"/>
  <cols>
    <col min="1" max="1" width="1.85546875" customWidth="1"/>
  </cols>
  <sheetData>
    <row r="1" spans="2:17" ht="45" customHeight="1" x14ac:dyDescent="0.25">
      <c r="B1" s="199" t="s">
        <v>10</v>
      </c>
      <c r="C1" s="199"/>
      <c r="D1" s="199"/>
    </row>
    <row r="4" spans="2:17" x14ac:dyDescent="0.25">
      <c r="L4" s="32" t="s">
        <v>338</v>
      </c>
      <c r="M4" s="32"/>
      <c r="N4" s="113"/>
      <c r="O4" s="113"/>
      <c r="P4" s="113"/>
      <c r="Q4" s="113"/>
    </row>
    <row r="5" spans="2:17" x14ac:dyDescent="0.25">
      <c r="M5" s="1" t="s">
        <v>134</v>
      </c>
      <c r="N5" s="1" t="s">
        <v>51</v>
      </c>
      <c r="O5" s="1" t="s">
        <v>135</v>
      </c>
      <c r="P5" s="1" t="s">
        <v>50</v>
      </c>
    </row>
    <row r="6" spans="2:17" x14ac:dyDescent="0.25">
      <c r="L6" s="1" t="s">
        <v>130</v>
      </c>
      <c r="M6" s="25">
        <v>476.01960268945686</v>
      </c>
      <c r="N6" s="25">
        <v>476.01960268945686</v>
      </c>
      <c r="O6" s="25">
        <v>525.05191538156259</v>
      </c>
      <c r="P6" s="25">
        <v>525.05191538156259</v>
      </c>
    </row>
    <row r="7" spans="2:17" x14ac:dyDescent="0.25">
      <c r="L7" s="1" t="s">
        <v>131</v>
      </c>
      <c r="M7" s="25">
        <v>670.77068410696711</v>
      </c>
      <c r="N7" s="25">
        <v>670.77068410696711</v>
      </c>
      <c r="O7" s="25">
        <v>782.13069991523651</v>
      </c>
      <c r="P7" s="25">
        <v>782.13069991523651</v>
      </c>
    </row>
    <row r="8" spans="2:17" x14ac:dyDescent="0.25">
      <c r="L8" s="1" t="s">
        <v>132</v>
      </c>
      <c r="M8" s="25">
        <v>1282.3135620446492</v>
      </c>
      <c r="N8" s="25">
        <v>1282.3135620446492</v>
      </c>
      <c r="O8" s="25">
        <v>1812.8909183516284</v>
      </c>
      <c r="P8" s="25">
        <v>1812.8909183516284</v>
      </c>
    </row>
    <row r="9" spans="2:17" x14ac:dyDescent="0.25">
      <c r="L9" s="1" t="s">
        <v>133</v>
      </c>
      <c r="M9" s="25">
        <v>2320</v>
      </c>
      <c r="N9" s="25">
        <v>2320</v>
      </c>
      <c r="O9" s="25">
        <v>3887</v>
      </c>
      <c r="P9" s="25">
        <v>3887</v>
      </c>
    </row>
  </sheetData>
  <mergeCells count="1">
    <mergeCell ref="B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65E9-B31A-40B4-867A-8B359BCB26F4}">
  <dimension ref="B1:K23"/>
  <sheetViews>
    <sheetView showGridLines="0" zoomScale="91" zoomScaleNormal="91" workbookViewId="0">
      <selection activeCell="K7" sqref="K7"/>
    </sheetView>
  </sheetViews>
  <sheetFormatPr defaultRowHeight="15" x14ac:dyDescent="0.25"/>
  <cols>
    <col min="1" max="1" width="1.85546875" customWidth="1"/>
    <col min="2" max="2" width="30.7109375" customWidth="1"/>
    <col min="3" max="3" width="11.85546875" customWidth="1"/>
    <col min="4" max="4" width="12.28515625" customWidth="1"/>
    <col min="5" max="5" width="11" bestFit="1" customWidth="1"/>
    <col min="6" max="6" width="11.42578125" bestFit="1" customWidth="1"/>
    <col min="7" max="7" width="9.5703125" bestFit="1" customWidth="1"/>
    <col min="11" max="11" width="13.7109375" customWidth="1"/>
  </cols>
  <sheetData>
    <row r="1" spans="2:11" x14ac:dyDescent="0.25">
      <c r="B1" s="164" t="s">
        <v>10</v>
      </c>
      <c r="C1" s="164"/>
    </row>
    <row r="2" spans="2:11" x14ac:dyDescent="0.25">
      <c r="B2" s="164"/>
      <c r="C2" s="164"/>
    </row>
    <row r="3" spans="2:11" ht="24.75" customHeight="1" x14ac:dyDescent="0.25">
      <c r="B3" s="164"/>
      <c r="C3" s="164"/>
    </row>
    <row r="5" spans="2:11" x14ac:dyDescent="0.25">
      <c r="B5" s="33" t="s">
        <v>52</v>
      </c>
      <c r="C5" s="33"/>
      <c r="D5" s="32"/>
      <c r="E5" s="32"/>
      <c r="F5" s="32"/>
      <c r="G5" s="32"/>
      <c r="H5" s="32"/>
      <c r="I5" s="32"/>
      <c r="J5" s="32"/>
      <c r="K5" s="32"/>
    </row>
    <row r="6" spans="2:11" ht="5.25" customHeight="1" x14ac:dyDescent="0.25"/>
    <row r="7" spans="2:11" x14ac:dyDescent="0.25">
      <c r="B7" s="35" t="s">
        <v>53</v>
      </c>
      <c r="C7" s="35"/>
    </row>
    <row r="9" spans="2:11" x14ac:dyDescent="0.25">
      <c r="B9" s="36" t="s">
        <v>60</v>
      </c>
      <c r="C9" s="36"/>
      <c r="D9" s="36"/>
      <c r="G9" s="36" t="s">
        <v>57</v>
      </c>
      <c r="H9" s="36"/>
      <c r="I9" s="36"/>
      <c r="J9" s="36"/>
      <c r="K9" s="36"/>
    </row>
    <row r="11" spans="2:11" x14ac:dyDescent="0.25">
      <c r="B11" s="12"/>
      <c r="C11" s="12"/>
      <c r="D11" s="27"/>
      <c r="G11" t="s">
        <v>58</v>
      </c>
      <c r="K11" s="45">
        <v>7.0499999999999993E-2</v>
      </c>
    </row>
    <row r="12" spans="2:11" x14ac:dyDescent="0.25">
      <c r="B12" t="s">
        <v>61</v>
      </c>
      <c r="C12" s="44">
        <f>SUM(BS!J52,BS!J61:J62)</f>
        <v>9101</v>
      </c>
      <c r="D12" s="5">
        <f>C12/C14</f>
        <v>2.7211758972166326E-2</v>
      </c>
      <c r="G12" t="s">
        <v>59</v>
      </c>
      <c r="K12" s="6">
        <f>Rm!G6-WACC!K11</f>
        <v>9.7734782608695656E-2</v>
      </c>
    </row>
    <row r="13" spans="2:11" x14ac:dyDescent="0.25">
      <c r="B13" t="s">
        <v>12</v>
      </c>
      <c r="C13" s="44">
        <f>IS!J49*3615</f>
        <v>325350</v>
      </c>
      <c r="D13" s="5">
        <f>C13/$C$14</f>
        <v>0.97278824102783368</v>
      </c>
      <c r="G13" t="s">
        <v>328</v>
      </c>
      <c r="K13" s="25">
        <f>Beta!L12</f>
        <v>1.1239347589173712</v>
      </c>
    </row>
    <row r="14" spans="2:11" x14ac:dyDescent="0.25">
      <c r="B14" s="10" t="s">
        <v>62</v>
      </c>
      <c r="C14" s="105">
        <f>SUM(C12:C13)</f>
        <v>334451</v>
      </c>
      <c r="D14" s="17">
        <f>C14/$C$14</f>
        <v>1</v>
      </c>
      <c r="G14" s="10" t="s">
        <v>57</v>
      </c>
      <c r="H14" s="10"/>
      <c r="I14" s="10"/>
      <c r="J14" s="10"/>
      <c r="K14" s="50">
        <f>K11+K12*K13</f>
        <v>0.18034751932914603</v>
      </c>
    </row>
    <row r="16" spans="2:11" x14ac:dyDescent="0.25">
      <c r="B16" t="s">
        <v>64</v>
      </c>
      <c r="D16" s="6">
        <f>D12/D13</f>
        <v>2.7972952205317349E-2</v>
      </c>
    </row>
    <row r="18" spans="2:11" x14ac:dyDescent="0.25">
      <c r="B18" s="35"/>
      <c r="G18" s="36" t="s">
        <v>52</v>
      </c>
      <c r="H18" s="36"/>
      <c r="I18" s="36"/>
      <c r="J18" s="36"/>
      <c r="K18" s="36"/>
    </row>
    <row r="19" spans="2:11" x14ac:dyDescent="0.25">
      <c r="B19" s="38"/>
    </row>
    <row r="20" spans="2:11" x14ac:dyDescent="0.25">
      <c r="B20" s="38"/>
      <c r="J20" s="37" t="s">
        <v>66</v>
      </c>
      <c r="K20" s="37" t="s">
        <v>67</v>
      </c>
    </row>
    <row r="21" spans="2:11" x14ac:dyDescent="0.25">
      <c r="B21" s="38"/>
      <c r="G21" t="s">
        <v>65</v>
      </c>
      <c r="J21" s="6">
        <f>IS!J31/(BS!J52+BS!J61+BS!J62)</f>
        <v>3.2963410614218216E-2</v>
      </c>
      <c r="K21" s="6">
        <f>D12</f>
        <v>2.7211758972166326E-2</v>
      </c>
    </row>
    <row r="22" spans="2:11" x14ac:dyDescent="0.25">
      <c r="B22" s="38"/>
      <c r="G22" t="s">
        <v>55</v>
      </c>
      <c r="J22" s="6">
        <f>K14</f>
        <v>0.18034751932914603</v>
      </c>
      <c r="K22" s="6">
        <f>D13</f>
        <v>0.97278824102783368</v>
      </c>
    </row>
    <row r="23" spans="2:11" x14ac:dyDescent="0.25">
      <c r="G23" s="26" t="s">
        <v>52</v>
      </c>
      <c r="H23" s="10"/>
      <c r="I23" s="10"/>
      <c r="J23" s="10"/>
      <c r="K23" s="106">
        <f>SUMPRODUCT(J21:J22,K21:K22)</f>
        <v>0.17633693848646786</v>
      </c>
    </row>
  </sheetData>
  <mergeCells count="1">
    <mergeCell ref="B1:C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50B61-E987-4A14-BB1C-D1964162A41B}">
  <dimension ref="A1:P38"/>
  <sheetViews>
    <sheetView showGridLines="0" zoomScale="89" zoomScaleNormal="89" workbookViewId="0">
      <pane ySplit="4" topLeftCell="A5" activePane="bottomLeft" state="frozen"/>
      <selection pane="bottomLeft"/>
    </sheetView>
  </sheetViews>
  <sheetFormatPr defaultRowHeight="15" x14ac:dyDescent="0.25"/>
  <cols>
    <col min="1" max="1" width="1.85546875" customWidth="1"/>
    <col min="2" max="2" width="9.140625" customWidth="1"/>
    <col min="8" max="8" width="10.5703125" customWidth="1"/>
    <col min="10" max="10" width="10.5703125" customWidth="1"/>
    <col min="14" max="14" width="18" customWidth="1"/>
  </cols>
  <sheetData>
    <row r="1" spans="1:16" ht="53.25" customHeight="1" x14ac:dyDescent="0.3">
      <c r="B1" s="165" t="s">
        <v>10</v>
      </c>
      <c r="C1" s="165"/>
      <c r="D1" s="165"/>
      <c r="E1" s="165"/>
    </row>
    <row r="2" spans="1:16" ht="7.5" customHeight="1" x14ac:dyDescent="0.25"/>
    <row r="3" spans="1:16" x14ac:dyDescent="0.25">
      <c r="B3" s="107" t="s">
        <v>337</v>
      </c>
      <c r="C3" s="107"/>
      <c r="D3" s="107"/>
      <c r="E3" s="107"/>
      <c r="F3" s="107"/>
      <c r="G3" s="107"/>
      <c r="H3" s="107"/>
      <c r="I3" s="107"/>
      <c r="J3" s="107"/>
      <c r="K3" s="107"/>
      <c r="L3" s="107"/>
      <c r="M3" s="107"/>
      <c r="N3" s="107"/>
      <c r="O3" s="107"/>
      <c r="P3" s="107"/>
    </row>
    <row r="4" spans="1:16" x14ac:dyDescent="0.25">
      <c r="B4" s="2" t="s">
        <v>13</v>
      </c>
      <c r="C4" s="2"/>
      <c r="D4" s="3">
        <f>IS!E4</f>
        <v>43190</v>
      </c>
      <c r="E4" s="3">
        <f>IS!F4</f>
        <v>43555</v>
      </c>
      <c r="F4" s="3">
        <f>IS!G4</f>
        <v>43921</v>
      </c>
      <c r="G4" s="3">
        <f>IS!H4</f>
        <v>44286</v>
      </c>
      <c r="H4" s="3">
        <f>IS!I4</f>
        <v>44651</v>
      </c>
      <c r="I4" s="3">
        <f>IS!J4</f>
        <v>45016</v>
      </c>
      <c r="J4" s="195">
        <f>IS!K4</f>
        <v>45382</v>
      </c>
      <c r="K4" s="195">
        <f>IS!L4</f>
        <v>45747</v>
      </c>
      <c r="L4" s="195">
        <f>IS!M4</f>
        <v>46112</v>
      </c>
      <c r="M4" s="195">
        <f>IS!N4</f>
        <v>46477</v>
      </c>
      <c r="N4" s="31" t="s">
        <v>21</v>
      </c>
      <c r="O4" s="31" t="s">
        <v>46</v>
      </c>
      <c r="P4" s="31" t="s">
        <v>47</v>
      </c>
    </row>
    <row r="5" spans="1:16" ht="4.5" customHeight="1" x14ac:dyDescent="0.25"/>
    <row r="6" spans="1:16" x14ac:dyDescent="0.25">
      <c r="A6" t="s">
        <v>14</v>
      </c>
      <c r="B6" s="26" t="s">
        <v>4</v>
      </c>
      <c r="C6" s="10"/>
      <c r="D6" s="10"/>
      <c r="E6" s="14">
        <f>IS!F10/IS!E10-1</f>
        <v>0.22880886426592806</v>
      </c>
      <c r="F6" s="14">
        <f>IS!G10/IS!F10-1</f>
        <v>6.2268309788598319E-2</v>
      </c>
      <c r="G6" s="14">
        <f>IS!H10/IS!G10-1</f>
        <v>2.9474180617778734E-2</v>
      </c>
      <c r="H6" s="14">
        <f>IS!I10/IS!H10-1</f>
        <v>0.32995877233165372</v>
      </c>
      <c r="I6" s="14">
        <f>IS!J10/IS!I10-1</f>
        <v>0.40815623600730211</v>
      </c>
      <c r="J6" s="14">
        <f>IS!K10/IS!J10-1</f>
        <v>0.25802105784761853</v>
      </c>
      <c r="K6" s="14">
        <f>IS!L10/IS!K10-1</f>
        <v>0.28141882573460775</v>
      </c>
      <c r="L6" s="14">
        <f>IS!M10/IS!L10-1</f>
        <v>0.24009170297571969</v>
      </c>
      <c r="M6" s="14">
        <f>IS!N10/IS!M10-1</f>
        <v>0.21411457007595835</v>
      </c>
      <c r="N6" s="10"/>
      <c r="O6" s="15">
        <f>AVERAGE(E6:M6)</f>
        <v>0.22803472440501837</v>
      </c>
      <c r="P6" s="17">
        <f>MEDIAN(D6:M6)</f>
        <v>0.24009170297571969</v>
      </c>
    </row>
    <row r="7" spans="1:16" x14ac:dyDescent="0.25">
      <c r="B7" s="1" t="s">
        <v>23</v>
      </c>
      <c r="E7" s="16">
        <f>IS!F19/IS!E19-1</f>
        <v>0.23082025204510281</v>
      </c>
      <c r="F7" s="16">
        <f>IS!G19/IS!F19-1</f>
        <v>8.6761271780132931E-2</v>
      </c>
      <c r="G7" s="16">
        <f>IS!H19/IS!G19-1</f>
        <v>-0.10479338842975205</v>
      </c>
      <c r="H7" s="16">
        <f>IS!I19/IS!H19-1</f>
        <v>0.36484490398818314</v>
      </c>
      <c r="I7" s="16">
        <f>IS!J19/IS!I19-1</f>
        <v>0.42424242424242431</v>
      </c>
      <c r="J7" s="16">
        <f>IS!K19/IS!J19-1</f>
        <v>0.25973753014490208</v>
      </c>
      <c r="K7" s="16">
        <f>IS!L19/IS!K19-1</f>
        <v>0.28269654097364993</v>
      </c>
      <c r="L7" s="16">
        <f>IS!M19/IS!L19-1</f>
        <v>0.24242275573403327</v>
      </c>
      <c r="M7" s="16">
        <f>IS!N19/IS!M19-1</f>
        <v>0.21729803739937381</v>
      </c>
      <c r="O7" s="6">
        <f>AVERAGE(E7:M7)</f>
        <v>0.22267003643089447</v>
      </c>
      <c r="P7" s="18">
        <f>MEDIAN(D7:M7)</f>
        <v>0.24242275573403327</v>
      </c>
    </row>
    <row r="8" spans="1:16" x14ac:dyDescent="0.25">
      <c r="B8" s="1" t="s">
        <v>22</v>
      </c>
      <c r="E8" s="16">
        <f>IS!F24/IS!E24-1</f>
        <v>0.25374855824682818</v>
      </c>
      <c r="F8" s="16">
        <f>IS!G24/IS!F24-1</f>
        <v>0.2056117755289788</v>
      </c>
      <c r="G8" s="16">
        <f>IS!H24/IS!G24-1</f>
        <v>-0.27127050743990844</v>
      </c>
      <c r="H8" s="16">
        <f>IS!I24/IS!H24-1</f>
        <v>0.87172774869109948</v>
      </c>
      <c r="I8" s="16">
        <f>IS!J24/IS!I24-1</f>
        <v>0.45090909090909093</v>
      </c>
      <c r="J8" s="16">
        <f>IS!K24/IS!J24-1</f>
        <v>0.26211796142368837</v>
      </c>
      <c r="K8" s="16">
        <f>IS!L24/IS!K24-1</f>
        <v>0.28446274506996216</v>
      </c>
      <c r="L8" s="16">
        <f>IS!M24/IS!L24-1</f>
        <v>0.24563736730593688</v>
      </c>
      <c r="M8" s="16">
        <f>IS!N24/IS!M24-1</f>
        <v>0.22166861636276658</v>
      </c>
      <c r="O8" s="6">
        <f t="shared" ref="O8:O9" si="0">AVERAGE(E8:M8)</f>
        <v>0.28051259512204918</v>
      </c>
      <c r="P8" s="18">
        <f>MEDIAN(D8:M8)</f>
        <v>0.25374855824682818</v>
      </c>
    </row>
    <row r="9" spans="1:16" x14ac:dyDescent="0.25">
      <c r="B9" s="1" t="s">
        <v>24</v>
      </c>
      <c r="E9" s="16">
        <f>IS!F42/IS!E42-1</f>
        <v>0.25912014733766986</v>
      </c>
      <c r="F9" s="16">
        <f>IS!G42/IS!F42-1</f>
        <v>7.6471351164399293E-2</v>
      </c>
      <c r="G9" s="16">
        <f>IS!H42/IS!G42-1</f>
        <v>-0.34804581082618791</v>
      </c>
      <c r="H9" s="16">
        <f>IS!I42/IS!H42-1</f>
        <v>1.2566735112936347</v>
      </c>
      <c r="I9" s="16">
        <f>IS!J42/IS!I42-1</f>
        <v>0.48953594176524118</v>
      </c>
      <c r="J9" s="16">
        <f>IS!K42/IS!J42-1</f>
        <v>0.26881162021969551</v>
      </c>
      <c r="K9" s="16">
        <f>IS!L42/IS!K42-1</f>
        <v>0.29996894251814199</v>
      </c>
      <c r="L9" s="16">
        <f>IS!M42/IS!L42-1</f>
        <v>0.25632876121262038</v>
      </c>
      <c r="M9" s="16">
        <f>IS!N42/IS!M42-1</f>
        <v>0.22973714457716388</v>
      </c>
      <c r="O9" s="6">
        <f t="shared" si="0"/>
        <v>0.30984462325137546</v>
      </c>
      <c r="P9" s="18">
        <f t="shared" ref="P9" si="1">MEDIAN(D9:M9)</f>
        <v>0.25912014733766986</v>
      </c>
    </row>
    <row r="10" spans="1:16" x14ac:dyDescent="0.25">
      <c r="B10" s="1"/>
    </row>
    <row r="11" spans="1:16" x14ac:dyDescent="0.25">
      <c r="A11" t="s">
        <v>14</v>
      </c>
      <c r="B11" s="26" t="s">
        <v>25</v>
      </c>
      <c r="C11" s="10"/>
      <c r="D11" s="14">
        <f>IS!E19/IS!E10</f>
        <v>0.27842413050169285</v>
      </c>
      <c r="E11" s="14">
        <f>IS!F19/IS!F10</f>
        <v>0.27887987175633705</v>
      </c>
      <c r="F11" s="14">
        <f>IS!G19/IS!G10</f>
        <v>0.28531006838009904</v>
      </c>
      <c r="G11" s="14">
        <f>IS!H19/IS!H10</f>
        <v>0.24809894640403116</v>
      </c>
      <c r="H11" s="14">
        <f>IS!I19/IS!I10</f>
        <v>0.25460682671442841</v>
      </c>
      <c r="I11" s="14">
        <f>IS!J19/IS!J10</f>
        <v>0.25751534867793457</v>
      </c>
      <c r="J11" s="14">
        <f>IS!K19/IS!K10</f>
        <v>0.25786670842614678</v>
      </c>
      <c r="K11" s="14">
        <f>IS!L19/IS!L10</f>
        <v>0.25812382984217475</v>
      </c>
      <c r="L11" s="14">
        <f>IS!M19/IS!M10</f>
        <v>0.25860903610885339</v>
      </c>
      <c r="M11" s="14">
        <f>IS!N19/IS!N10</f>
        <v>0.25928712155176264</v>
      </c>
      <c r="N11" s="10"/>
      <c r="O11" s="15">
        <f>AVERAGE(D11:M11)</f>
        <v>0.26367218883634602</v>
      </c>
      <c r="P11" s="17">
        <f>MEDIAN(D11:M11)</f>
        <v>0.25836643297551409</v>
      </c>
    </row>
    <row r="12" spans="1:16" x14ac:dyDescent="0.25">
      <c r="B12" s="1" t="s">
        <v>18</v>
      </c>
      <c r="D12" s="16">
        <f>IS!E24/IS!E10</f>
        <v>0.10674053554939981</v>
      </c>
      <c r="E12" s="16">
        <f>IS!F24/IS!F10</f>
        <v>0.10890692315399259</v>
      </c>
      <c r="F12" s="16">
        <f>IS!G24/IS!G10</f>
        <v>0.12360292383871728</v>
      </c>
      <c r="G12" s="16">
        <f>IS!H24/IS!H10</f>
        <v>8.7494273934951905E-2</v>
      </c>
      <c r="H12" s="16">
        <f>IS!I24/IS!I10</f>
        <v>0.12313574208659112</v>
      </c>
      <c r="I12" s="16">
        <f>IS!J24/IS!J10</f>
        <v>0.12687425091113666</v>
      </c>
      <c r="J12" s="16">
        <f>IS!K24/IS!K10</f>
        <v>0.12728743284400379</v>
      </c>
      <c r="K12" s="16">
        <f>IS!L24/IS!L10</f>
        <v>0.12758979509294247</v>
      </c>
      <c r="L12" s="16">
        <f>IS!M24/IS!M10</f>
        <v>0.12816037400565414</v>
      </c>
      <c r="M12" s="16">
        <f>IS!N24/IS!N10</f>
        <v>0.12895776942552195</v>
      </c>
      <c r="O12" s="6">
        <f t="shared" ref="O12:O14" si="2">AVERAGE(D12:M12)</f>
        <v>0.11887500208429116</v>
      </c>
      <c r="P12" s="18">
        <f t="shared" ref="P12:P14" si="3">MEDIAN(D12:M12)</f>
        <v>0.12523858737492696</v>
      </c>
    </row>
    <row r="13" spans="1:16" x14ac:dyDescent="0.25">
      <c r="B13" s="1" t="s">
        <v>26</v>
      </c>
      <c r="D13" s="16">
        <f>IS!E29/IS!E10</f>
        <v>9.8676515851031085E-2</v>
      </c>
      <c r="E13" s="16">
        <f>IS!F29/IS!F10</f>
        <v>0.10074140867648532</v>
      </c>
      <c r="F13" s="16">
        <f>IS!G29/IS!G10</f>
        <v>0.10719170007073803</v>
      </c>
      <c r="G13" s="16">
        <f>IS!H29/IS!H10</f>
        <v>7.0316078790655059E-2</v>
      </c>
      <c r="H13" s="16">
        <f>IS!I29/IS!I10</f>
        <v>0.10939275996280096</v>
      </c>
      <c r="I13" s="16">
        <f>IS!J29/IS!J10</f>
        <v>0.11608737127901572</v>
      </c>
      <c r="J13" s="16">
        <f>IS!K29/IS!K10</f>
        <v>0.1148959637033266</v>
      </c>
      <c r="K13" s="16">
        <f>IS!L29/IS!L10</f>
        <v>0.11519832595226527</v>
      </c>
      <c r="L13" s="16">
        <f>IS!M29/IS!M10</f>
        <v>0.11576890486497694</v>
      </c>
      <c r="M13" s="16">
        <f>IS!N29/IS!N10</f>
        <v>0.11656630028484476</v>
      </c>
      <c r="O13" s="6">
        <f t="shared" si="2"/>
        <v>0.10648353294361397</v>
      </c>
      <c r="P13" s="18">
        <f t="shared" si="3"/>
        <v>0.11214436183306378</v>
      </c>
    </row>
    <row r="14" spans="1:16" x14ac:dyDescent="0.25">
      <c r="B14" s="27" t="s">
        <v>27</v>
      </c>
      <c r="C14" s="12"/>
      <c r="D14" s="19">
        <f>IS!E42/IS!E7</f>
        <v>6.8224189155731613E-2</v>
      </c>
      <c r="E14" s="19">
        <f>IS!F42/IS!F7</f>
        <v>7.0167349208756752E-2</v>
      </c>
      <c r="F14" s="19">
        <f>IS!G42/IS!G7</f>
        <v>7.0965703971119121E-2</v>
      </c>
      <c r="G14" s="19">
        <f>IS!H42/IS!H7</f>
        <v>4.5000924043614859E-2</v>
      </c>
      <c r="H14" s="19">
        <f>IS!I42/IS!I7</f>
        <v>7.632209451717073E-2</v>
      </c>
      <c r="I14" s="19">
        <f>IS!J42/IS!J7</f>
        <v>8.0690080098582875E-2</v>
      </c>
      <c r="J14" s="19">
        <f>IS!K42/IS!K7</f>
        <v>8.1420722038069479E-2</v>
      </c>
      <c r="K14" s="19">
        <f>IS!L42/IS!L7</f>
        <v>8.2628014851641368E-2</v>
      </c>
      <c r="L14" s="19">
        <f>IS!M42/IS!M7</f>
        <v>8.3764683545377139E-2</v>
      </c>
      <c r="M14" s="19">
        <f>IS!N42/IS!N7</f>
        <v>8.4920191593646902E-2</v>
      </c>
      <c r="N14" s="12"/>
      <c r="O14" s="20">
        <f t="shared" si="2"/>
        <v>7.4410395302371091E-2</v>
      </c>
      <c r="P14" s="21">
        <f t="shared" si="3"/>
        <v>7.850608730787681E-2</v>
      </c>
    </row>
    <row r="15" spans="1:16" x14ac:dyDescent="0.25">
      <c r="B15" s="1"/>
    </row>
    <row r="16" spans="1:16" x14ac:dyDescent="0.25">
      <c r="A16" t="s">
        <v>14</v>
      </c>
      <c r="B16" s="26" t="s">
        <v>28</v>
      </c>
      <c r="C16" s="10"/>
      <c r="D16" s="14">
        <f>SUM(IS!E22:E23)/IS!E10</f>
        <v>0.17168359495229302</v>
      </c>
      <c r="E16" s="14">
        <f>SUM(IS!F22:F23)/IS!F10</f>
        <v>0.16997294860234446</v>
      </c>
      <c r="F16" s="14">
        <f>SUM(IS!G22:G23)/IS!G10</f>
        <v>0.16170714454138174</v>
      </c>
      <c r="G16" s="14">
        <f>SUM(IS!H22:H23)/IS!H10</f>
        <v>0.16060467246907925</v>
      </c>
      <c r="H16" s="14">
        <f>SUM(IS!I22:I23)/IS!I10</f>
        <v>0.1314710846278373</v>
      </c>
      <c r="I16" s="14">
        <f>SUM(IS!J22:J23)/IS!J10</f>
        <v>0.13064109776679794</v>
      </c>
      <c r="J16" s="14">
        <f>SUM(IS!K22:K23)/IS!K10</f>
        <v>0.130579275582143</v>
      </c>
      <c r="K16" s="14">
        <f>SUM(IS!L22:L23)/IS!L10</f>
        <v>0.13053403474923225</v>
      </c>
      <c r="L16" s="14">
        <f>SUM(IS!M22:M23)/IS!M10</f>
        <v>0.13044866210319928</v>
      </c>
      <c r="M16" s="14">
        <f>SUM(IS!N22:N23)/IS!N10</f>
        <v>0.13032935212624069</v>
      </c>
      <c r="N16" s="10"/>
      <c r="O16" s="15">
        <f>AVERAGE(D16:M16)</f>
        <v>0.14479718675205491</v>
      </c>
      <c r="P16" s="17">
        <f t="shared" ref="P16:P18" si="4">MEDIAN(D16:M16)</f>
        <v>0.13105609119731762</v>
      </c>
    </row>
    <row r="17" spans="1:16" x14ac:dyDescent="0.25">
      <c r="B17" s="1" t="s">
        <v>29</v>
      </c>
      <c r="D17" s="16">
        <f>IS!E27/IS!E10</f>
        <v>8.0640196983687296E-3</v>
      </c>
      <c r="E17" s="16">
        <f>IS!F27/IS!F10</f>
        <v>8.1655144775072633E-3</v>
      </c>
      <c r="F17" s="16">
        <f>IS!G27/IS!G10</f>
        <v>1.6411223767979249E-2</v>
      </c>
      <c r="G17" s="16">
        <f>IS!H27/IS!H10</f>
        <v>1.7178195144296839E-2</v>
      </c>
      <c r="H17" s="16">
        <f>IS!I27/IS!I10</f>
        <v>1.374298212379017E-2</v>
      </c>
      <c r="I17" s="16">
        <f>IS!J27/IS!J10</f>
        <v>1.0786879632120931E-2</v>
      </c>
      <c r="J17" s="16">
        <f>IS!K27/IS!K10</f>
        <v>1.2391469140677194E-2</v>
      </c>
      <c r="K17" s="16">
        <f>IS!L27/IS!L10</f>
        <v>1.2391469140677194E-2</v>
      </c>
      <c r="L17" s="16">
        <f>IS!M27/IS!M10</f>
        <v>1.2391469140677194E-2</v>
      </c>
      <c r="M17" s="16">
        <f>IS!N27/IS!N10</f>
        <v>1.2391469140677194E-2</v>
      </c>
      <c r="O17" s="6">
        <f t="shared" ref="O17:O18" si="5">AVERAGE(D17:M17)</f>
        <v>1.2391469140677194E-2</v>
      </c>
      <c r="P17" s="18">
        <f t="shared" si="4"/>
        <v>1.2391469140677194E-2</v>
      </c>
    </row>
    <row r="18" spans="1:16" x14ac:dyDescent="0.25">
      <c r="B18" s="27" t="s">
        <v>30</v>
      </c>
      <c r="C18" s="12"/>
      <c r="D18" s="16">
        <f>IS!E24/IS!E10</f>
        <v>0.10674053554939981</v>
      </c>
      <c r="E18" s="16">
        <f>IS!F24/IS!F10</f>
        <v>0.10890692315399259</v>
      </c>
      <c r="F18" s="16">
        <f>IS!G24/IS!G10</f>
        <v>0.12360292383871728</v>
      </c>
      <c r="G18" s="16">
        <f>IS!H24/IS!H10</f>
        <v>8.7494273934951905E-2</v>
      </c>
      <c r="H18" s="16">
        <f>IS!I24/IS!I10</f>
        <v>0.12313574208659112</v>
      </c>
      <c r="I18" s="16">
        <f>IS!J24/IS!J10</f>
        <v>0.12687425091113666</v>
      </c>
      <c r="J18" s="16">
        <f>IS!K24/IS!K10</f>
        <v>0.12728743284400379</v>
      </c>
      <c r="K18" s="16">
        <f>IS!L24/IS!L10</f>
        <v>0.12758979509294247</v>
      </c>
      <c r="L18" s="16">
        <f>IS!M24/IS!M10</f>
        <v>0.12816037400565414</v>
      </c>
      <c r="M18" s="16">
        <f>IS!N24/IS!N10</f>
        <v>0.12895776942552195</v>
      </c>
      <c r="N18" s="12"/>
      <c r="O18" s="20">
        <f t="shared" si="5"/>
        <v>0.11887500208429116</v>
      </c>
      <c r="P18" s="21">
        <f t="shared" si="4"/>
        <v>0.12523858737492696</v>
      </c>
    </row>
    <row r="19" spans="1:16" x14ac:dyDescent="0.25">
      <c r="B19" s="1"/>
      <c r="O19" s="6"/>
      <c r="P19" s="7"/>
    </row>
    <row r="20" spans="1:16" x14ac:dyDescent="0.25">
      <c r="A20" t="s">
        <v>14</v>
      </c>
      <c r="B20" s="26" t="s">
        <v>31</v>
      </c>
      <c r="C20" s="10"/>
      <c r="D20" s="14">
        <f>IS!E29/SUM(BS!E47,BS!E57)</f>
        <v>0.30779569892473119</v>
      </c>
      <c r="E20" s="14">
        <f>IS!F29/SUM(BS!F47,BS!F57)</f>
        <v>0.32160562929793701</v>
      </c>
      <c r="F20" s="14">
        <f>IS!G29/SUM(BS!G47,BS!G57)</f>
        <v>0.28688628044932474</v>
      </c>
      <c r="G20" s="14">
        <f>IS!H29/SUM(BS!H47,BS!H57)</f>
        <v>0.17566948958571754</v>
      </c>
      <c r="H20" s="14">
        <f>IS!I29/SUM(BS!I47,BS!I57)</f>
        <v>0.29732259876427636</v>
      </c>
      <c r="I20" s="14">
        <f>IS!J29/SUM(BS!J47,BS!J57)</f>
        <v>0.34493785885602152</v>
      </c>
      <c r="J20" s="14"/>
      <c r="K20" s="14"/>
      <c r="L20" s="14"/>
      <c r="M20" s="14"/>
      <c r="N20" s="10"/>
      <c r="O20" s="15">
        <f>AVERAGE(D20:I20)</f>
        <v>0.28903625931300142</v>
      </c>
      <c r="P20" s="15">
        <f>MEDIAN(D20:I20)</f>
        <v>0.30255914884450374</v>
      </c>
    </row>
    <row r="21" spans="1:16" x14ac:dyDescent="0.25">
      <c r="B21" s="1" t="s">
        <v>32</v>
      </c>
      <c r="D21" s="16">
        <f>IS!E42/SUM(BS!E47)</f>
        <v>0.21663325471698114</v>
      </c>
      <c r="E21" s="16">
        <f>IS!F42/SUM(BS!F47)</f>
        <v>0.22811308349769888</v>
      </c>
      <c r="F21" s="16">
        <f>IS!G42/SUM(BS!G47)</f>
        <v>0.22388281132923721</v>
      </c>
      <c r="G21" s="16">
        <f>IS!H42/SUM(BS!H47)</f>
        <v>0.12983204478805652</v>
      </c>
      <c r="H21" s="16">
        <f>IS!I42/SUM(BS!I47)</f>
        <v>0.23550841101467909</v>
      </c>
      <c r="I21" s="16">
        <f>IS!J42/SUM(BS!J47)</f>
        <v>0.27503360215053763</v>
      </c>
      <c r="J21" s="16"/>
      <c r="K21" s="16"/>
      <c r="L21" s="16"/>
      <c r="M21" s="16"/>
      <c r="O21" s="192">
        <f t="shared" ref="O21:O28" si="6">AVERAGE(D21:I21)</f>
        <v>0.21816720124953171</v>
      </c>
      <c r="P21" s="192">
        <f t="shared" ref="P21:P28" si="7">MEDIAN(D21:I21)</f>
        <v>0.22599794741346804</v>
      </c>
    </row>
    <row r="22" spans="1:16" x14ac:dyDescent="0.25">
      <c r="B22" s="27" t="s">
        <v>33</v>
      </c>
      <c r="C22" s="12"/>
      <c r="D22" s="13">
        <f>IS!E29/IS!E31</f>
        <v>30.245283018867923</v>
      </c>
      <c r="E22" s="13">
        <f>IS!F29/IS!F31</f>
        <v>37.943396226415096</v>
      </c>
      <c r="F22" s="13">
        <f>IS!G29/IS!G31</f>
        <v>13.69277108433735</v>
      </c>
      <c r="G22" s="13">
        <f>IS!H29/IS!H31</f>
        <v>7.5615763546798034</v>
      </c>
      <c r="H22" s="13">
        <f>IS!I29/IS!I31</f>
        <v>14.568807339449542</v>
      </c>
      <c r="I22" s="13">
        <f>IS!J29/IS!J31</f>
        <v>15.82</v>
      </c>
      <c r="J22" s="13"/>
      <c r="K22" s="13"/>
      <c r="L22" s="13"/>
      <c r="M22" s="13"/>
      <c r="N22" s="12"/>
      <c r="O22" s="13">
        <f t="shared" si="6"/>
        <v>19.971972337291618</v>
      </c>
      <c r="P22" s="13">
        <f t="shared" si="7"/>
        <v>15.194403669724771</v>
      </c>
    </row>
    <row r="24" spans="1:16" x14ac:dyDescent="0.25">
      <c r="A24" t="s">
        <v>14</v>
      </c>
      <c r="B24" s="26" t="s">
        <v>34</v>
      </c>
      <c r="C24" s="10"/>
      <c r="D24" s="11">
        <f>BS!E79</f>
        <v>54.581081081081081</v>
      </c>
      <c r="E24" s="11">
        <f>BS!F79</f>
        <v>47.092857142857142</v>
      </c>
      <c r="F24" s="11">
        <f>BS!G79</f>
        <v>67.474358974358978</v>
      </c>
      <c r="G24" s="11">
        <f>BS!H79</f>
        <v>59.136612021857921</v>
      </c>
      <c r="H24" s="11">
        <f>BS!I79</f>
        <v>50.971681415929204</v>
      </c>
      <c r="I24" s="11">
        <f>BS!J79</f>
        <v>60.200296735905042</v>
      </c>
      <c r="J24" s="11"/>
      <c r="K24" s="11"/>
      <c r="L24" s="11"/>
      <c r="M24" s="11"/>
      <c r="N24" s="10"/>
      <c r="O24" s="11">
        <f t="shared" si="6"/>
        <v>56.576147895331566</v>
      </c>
      <c r="P24" s="11">
        <f t="shared" si="7"/>
        <v>56.858846551469497</v>
      </c>
    </row>
    <row r="25" spans="1:16" x14ac:dyDescent="0.25">
      <c r="B25" s="1" t="s">
        <v>35</v>
      </c>
      <c r="D25" s="8">
        <f>BS!E80</f>
        <v>13.350797266514807</v>
      </c>
      <c r="E25" s="8">
        <f>BS!F80</f>
        <v>15.888520971302428</v>
      </c>
      <c r="F25" s="8">
        <f>BS!G80</f>
        <v>25.427852348993287</v>
      </c>
      <c r="G25" s="8">
        <f>BS!H80</f>
        <v>20.803548795944234</v>
      </c>
      <c r="H25" s="8">
        <f>BS!I80</f>
        <v>16.724111282843896</v>
      </c>
      <c r="I25" s="8">
        <f>BS!J80</f>
        <v>25.004118616144975</v>
      </c>
      <c r="J25" s="8"/>
      <c r="K25" s="8"/>
      <c r="L25" s="8"/>
      <c r="M25" s="8"/>
      <c r="O25" s="193">
        <f t="shared" si="6"/>
        <v>19.533158213623938</v>
      </c>
      <c r="P25" s="193">
        <f t="shared" si="7"/>
        <v>18.763830039394065</v>
      </c>
    </row>
    <row r="26" spans="1:16" x14ac:dyDescent="0.25">
      <c r="B26" s="1" t="s">
        <v>36</v>
      </c>
      <c r="D26" s="8">
        <f>BS!E78</f>
        <v>1.9783966244725739</v>
      </c>
      <c r="E26" s="8">
        <f>BS!F78</f>
        <v>2.0450348060804093</v>
      </c>
      <c r="F26" s="8">
        <f>BS!G78</f>
        <v>1.8702949524867334</v>
      </c>
      <c r="G26" s="8">
        <f>BS!H78</f>
        <v>1.9521883920076117</v>
      </c>
      <c r="H26" s="8">
        <f>BS!I78</f>
        <v>1.5901976633110442</v>
      </c>
      <c r="I26" s="8">
        <f>BS!J78</f>
        <v>1.8343606478124244</v>
      </c>
      <c r="J26" s="8"/>
      <c r="K26" s="8"/>
      <c r="L26" s="8"/>
      <c r="M26" s="8"/>
      <c r="O26" s="193">
        <f t="shared" si="6"/>
        <v>1.878412181028466</v>
      </c>
      <c r="P26" s="193">
        <f t="shared" si="7"/>
        <v>1.9112416722471726</v>
      </c>
    </row>
    <row r="27" spans="1:16" x14ac:dyDescent="0.25">
      <c r="B27" s="1" t="s">
        <v>37</v>
      </c>
      <c r="D27" s="8"/>
      <c r="E27" s="8"/>
      <c r="F27" s="8">
        <f>IS!G10/BS!G10</f>
        <v>16.501945525291831</v>
      </c>
      <c r="G27" s="8">
        <f>IS!H10/BS!H10</f>
        <v>17.952302631578949</v>
      </c>
      <c r="H27" s="8">
        <f>IS!I10/BS!I10</f>
        <v>23.836617405582924</v>
      </c>
      <c r="I27" s="8">
        <f>IS!J10/BS!J10</f>
        <v>30.441548771407298</v>
      </c>
      <c r="J27" s="8"/>
      <c r="K27" s="8"/>
      <c r="L27" s="8"/>
      <c r="M27" s="8"/>
      <c r="O27" s="193">
        <f>AVERAGE(F27:I27)</f>
        <v>22.18310358346525</v>
      </c>
      <c r="P27" s="193">
        <f>MEDIAN(F27:I27)</f>
        <v>20.894460018580936</v>
      </c>
    </row>
    <row r="28" spans="1:16" x14ac:dyDescent="0.25">
      <c r="B28" s="27" t="s">
        <v>38</v>
      </c>
      <c r="C28" s="12"/>
      <c r="D28" s="13">
        <f>IS!E7/SUM(BS!E47)</f>
        <v>3.175314465408805</v>
      </c>
      <c r="E28" s="13">
        <f>IS!F7/SUM(BS!F47)</f>
        <v>3.2509861932938855</v>
      </c>
      <c r="F28" s="13">
        <f>IS!G7/SUM(BS!G47)</f>
        <v>3.1548029372096509</v>
      </c>
      <c r="G28" s="13">
        <f>IS!H7/SUM(BS!H47)</f>
        <v>2.8850973073846973</v>
      </c>
      <c r="H28" s="13">
        <f>IS!I7/SUM(BS!I47)</f>
        <v>3.0857173470481087</v>
      </c>
      <c r="I28" s="13">
        <f>IS!J7/SUM(BS!J47)</f>
        <v>3.4085181451612905</v>
      </c>
      <c r="J28" s="13"/>
      <c r="K28" s="13"/>
      <c r="L28" s="13"/>
      <c r="M28" s="13"/>
      <c r="N28" s="12"/>
      <c r="O28" s="13">
        <f t="shared" si="6"/>
        <v>3.1600727325844065</v>
      </c>
      <c r="P28" s="13">
        <f t="shared" si="7"/>
        <v>3.1650587013092277</v>
      </c>
    </row>
    <row r="29" spans="1:16" x14ac:dyDescent="0.25">
      <c r="B29" s="1"/>
    </row>
    <row r="30" spans="1:16" x14ac:dyDescent="0.25">
      <c r="B30" s="1"/>
    </row>
    <row r="31" spans="1:16" x14ac:dyDescent="0.25">
      <c r="A31" t="s">
        <v>14</v>
      </c>
      <c r="B31" s="26" t="s">
        <v>39</v>
      </c>
      <c r="C31" s="10"/>
      <c r="D31" s="22">
        <f>BS!E84</f>
        <v>6.6872988363456303</v>
      </c>
      <c r="E31" s="22">
        <f>BS!F84</f>
        <v>7.7506446230850905</v>
      </c>
      <c r="F31" s="22">
        <f>BS!G84</f>
        <v>5.4094622838685158</v>
      </c>
      <c r="G31" s="22">
        <f>BS!H84</f>
        <v>6.172149325448161</v>
      </c>
      <c r="H31" s="22">
        <f>BS!I84</f>
        <v>7.160838918017987</v>
      </c>
      <c r="I31" s="22">
        <f>BS!J84</f>
        <v>6.0630930375847196</v>
      </c>
      <c r="J31" s="22"/>
      <c r="K31" s="22"/>
      <c r="L31" s="22"/>
      <c r="M31" s="22"/>
      <c r="N31" s="10"/>
      <c r="O31" s="22">
        <f t="shared" ref="O31:O33" si="8">AVERAGE(D31:I31)</f>
        <v>6.5405811707250168</v>
      </c>
      <c r="P31" s="22">
        <f>MEDIAN(D31:I31)</f>
        <v>6.4297240808968956</v>
      </c>
    </row>
    <row r="32" spans="1:16" x14ac:dyDescent="0.25">
      <c r="B32" s="1" t="s">
        <v>40</v>
      </c>
      <c r="D32" s="23">
        <f>BS!E85</f>
        <v>27.339191264289369</v>
      </c>
      <c r="E32" s="23">
        <f>BS!F85</f>
        <v>22.972559916637721</v>
      </c>
      <c r="F32" s="23">
        <f>BS!G85</f>
        <v>14.354338502144508</v>
      </c>
      <c r="G32" s="23">
        <f>BS!H85</f>
        <v>17.545083465334471</v>
      </c>
      <c r="H32" s="23">
        <f>BS!I85</f>
        <v>21.824777043574695</v>
      </c>
      <c r="I32" s="23">
        <f>BS!J85</f>
        <v>14.597595124361719</v>
      </c>
      <c r="J32" s="23"/>
      <c r="K32" s="23"/>
      <c r="L32" s="23"/>
      <c r="M32" s="23"/>
      <c r="O32" s="194">
        <f t="shared" si="8"/>
        <v>19.772257552723747</v>
      </c>
      <c r="P32" s="194">
        <f t="shared" ref="P32:P34" si="9">MEDIAN(D32:I32)</f>
        <v>19.684930254454585</v>
      </c>
    </row>
    <row r="33" spans="1:16" x14ac:dyDescent="0.25">
      <c r="B33" s="1" t="s">
        <v>41</v>
      </c>
      <c r="D33" s="23">
        <f>BS!E83</f>
        <v>184.49283398737415</v>
      </c>
      <c r="E33" s="23">
        <f>BS!F83</f>
        <v>178.48106981590828</v>
      </c>
      <c r="F33" s="23">
        <f>BS!G83</f>
        <v>195.1563840316727</v>
      </c>
      <c r="G33" s="23">
        <f>BS!H83</f>
        <v>186.96966004630195</v>
      </c>
      <c r="H33" s="23">
        <f>BS!I83</f>
        <v>229.53121389954254</v>
      </c>
      <c r="I33" s="23">
        <f>BS!J83</f>
        <v>198.97941031131612</v>
      </c>
      <c r="J33" s="23"/>
      <c r="K33" s="23"/>
      <c r="L33" s="23"/>
      <c r="M33" s="23"/>
      <c r="O33" s="194">
        <f t="shared" si="8"/>
        <v>195.60176201535262</v>
      </c>
      <c r="P33" s="194">
        <f t="shared" si="9"/>
        <v>191.06302203898733</v>
      </c>
    </row>
    <row r="34" spans="1:16" x14ac:dyDescent="0.25">
      <c r="B34" s="27" t="s">
        <v>42</v>
      </c>
      <c r="C34" s="12"/>
      <c r="D34" s="24">
        <f>SUM(D31,D33)-D32</f>
        <v>163.84094155943041</v>
      </c>
      <c r="E34" s="24">
        <f t="shared" ref="E34:I34" si="10">SUM(E31,E33)-E32</f>
        <v>163.25915452235566</v>
      </c>
      <c r="F34" s="24">
        <f t="shared" si="10"/>
        <v>186.21150781339671</v>
      </c>
      <c r="G34" s="24">
        <f t="shared" si="10"/>
        <v>175.59672590641566</v>
      </c>
      <c r="H34" s="24">
        <f t="shared" si="10"/>
        <v>214.86727577398582</v>
      </c>
      <c r="I34" s="24">
        <f t="shared" si="10"/>
        <v>190.44490822453909</v>
      </c>
      <c r="J34" s="24"/>
      <c r="K34" s="24"/>
      <c r="L34" s="24"/>
      <c r="M34" s="24"/>
      <c r="N34" s="12"/>
      <c r="O34" s="24">
        <f>AVERAGE(D34:I34)</f>
        <v>182.37008563335391</v>
      </c>
      <c r="P34" s="24">
        <f t="shared" si="9"/>
        <v>180.9041168599062</v>
      </c>
    </row>
    <row r="35" spans="1:16" x14ac:dyDescent="0.25">
      <c r="B35" s="1"/>
    </row>
    <row r="36" spans="1:16" x14ac:dyDescent="0.25">
      <c r="A36" t="s">
        <v>14</v>
      </c>
      <c r="B36" s="26" t="s">
        <v>43</v>
      </c>
      <c r="C36" s="10"/>
      <c r="D36" s="14">
        <f>CFS!E44/IS!E10</f>
        <v>-3.1443521083410271E-3</v>
      </c>
      <c r="E36" s="14">
        <f>CFS!F44/IS!F10</f>
        <v>6.226830978859834E-2</v>
      </c>
      <c r="F36" s="14">
        <f>CFS!G44/IS!G10</f>
        <v>-1.6411223767979249E-2</v>
      </c>
      <c r="G36" s="14">
        <f>CFS!H44/IS!H10</f>
        <v>0.18960146587265231</v>
      </c>
      <c r="H36" s="14">
        <f>CFS!I44/IS!I10</f>
        <v>-2.4937140495298455E-2</v>
      </c>
      <c r="I36" s="14">
        <f>CFS!J44/IS!J10</f>
        <v>3.3510260988674996E-2</v>
      </c>
      <c r="J36" s="14"/>
      <c r="K36" s="14"/>
      <c r="L36" s="17"/>
      <c r="M36" s="17"/>
      <c r="N36" s="17"/>
      <c r="O36" s="15">
        <f t="shared" ref="O36:O38" si="11">AVERAGE(D36:I36)</f>
        <v>4.0147886713051147E-2</v>
      </c>
      <c r="P36" s="15">
        <f t="shared" ref="P36:P38" si="12">MEDIAN(D36:I36)</f>
        <v>1.5182954440166985E-2</v>
      </c>
    </row>
    <row r="37" spans="1:16" x14ac:dyDescent="0.25">
      <c r="B37" s="1" t="s">
        <v>44</v>
      </c>
      <c r="D37" s="16">
        <f>CFS!E44/BS!E38</f>
        <v>-5.3632927341453153E-3</v>
      </c>
      <c r="E37" s="16">
        <f>CFS!F44/BS!F38</f>
        <v>0.10610328638497653</v>
      </c>
      <c r="F37" s="16">
        <f>CFS!G44/BS!G38</f>
        <v>-2.5680761567411999E-2</v>
      </c>
      <c r="G37" s="16">
        <f>CFS!H44/BS!H38</f>
        <v>0.2515803549720399</v>
      </c>
      <c r="H37" s="16">
        <f>CFS!I44/BS!I38</f>
        <v>-3.4160611493819007E-2</v>
      </c>
      <c r="I37" s="16">
        <f>CFS!J44/BS!J38</f>
        <v>5.0697553935536398E-2</v>
      </c>
      <c r="J37" s="16"/>
      <c r="K37" s="16"/>
      <c r="L37" s="18"/>
      <c r="M37" s="18"/>
      <c r="N37" s="18"/>
      <c r="O37" s="192">
        <f t="shared" si="11"/>
        <v>5.719608824952941E-2</v>
      </c>
      <c r="P37" s="192">
        <f t="shared" si="12"/>
        <v>2.2667130600695539E-2</v>
      </c>
    </row>
    <row r="38" spans="1:16" x14ac:dyDescent="0.25">
      <c r="B38" s="27" t="s">
        <v>45</v>
      </c>
      <c r="C38" s="12"/>
      <c r="D38" s="21">
        <f>CFS!E44/SUM(BS!E57,BS!E61:E62)</f>
        <v>-2.8205411374930968E-2</v>
      </c>
      <c r="E38" s="21">
        <f>CFS!F44/SUM(BS!F57,BS!F61:F62)</f>
        <v>0.49286280729579701</v>
      </c>
      <c r="F38" s="21">
        <f>CFS!G44/SUM(BS!G57,BS!G61:G62)</f>
        <v>-9.8277322790172261E-2</v>
      </c>
      <c r="G38" s="21">
        <f>CFS!H44/SUM(BS!H57,BS!H61:H62)</f>
        <v>0.73792119807452305</v>
      </c>
      <c r="H38" s="21">
        <f>CFS!I44/SUM(BS!I57,BS!I61:I62)</f>
        <v>-9.9683326449125711E-2</v>
      </c>
      <c r="I38" s="21">
        <f>CFS!J44/SUM(BS!J57,BS!J61:J62)</f>
        <v>0.14653973687025351</v>
      </c>
      <c r="J38" s="21"/>
      <c r="K38" s="21"/>
      <c r="L38" s="21"/>
      <c r="M38" s="21"/>
      <c r="N38" s="21"/>
      <c r="O38" s="20">
        <f t="shared" si="11"/>
        <v>0.19185961360439077</v>
      </c>
      <c r="P38" s="20">
        <f t="shared" si="12"/>
        <v>5.9167162747661269E-2</v>
      </c>
    </row>
  </sheetData>
  <mergeCells count="2">
    <mergeCell ref="B3:P3"/>
    <mergeCell ref="B1:E1"/>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markers="1" xr2:uid="{0F8DC655-1377-45C9-849A-333CEF122F06}">
          <x14:colorSeries rgb="FF376092"/>
          <x14:colorNegative rgb="FFD00000"/>
          <x14:colorAxis rgb="FF000000"/>
          <x14:colorMarkers theme="1"/>
          <x14:colorFirst rgb="FFD00000"/>
          <x14:colorLast rgb="FFD00000"/>
          <x14:colorHigh rgb="FFD00000"/>
          <x14:colorLow rgb="FFD00000"/>
          <x14:sparklines>
            <x14:sparkline>
              <xm:f>'Ratios Analysis'!D11:M11</xm:f>
              <xm:sqref>N11</xm:sqref>
            </x14:sparkline>
            <x14:sparkline>
              <xm:f>'Ratios Analysis'!D12:M12</xm:f>
              <xm:sqref>N12</xm:sqref>
            </x14:sparkline>
            <x14:sparkline>
              <xm:f>'Ratios Analysis'!D13:M13</xm:f>
              <xm:sqref>N13</xm:sqref>
            </x14:sparkline>
            <x14:sparkline>
              <xm:f>'Ratios Analysis'!D14:M14</xm:f>
              <xm:sqref>N14</xm:sqref>
            </x14:sparkline>
            <x14:sparkline>
              <xm:f>'Ratios Analysis'!D15:M15</xm:f>
              <xm:sqref>N15</xm:sqref>
            </x14:sparkline>
            <x14:sparkline>
              <xm:f>'Ratios Analysis'!D16:M16</xm:f>
              <xm:sqref>N16</xm:sqref>
            </x14:sparkline>
            <x14:sparkline>
              <xm:f>'Ratios Analysis'!D17:M17</xm:f>
              <xm:sqref>N17</xm:sqref>
            </x14:sparkline>
            <x14:sparkline>
              <xm:f>'Ratios Analysis'!D18:M18</xm:f>
              <xm:sqref>N18</xm:sqref>
            </x14:sparkline>
            <x14:sparkline>
              <xm:f>'Ratios Analysis'!D19:M19</xm:f>
              <xm:sqref>N19</xm:sqref>
            </x14:sparkline>
            <x14:sparkline>
              <xm:f>'Ratios Analysis'!D20:M20</xm:f>
              <xm:sqref>N20</xm:sqref>
            </x14:sparkline>
            <x14:sparkline>
              <xm:f>'Ratios Analysis'!D21:M21</xm:f>
              <xm:sqref>N21</xm:sqref>
            </x14:sparkline>
            <x14:sparkline>
              <xm:f>'Ratios Analysis'!D22:M22</xm:f>
              <xm:sqref>N22</xm:sqref>
            </x14:sparkline>
            <x14:sparkline>
              <xm:f>'Ratios Analysis'!D23:M23</xm:f>
              <xm:sqref>N23</xm:sqref>
            </x14:sparkline>
            <x14:sparkline>
              <xm:f>'Ratios Analysis'!D24:M24</xm:f>
              <xm:sqref>N24</xm:sqref>
            </x14:sparkline>
            <x14:sparkline>
              <xm:f>'Ratios Analysis'!D25:M25</xm:f>
              <xm:sqref>N25</xm:sqref>
            </x14:sparkline>
            <x14:sparkline>
              <xm:f>'Ratios Analysis'!D26:M26</xm:f>
              <xm:sqref>N26</xm:sqref>
            </x14:sparkline>
            <x14:sparkline>
              <xm:f>'Ratios Analysis'!D27:M27</xm:f>
              <xm:sqref>N27</xm:sqref>
            </x14:sparkline>
            <x14:sparkline>
              <xm:f>'Ratios Analysis'!D28:M28</xm:f>
              <xm:sqref>N28</xm:sqref>
            </x14:sparkline>
            <x14:sparkline>
              <xm:f>'Ratios Analysis'!D29:M29</xm:f>
              <xm:sqref>N29</xm:sqref>
            </x14:sparkline>
            <x14:sparkline>
              <xm:f>'Ratios Analysis'!D30:M30</xm:f>
              <xm:sqref>N30</xm:sqref>
            </x14:sparkline>
            <x14:sparkline>
              <xm:f>'Ratios Analysis'!D31:M31</xm:f>
              <xm:sqref>N31</xm:sqref>
            </x14:sparkline>
            <x14:sparkline>
              <xm:f>'Ratios Analysis'!D32:M32</xm:f>
              <xm:sqref>N32</xm:sqref>
            </x14:sparkline>
            <x14:sparkline>
              <xm:f>'Ratios Analysis'!D33:M33</xm:f>
              <xm:sqref>N33</xm:sqref>
            </x14:sparkline>
            <x14:sparkline>
              <xm:f>'Ratios Analysis'!D34:M34</xm:f>
              <xm:sqref>N34</xm:sqref>
            </x14:sparkline>
            <x14:sparkline>
              <xm:f>'Ratios Analysis'!D35:M35</xm:f>
              <xm:sqref>N35</xm:sqref>
            </x14:sparkline>
            <x14:sparkline>
              <xm:f>'Ratios Analysis'!D36:M36</xm:f>
              <xm:sqref>N36</xm:sqref>
            </x14:sparkline>
            <x14:sparkline>
              <xm:f>'Ratios Analysis'!D37:M37</xm:f>
              <xm:sqref>N37</xm:sqref>
            </x14:sparkline>
            <x14:sparkline>
              <xm:f>'Ratios Analysis'!D38:M38</xm:f>
              <xm:sqref>N38</xm:sqref>
            </x14:sparkline>
          </x14:sparklines>
        </x14:sparklineGroup>
        <x14:sparklineGroup displayEmptyCellsAs="gap" markers="1" xr2:uid="{1A11E9CC-E25B-4F12-8B80-51DEE9D3FA21}">
          <x14:colorSeries rgb="FF376092"/>
          <x14:colorNegative rgb="FFD00000"/>
          <x14:colorAxis rgb="FF000000"/>
          <x14:colorMarkers theme="1"/>
          <x14:colorFirst rgb="FFD00000"/>
          <x14:colorLast rgb="FFD00000"/>
          <x14:colorHigh rgb="FFD00000"/>
          <x14:colorLow rgb="FFD00000"/>
          <x14:sparklines>
            <x14:sparkline>
              <xm:f>'Ratios Analysis'!E6:M6</xm:f>
              <xm:sqref>N6</xm:sqref>
            </x14:sparkline>
            <x14:sparkline>
              <xm:f>'Ratios Analysis'!E7:M7</xm:f>
              <xm:sqref>N7</xm:sqref>
            </x14:sparkline>
            <x14:sparkline>
              <xm:f>'Ratios Analysis'!E8:M8</xm:f>
              <xm:sqref>N8</xm:sqref>
            </x14:sparkline>
            <x14:sparkline>
              <xm:f>'Ratios Analysis'!E9:M9</xm:f>
              <xm:sqref>N9</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CFA8-1B2F-4DD5-932C-F681692E7FD6}">
  <dimension ref="A1:H31"/>
  <sheetViews>
    <sheetView showGridLines="0" workbookViewId="0">
      <selection activeCell="H1" sqref="H1"/>
    </sheetView>
  </sheetViews>
  <sheetFormatPr defaultRowHeight="15" x14ac:dyDescent="0.25"/>
  <cols>
    <col min="1" max="1" width="1.85546875" customWidth="1"/>
    <col min="2" max="2" width="28.140625" customWidth="1"/>
    <col min="3" max="3" width="12.140625" bestFit="1" customWidth="1"/>
    <col min="4" max="8" width="10.42578125" bestFit="1" customWidth="1"/>
  </cols>
  <sheetData>
    <row r="1" spans="1:8" ht="57.75" customHeight="1" x14ac:dyDescent="0.25">
      <c r="B1" s="196" t="s">
        <v>10</v>
      </c>
      <c r="C1" s="196"/>
    </row>
    <row r="2" spans="1:8" x14ac:dyDescent="0.25">
      <c r="A2" t="s">
        <v>14</v>
      </c>
      <c r="B2" s="107" t="s">
        <v>118</v>
      </c>
      <c r="C2" s="107"/>
      <c r="D2" s="107"/>
      <c r="E2" s="107"/>
      <c r="F2" s="107"/>
      <c r="G2" s="107"/>
      <c r="H2" s="107"/>
    </row>
    <row r="3" spans="1:8" x14ac:dyDescent="0.25">
      <c r="B3" s="35" t="s">
        <v>119</v>
      </c>
    </row>
    <row r="4" spans="1:8" x14ac:dyDescent="0.25">
      <c r="B4" s="36" t="s">
        <v>117</v>
      </c>
      <c r="C4" s="51">
        <f>IS!E4</f>
        <v>43190</v>
      </c>
      <c r="D4" s="51">
        <f>IS!F4</f>
        <v>43555</v>
      </c>
      <c r="E4" s="51">
        <f>IS!G4</f>
        <v>43921</v>
      </c>
      <c r="F4" s="51">
        <f>IS!H4</f>
        <v>44286</v>
      </c>
      <c r="G4" s="51">
        <f>IS!I4</f>
        <v>44651</v>
      </c>
      <c r="H4" s="51">
        <f>IS!J4</f>
        <v>45016</v>
      </c>
    </row>
    <row r="6" spans="1:8" x14ac:dyDescent="0.25">
      <c r="B6" s="52" t="s">
        <v>0</v>
      </c>
      <c r="C6" s="7">
        <f>IS!E10/IS!E10</f>
        <v>1</v>
      </c>
      <c r="D6" s="7">
        <f>IS!F10/IS!F10</f>
        <v>1</v>
      </c>
      <c r="E6" s="7">
        <f>IS!G10/IS!G10</f>
        <v>1</v>
      </c>
      <c r="F6" s="7">
        <f>IS!H10/IS!H10</f>
        <v>1</v>
      </c>
      <c r="G6" s="7">
        <f>IS!I10/IS!I10</f>
        <v>1</v>
      </c>
      <c r="H6" s="7">
        <f>IS!J10/IS!J10</f>
        <v>1</v>
      </c>
    </row>
    <row r="7" spans="1:8" x14ac:dyDescent="0.25">
      <c r="B7" s="52" t="str">
        <f>IS!B14</f>
        <v>Cost of material and components consumed</v>
      </c>
      <c r="C7" s="5">
        <f>IS!E14/IS!E10</f>
        <v>0.64345952600800249</v>
      </c>
      <c r="D7" s="5">
        <f>IS!F14/IS!F10</f>
        <v>0.61271415689810638</v>
      </c>
      <c r="E7" s="5">
        <f>IS!G14/IS!G10</f>
        <v>0.61504362178731431</v>
      </c>
      <c r="F7" s="5">
        <f>IS!H14/IS!H10</f>
        <v>0.62817224003664685</v>
      </c>
      <c r="G7" s="5">
        <f>IS!I14/IS!I10</f>
        <v>0.76147831777632347</v>
      </c>
      <c r="H7" s="5">
        <f>IS!J14/IS!J10</f>
        <v>0.6577550571142039</v>
      </c>
    </row>
    <row r="8" spans="1:8" x14ac:dyDescent="0.25">
      <c r="B8" s="52" t="str">
        <f>IS!B15</f>
        <v>Purchase of stock in trade</v>
      </c>
      <c r="C8" s="5">
        <f>IS!E15/IS!E10</f>
        <v>0.13616497383810403</v>
      </c>
      <c r="D8" s="5">
        <f>IS!F15/IS!F10</f>
        <v>0.14727983168019237</v>
      </c>
      <c r="E8" s="5">
        <f>IS!G15/IS!G10</f>
        <v>0.14105163876444235</v>
      </c>
      <c r="F8" s="5">
        <f>IS!H15/IS!H10</f>
        <v>0.11814017407237747</v>
      </c>
      <c r="G8" s="5">
        <f>IS!I15/IS!I10</f>
        <v>0.14907174594427031</v>
      </c>
      <c r="H8" s="5">
        <f>IS!J15/IS!J10</f>
        <v>0.13937333365946725</v>
      </c>
    </row>
    <row r="9" spans="1:8" x14ac:dyDescent="0.25">
      <c r="B9" s="197" t="str">
        <f>IS!B17</f>
        <v>Total COSG</v>
      </c>
      <c r="C9" s="198">
        <f>IS!E17/IS!E10</f>
        <v>0.72157586949830721</v>
      </c>
      <c r="D9" s="198">
        <f>IS!F17/IS!F10</f>
        <v>0.72112012824366301</v>
      </c>
      <c r="E9" s="198">
        <f>IS!G17/IS!G10</f>
        <v>0.71468993161990102</v>
      </c>
      <c r="F9" s="198">
        <f>IS!H17/IS!H10</f>
        <v>0.75190105359596882</v>
      </c>
      <c r="G9" s="198">
        <f>IS!I17/IS!I10</f>
        <v>0.74539317328557164</v>
      </c>
      <c r="H9" s="198">
        <f>IS!J17/IS!J10</f>
        <v>0.74248465132206543</v>
      </c>
    </row>
    <row r="10" spans="1:8" x14ac:dyDescent="0.25">
      <c r="B10" s="52" t="str">
        <f>IS!B22</f>
        <v>Employee Benefit Expenses</v>
      </c>
      <c r="C10" s="5">
        <f>IS!E22/IS!E10</f>
        <v>5.4478301015697138E-2</v>
      </c>
      <c r="D10" s="5">
        <f>IS!F22/IS!F10</f>
        <v>5.1046989279631298E-2</v>
      </c>
      <c r="E10" s="5">
        <f>IS!G22/IS!G10</f>
        <v>5.6543268097146902E-2</v>
      </c>
      <c r="F10" s="5">
        <f>IS!H22/IS!H10</f>
        <v>4.8786074209803021E-2</v>
      </c>
      <c r="G10" s="5">
        <f>IS!I22/IS!I10</f>
        <v>4.6464368132814383E-2</v>
      </c>
      <c r="H10" s="5">
        <f>IS!J22/IS!J10</f>
        <v>4.0285693319961839E-2</v>
      </c>
    </row>
    <row r="11" spans="1:8" x14ac:dyDescent="0.25">
      <c r="B11" s="52" t="str">
        <f>IS!B23</f>
        <v>Other expenses</v>
      </c>
      <c r="C11" s="5">
        <f>IS!E23/IS!E10</f>
        <v>0.11720529393659587</v>
      </c>
      <c r="D11" s="5">
        <f>IS!F23/IS!F10</f>
        <v>0.11892595932271316</v>
      </c>
      <c r="E11" s="5">
        <f>IS!G23/IS!G10</f>
        <v>0.10516387644423485</v>
      </c>
      <c r="F11" s="5">
        <f>IS!H23/IS!H10</f>
        <v>0.11181859825927623</v>
      </c>
      <c r="G11" s="5">
        <f>IS!I23/IS!I10</f>
        <v>8.5006716495022908E-2</v>
      </c>
      <c r="H11" s="5">
        <f>IS!J23/IS!J10</f>
        <v>9.0355404446836096E-2</v>
      </c>
    </row>
    <row r="12" spans="1:8" x14ac:dyDescent="0.25">
      <c r="B12" s="197" t="str">
        <f>IS!B24</f>
        <v>EBITDA</v>
      </c>
      <c r="C12" s="198">
        <f>IS!E24/IS!E10</f>
        <v>0.10674053554939981</v>
      </c>
      <c r="D12" s="198">
        <f>IS!F24/IS!F10</f>
        <v>0.10890692315399259</v>
      </c>
      <c r="E12" s="198">
        <f>IS!G24/IS!G10</f>
        <v>0.12360292383871728</v>
      </c>
      <c r="F12" s="198">
        <f>IS!H24/IS!H10</f>
        <v>8.7494273934951905E-2</v>
      </c>
      <c r="G12" s="198">
        <f>IS!I24/IS!I10</f>
        <v>0.12313574208659112</v>
      </c>
      <c r="H12" s="198">
        <f>IS!J24/IS!J10</f>
        <v>0.12687425091113666</v>
      </c>
    </row>
    <row r="13" spans="1:8" x14ac:dyDescent="0.25">
      <c r="B13" s="52" t="str">
        <f>IS!B27</f>
        <v>Depreciation and Amortisation Expenses</v>
      </c>
      <c r="C13" s="5">
        <f>IS!E27/IS!E10</f>
        <v>8.0640196983687296E-3</v>
      </c>
      <c r="D13" s="5">
        <f>IS!F27/IS!F10</f>
        <v>8.1655144775072633E-3</v>
      </c>
      <c r="E13" s="5">
        <f>IS!G27/IS!G10</f>
        <v>1.6411223767979249E-2</v>
      </c>
      <c r="F13" s="5">
        <f>IS!H27/IS!H10</f>
        <v>1.7178195144296839E-2</v>
      </c>
      <c r="G13" s="5">
        <f>IS!I27/IS!I10</f>
        <v>1.374298212379017E-2</v>
      </c>
      <c r="H13" s="5">
        <f>IS!J27/IS!J10</f>
        <v>1.0786879632120931E-2</v>
      </c>
    </row>
    <row r="14" spans="1:8" x14ac:dyDescent="0.25">
      <c r="B14" s="52" t="str">
        <f>IS!B29</f>
        <v>EBIT</v>
      </c>
      <c r="C14" s="5">
        <f>IS!E29/IS!E10</f>
        <v>9.8676515851031085E-2</v>
      </c>
      <c r="D14" s="5">
        <f>IS!F29/IS!F10</f>
        <v>0.10074140867648532</v>
      </c>
      <c r="E14" s="5">
        <f>IS!G29/IS!G10</f>
        <v>0.10719170007073803</v>
      </c>
      <c r="F14" s="5">
        <f>IS!H29/IS!H10</f>
        <v>7.0316078790655059E-2</v>
      </c>
      <c r="G14" s="5">
        <f>IS!I29/IS!I10</f>
        <v>0.10939275996280096</v>
      </c>
      <c r="H14" s="5">
        <f>IS!J29/IS!J10</f>
        <v>0.11608737127901572</v>
      </c>
    </row>
    <row r="15" spans="1:8" x14ac:dyDescent="0.25">
      <c r="B15" s="52" t="str">
        <f>IS!B31</f>
        <v>Finance Expenses</v>
      </c>
      <c r="C15" s="5">
        <f>IS!E31/IS!E10</f>
        <v>3.2625423207140658E-3</v>
      </c>
      <c r="D15" s="5">
        <f>IS!F31/IS!F10</f>
        <v>2.6550445847109507E-3</v>
      </c>
      <c r="E15" s="5">
        <f>IS!G31/IS!G10</f>
        <v>7.8283423720820564E-3</v>
      </c>
      <c r="F15" s="5">
        <f>IS!H31/IS!H10</f>
        <v>9.2991296381126892E-3</v>
      </c>
      <c r="G15" s="5">
        <f>IS!I31/IS!I10</f>
        <v>7.5086969999655561E-3</v>
      </c>
      <c r="H15" s="5">
        <f>IS!J31/IS!J10</f>
        <v>7.3380133551843064E-3</v>
      </c>
    </row>
    <row r="16" spans="1:8" x14ac:dyDescent="0.25">
      <c r="B16" s="197" t="str">
        <f>IS!B32</f>
        <v>EBT</v>
      </c>
      <c r="C16" s="198">
        <f>IS!E38/IS!E10</f>
        <v>9.4196983687288391E-2</v>
      </c>
      <c r="D16" s="198">
        <f>IS!F38/IS!F10</f>
        <v>9.7978158501152185E-2</v>
      </c>
      <c r="E16" s="198">
        <f>IS!G38/IS!G10</f>
        <v>9.917330818203253E-2</v>
      </c>
      <c r="F16" s="198">
        <f>IS!H38/IS!H10</f>
        <v>6.0787906550618415E-2</v>
      </c>
      <c r="G16" s="198">
        <f>IS!I38/IS!I10</f>
        <v>0.10002411049495402</v>
      </c>
      <c r="H16" s="198">
        <f>IS!J38/IS!J10</f>
        <v>0.1087738179683487</v>
      </c>
    </row>
    <row r="17" spans="2:8" x14ac:dyDescent="0.25">
      <c r="B17" s="52" t="str">
        <f>IS!B39</f>
        <v>Tax Expense</v>
      </c>
      <c r="C17" s="5">
        <f>IS!E39/IS!E10</f>
        <v>2.6346568174823021E-2</v>
      </c>
      <c r="D17" s="5">
        <f>IS!F39/IS!F10</f>
        <v>2.8454062719166416E-2</v>
      </c>
      <c r="E17" s="5">
        <f>IS!G39/IS!G10</f>
        <v>2.8719641593963688E-2</v>
      </c>
      <c r="F17" s="5">
        <f>IS!H39/IS!H10</f>
        <v>1.6170407695831425E-2</v>
      </c>
      <c r="G17" s="5">
        <f>IS!I39/IS!I10</f>
        <v>2.4317156339337995E-2</v>
      </c>
      <c r="H17" s="5">
        <f>IS!J39/IS!J10</f>
        <v>2.8691632218770639E-2</v>
      </c>
    </row>
    <row r="18" spans="2:8" x14ac:dyDescent="0.25">
      <c r="B18" s="197" t="str">
        <f>IS!B42</f>
        <v>PAT</v>
      </c>
      <c r="C18" s="198">
        <f>IS!E42/IS!E7</f>
        <v>6.8224189155731613E-2</v>
      </c>
      <c r="D18" s="198">
        <f>IS!F42/IS!F7</f>
        <v>7.0167349208756752E-2</v>
      </c>
      <c r="E18" s="198">
        <f>IS!G42/IS!G7</f>
        <v>7.0965703971119121E-2</v>
      </c>
      <c r="F18" s="198">
        <f>IS!H42/IS!H7</f>
        <v>4.5000924043614859E-2</v>
      </c>
      <c r="G18" s="198">
        <f>IS!I42/IS!I7</f>
        <v>7.632209451717073E-2</v>
      </c>
      <c r="H18" s="198">
        <f>IS!J42/IS!J7</f>
        <v>8.0690080098582875E-2</v>
      </c>
    </row>
    <row r="19" spans="2:8" x14ac:dyDescent="0.25">
      <c r="B19" s="52"/>
      <c r="C19" s="5"/>
      <c r="D19" s="5"/>
      <c r="E19" s="5"/>
      <c r="F19" s="5"/>
      <c r="G19" s="5"/>
      <c r="H19" s="5"/>
    </row>
    <row r="20" spans="2:8" x14ac:dyDescent="0.25">
      <c r="B20" s="52"/>
    </row>
    <row r="21" spans="2:8" x14ac:dyDescent="0.25">
      <c r="B21" s="52"/>
    </row>
    <row r="22" spans="2:8" x14ac:dyDescent="0.25">
      <c r="B22" s="52"/>
    </row>
    <row r="23" spans="2:8" x14ac:dyDescent="0.25">
      <c r="B23" s="52"/>
    </row>
    <row r="24" spans="2:8" x14ac:dyDescent="0.25">
      <c r="B24" s="52"/>
    </row>
    <row r="25" spans="2:8" x14ac:dyDescent="0.25">
      <c r="B25" s="52"/>
    </row>
    <row r="26" spans="2:8" x14ac:dyDescent="0.25">
      <c r="B26" s="52"/>
    </row>
    <row r="27" spans="2:8" x14ac:dyDescent="0.25">
      <c r="B27" s="52"/>
    </row>
    <row r="28" spans="2:8" x14ac:dyDescent="0.25">
      <c r="B28" s="52"/>
    </row>
    <row r="29" spans="2:8" x14ac:dyDescent="0.25">
      <c r="B29" s="52"/>
    </row>
    <row r="30" spans="2:8" x14ac:dyDescent="0.25">
      <c r="B30" s="52"/>
    </row>
    <row r="31" spans="2:8" x14ac:dyDescent="0.25">
      <c r="B31" s="52"/>
    </row>
  </sheetData>
  <mergeCells count="2">
    <mergeCell ref="B2:H2"/>
    <mergeCell ref="B1:C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3034-90F4-420B-9AE9-63915CFC74AC}">
  <dimension ref="B1:AM268"/>
  <sheetViews>
    <sheetView showGridLines="0" zoomScale="89" zoomScaleNormal="89" workbookViewId="0">
      <selection activeCell="O6" sqref="O6"/>
    </sheetView>
  </sheetViews>
  <sheetFormatPr defaultRowHeight="15" x14ac:dyDescent="0.25"/>
  <cols>
    <col min="1" max="1" width="1.85546875" customWidth="1"/>
    <col min="2" max="2" width="11.42578125" bestFit="1" customWidth="1"/>
    <col min="3" max="3" width="13.42578125" bestFit="1" customWidth="1"/>
    <col min="4" max="4" width="10.5703125" customWidth="1"/>
    <col min="5" max="5" width="10.42578125" bestFit="1" customWidth="1"/>
    <col min="6" max="6" width="11.42578125" bestFit="1" customWidth="1"/>
    <col min="7" max="7" width="15" customWidth="1"/>
    <col min="14" max="14" width="10.5703125" bestFit="1" customWidth="1"/>
    <col min="25" max="25" width="11.42578125" bestFit="1" customWidth="1"/>
    <col min="29" max="29" width="11.42578125" bestFit="1" customWidth="1"/>
    <col min="33" max="33" width="11.42578125" bestFit="1" customWidth="1"/>
    <col min="37" max="37" width="11.42578125" bestFit="1" customWidth="1"/>
  </cols>
  <sheetData>
    <row r="1" spans="2:39" ht="60.75" customHeight="1" x14ac:dyDescent="0.3">
      <c r="B1" s="165" t="s">
        <v>10</v>
      </c>
      <c r="C1" s="165"/>
      <c r="D1" s="165"/>
    </row>
    <row r="2" spans="2:39" x14ac:dyDescent="0.25">
      <c r="B2" s="34" t="s">
        <v>327</v>
      </c>
      <c r="Y2" s="34" t="s">
        <v>111</v>
      </c>
    </row>
    <row r="3" spans="2:39" x14ac:dyDescent="0.25">
      <c r="Y3" s="42" t="s">
        <v>110</v>
      </c>
      <c r="Z3" s="42"/>
      <c r="AA3" s="43">
        <f>SLOPE(AA7:AA110,$H$7:$H$110)</f>
        <v>0.43968834780854615</v>
      </c>
      <c r="AC3" s="42" t="s">
        <v>110</v>
      </c>
      <c r="AD3" s="42"/>
      <c r="AE3" s="43">
        <f>SLOPE(AE7:AE110,$H$7:$H$110)</f>
        <v>0.32180058580313253</v>
      </c>
      <c r="AG3" s="42" t="s">
        <v>110</v>
      </c>
      <c r="AH3" s="42"/>
      <c r="AI3" s="43">
        <f>SLOPE(AI7:AI110,$H$7:$H$110)</f>
        <v>0.19313741144685356</v>
      </c>
      <c r="AK3" s="42" t="s">
        <v>110</v>
      </c>
      <c r="AL3" s="42"/>
      <c r="AM3" s="43">
        <f>SLOPE(AM7:AM110,$H$7:$H$110)</f>
        <v>0.21117517754946463</v>
      </c>
    </row>
    <row r="4" spans="2:39" x14ac:dyDescent="0.25">
      <c r="B4" s="107" t="s">
        <v>326</v>
      </c>
      <c r="C4" s="107"/>
      <c r="D4" s="107"/>
      <c r="F4" s="107" t="s">
        <v>71</v>
      </c>
      <c r="G4" s="107"/>
      <c r="H4" s="107"/>
      <c r="J4" s="107" t="s">
        <v>104</v>
      </c>
      <c r="K4" s="107"/>
      <c r="L4" s="107"/>
      <c r="N4" s="28" t="s">
        <v>73</v>
      </c>
      <c r="O4" s="134">
        <f>SLOPE(D8:D110,H8:H110)</f>
        <v>1.1652463452231623</v>
      </c>
    </row>
    <row r="5" spans="2:39" x14ac:dyDescent="0.25">
      <c r="N5" s="28" t="s">
        <v>56</v>
      </c>
      <c r="O5" s="134">
        <f>_xlfn.COVARIANCE.S(D8:D110,H8:H110)/_xlfn.VAR.S(H8:H110)</f>
        <v>1.1652463452231616</v>
      </c>
      <c r="Y5" s="107" t="s">
        <v>105</v>
      </c>
      <c r="Z5" s="107"/>
      <c r="AA5" s="107"/>
      <c r="AC5" s="107" t="s">
        <v>107</v>
      </c>
      <c r="AD5" s="107"/>
      <c r="AE5" s="107"/>
      <c r="AG5" s="107" t="s">
        <v>108</v>
      </c>
      <c r="AH5" s="107"/>
      <c r="AI5" s="107"/>
      <c r="AK5" s="107" t="s">
        <v>109</v>
      </c>
      <c r="AL5" s="107"/>
      <c r="AM5" s="107"/>
    </row>
    <row r="6" spans="2:39" x14ac:dyDescent="0.25">
      <c r="B6" s="40" t="s">
        <v>68</v>
      </c>
      <c r="C6" s="41" t="s">
        <v>70</v>
      </c>
      <c r="D6" s="36" t="s">
        <v>72</v>
      </c>
      <c r="F6" s="36" t="s">
        <v>68</v>
      </c>
      <c r="G6" s="36" t="s">
        <v>70</v>
      </c>
      <c r="H6" s="36" t="s">
        <v>72</v>
      </c>
      <c r="J6" s="1" t="s">
        <v>99</v>
      </c>
      <c r="L6" s="25">
        <f>O6</f>
        <v>1.1652463452231616</v>
      </c>
      <c r="N6" s="28" t="s">
        <v>74</v>
      </c>
      <c r="O6" s="134">
        <f>O25</f>
        <v>1.1652463452231616</v>
      </c>
      <c r="Y6" s="40" t="s">
        <v>68</v>
      </c>
      <c r="Z6" s="41" t="s">
        <v>69</v>
      </c>
      <c r="AA6" s="36" t="s">
        <v>106</v>
      </c>
      <c r="AC6" s="40" t="s">
        <v>68</v>
      </c>
      <c r="AD6" s="41" t="s">
        <v>69</v>
      </c>
      <c r="AE6" s="36" t="s">
        <v>106</v>
      </c>
      <c r="AG6" s="40" t="s">
        <v>68</v>
      </c>
      <c r="AH6" s="41" t="s">
        <v>69</v>
      </c>
      <c r="AI6" s="36" t="s">
        <v>106</v>
      </c>
      <c r="AK6" s="40" t="s">
        <v>68</v>
      </c>
      <c r="AL6" s="41" t="s">
        <v>69</v>
      </c>
      <c r="AM6" s="36" t="s">
        <v>106</v>
      </c>
    </row>
    <row r="7" spans="2:39" x14ac:dyDescent="0.25">
      <c r="B7" s="39">
        <v>44562</v>
      </c>
      <c r="C7">
        <v>2555.3515630000002</v>
      </c>
      <c r="F7" s="39">
        <v>44562</v>
      </c>
      <c r="G7">
        <v>17812.699218999998</v>
      </c>
      <c r="J7" t="s">
        <v>100</v>
      </c>
      <c r="L7" s="4">
        <v>0.75</v>
      </c>
      <c r="Y7" s="39">
        <v>44473</v>
      </c>
      <c r="Z7">
        <v>656.58306900000002</v>
      </c>
      <c r="AC7" s="39">
        <v>44473</v>
      </c>
      <c r="AD7">
        <v>1212</v>
      </c>
      <c r="AG7" s="39">
        <v>44473</v>
      </c>
      <c r="AH7">
        <v>885.92486599999995</v>
      </c>
      <c r="AK7" s="39">
        <v>44473</v>
      </c>
      <c r="AL7">
        <v>425.307434</v>
      </c>
    </row>
    <row r="8" spans="2:39" x14ac:dyDescent="0.25">
      <c r="B8" s="39">
        <v>44569</v>
      </c>
      <c r="C8">
        <v>2575.266357</v>
      </c>
      <c r="D8" s="5">
        <f>C8/C7-1</f>
        <v>7.7933675695955884E-3</v>
      </c>
      <c r="F8" s="39">
        <v>44569</v>
      </c>
      <c r="G8">
        <v>18255.75</v>
      </c>
      <c r="H8" s="5">
        <f>G8/G7-1</f>
        <v>2.4872748119354027E-2</v>
      </c>
      <c r="N8" t="s">
        <v>75</v>
      </c>
      <c r="Y8" s="39">
        <v>44480</v>
      </c>
      <c r="Z8">
        <v>666.20721400000002</v>
      </c>
      <c r="AA8" s="5">
        <f>Z8/Z7-1</f>
        <v>1.4657924418699952E-2</v>
      </c>
      <c r="AC8" s="39">
        <v>44480</v>
      </c>
      <c r="AD8">
        <v>1176.599976</v>
      </c>
      <c r="AE8" s="5">
        <f>AD8/AD7-1</f>
        <v>-2.9207940594059401E-2</v>
      </c>
      <c r="AG8" s="39">
        <v>44480</v>
      </c>
      <c r="AH8">
        <v>908.93273899999997</v>
      </c>
      <c r="AI8" s="5">
        <f>AH8/AH7-1</f>
        <v>2.5970456280205667E-2</v>
      </c>
      <c r="AK8" s="39">
        <v>44480</v>
      </c>
      <c r="AL8">
        <v>420.228027</v>
      </c>
      <c r="AM8" s="5">
        <f>AL8/AL7-1</f>
        <v>-1.1942906692761879E-2</v>
      </c>
    </row>
    <row r="9" spans="2:39" ht="15.75" thickBot="1" x14ac:dyDescent="0.3">
      <c r="B9" s="39">
        <v>44576</v>
      </c>
      <c r="C9">
        <v>2511.101807</v>
      </c>
      <c r="D9" s="5">
        <f t="shared" ref="D9:D72" si="0">C9/C8-1</f>
        <v>-2.4915694574889402E-2</v>
      </c>
      <c r="F9" s="39">
        <v>44576</v>
      </c>
      <c r="G9">
        <v>17617.150390999999</v>
      </c>
      <c r="H9" s="5">
        <f t="shared" ref="H9:H72" si="1">G9/G8-1</f>
        <v>-3.4980738068827621E-2</v>
      </c>
      <c r="J9" t="s">
        <v>102</v>
      </c>
      <c r="L9">
        <v>1</v>
      </c>
      <c r="Y9" s="39">
        <v>44487</v>
      </c>
      <c r="Z9">
        <v>569.64459199999999</v>
      </c>
      <c r="AA9" s="5">
        <f t="shared" ref="AA9:AA72" si="2">Z9/Z8-1</f>
        <v>-0.14494382524053551</v>
      </c>
      <c r="AC9" s="39">
        <v>44487</v>
      </c>
      <c r="AD9">
        <v>1098.1999510000001</v>
      </c>
      <c r="AE9" s="5">
        <f t="shared" ref="AE9:AE72" si="3">AD9/AD8-1</f>
        <v>-6.6632693013075395E-2</v>
      </c>
      <c r="AG9" s="39">
        <v>44487</v>
      </c>
      <c r="AH9">
        <v>1047.6695560000001</v>
      </c>
      <c r="AI9" s="5">
        <f t="shared" ref="AI9:AI72" si="4">AH9/AH8-1</f>
        <v>0.1526370555786527</v>
      </c>
      <c r="AK9" s="39">
        <v>44487</v>
      </c>
      <c r="AL9">
        <v>405.03845200000001</v>
      </c>
      <c r="AM9" s="5">
        <f t="shared" ref="AM9:AM72" si="5">AL9/AL8-1</f>
        <v>-3.6146030307492971E-2</v>
      </c>
    </row>
    <row r="10" spans="2:39" x14ac:dyDescent="0.25">
      <c r="B10" s="39">
        <v>44583</v>
      </c>
      <c r="C10">
        <v>2299.9853520000001</v>
      </c>
      <c r="D10" s="5">
        <f t="shared" si="0"/>
        <v>-8.4073236063741952E-2</v>
      </c>
      <c r="F10" s="39">
        <v>44583</v>
      </c>
      <c r="G10">
        <v>17101.949218999998</v>
      </c>
      <c r="H10" s="5">
        <f t="shared" si="1"/>
        <v>-2.9244296640800638E-2</v>
      </c>
      <c r="J10" t="s">
        <v>101</v>
      </c>
      <c r="L10" s="4">
        <v>0.25</v>
      </c>
      <c r="N10" s="170" t="s">
        <v>76</v>
      </c>
      <c r="O10" s="170"/>
      <c r="Y10" s="39">
        <v>44494</v>
      </c>
      <c r="Z10">
        <v>596.27148399999999</v>
      </c>
      <c r="AA10" s="5">
        <f t="shared" si="2"/>
        <v>4.6742990934951267E-2</v>
      </c>
      <c r="AC10" s="39">
        <v>44494</v>
      </c>
      <c r="AD10">
        <v>1050</v>
      </c>
      <c r="AE10" s="5">
        <f t="shared" si="3"/>
        <v>-4.3889959160998027E-2</v>
      </c>
      <c r="AG10" s="39">
        <v>44494</v>
      </c>
      <c r="AH10">
        <v>1202.8122559999999</v>
      </c>
      <c r="AI10" s="5">
        <f t="shared" si="4"/>
        <v>0.1480836196026678</v>
      </c>
      <c r="AK10" s="39">
        <v>44494</v>
      </c>
      <c r="AL10">
        <v>397.02856400000002</v>
      </c>
      <c r="AM10" s="5">
        <f t="shared" si="5"/>
        <v>-1.9775623673379039E-2</v>
      </c>
    </row>
    <row r="11" spans="2:39" x14ac:dyDescent="0.25">
      <c r="B11" s="39">
        <v>44590</v>
      </c>
      <c r="C11">
        <v>2454.4860840000001</v>
      </c>
      <c r="D11" s="5">
        <f t="shared" si="0"/>
        <v>6.7174659119307201E-2</v>
      </c>
      <c r="F11" s="39">
        <v>44590</v>
      </c>
      <c r="G11">
        <v>17516.300781000002</v>
      </c>
      <c r="H11" s="5">
        <f t="shared" si="1"/>
        <v>2.4228323724623468E-2</v>
      </c>
      <c r="N11" s="167" t="s">
        <v>77</v>
      </c>
      <c r="O11" s="167">
        <v>0.63273687832001035</v>
      </c>
      <c r="Y11" s="39">
        <v>44501</v>
      </c>
      <c r="Z11">
        <v>624.06176800000003</v>
      </c>
      <c r="AA11" s="5">
        <f t="shared" si="2"/>
        <v>4.6606763438648668E-2</v>
      </c>
      <c r="AC11" s="39">
        <v>44501</v>
      </c>
      <c r="AD11">
        <v>1082.650024</v>
      </c>
      <c r="AE11" s="5">
        <f t="shared" si="3"/>
        <v>3.109526095238091E-2</v>
      </c>
      <c r="AG11" s="39">
        <v>44501</v>
      </c>
      <c r="AH11">
        <v>1212.173096</v>
      </c>
      <c r="AI11" s="5">
        <f t="shared" si="4"/>
        <v>7.7824614384376378E-3</v>
      </c>
      <c r="AK11" s="39">
        <v>44501</v>
      </c>
      <c r="AL11">
        <v>399.275238</v>
      </c>
      <c r="AM11" s="5">
        <f t="shared" si="5"/>
        <v>5.6587213206151787E-3</v>
      </c>
    </row>
    <row r="12" spans="2:39" x14ac:dyDescent="0.25">
      <c r="B12" s="39">
        <v>44597</v>
      </c>
      <c r="C12">
        <v>2425.7810060000002</v>
      </c>
      <c r="D12" s="5">
        <f t="shared" si="0"/>
        <v>-1.1694944284719733E-2</v>
      </c>
      <c r="F12" s="39">
        <v>44597</v>
      </c>
      <c r="G12">
        <v>17374.75</v>
      </c>
      <c r="H12" s="5">
        <f t="shared" si="1"/>
        <v>-8.0810887395552644E-3</v>
      </c>
      <c r="J12" s="42" t="s">
        <v>103</v>
      </c>
      <c r="K12" s="42"/>
      <c r="L12" s="43">
        <f>L6*L7+(L9*L10)</f>
        <v>1.1239347589173712</v>
      </c>
      <c r="N12" s="167" t="s">
        <v>78</v>
      </c>
      <c r="O12" s="167">
        <v>0.40035595718615158</v>
      </c>
      <c r="Y12" s="39">
        <v>44508</v>
      </c>
      <c r="Z12">
        <v>620.930969</v>
      </c>
      <c r="AA12" s="5">
        <f t="shared" si="2"/>
        <v>-5.0168094899222249E-3</v>
      </c>
      <c r="AC12" s="39">
        <v>44508</v>
      </c>
      <c r="AD12">
        <v>1168.650024</v>
      </c>
      <c r="AE12" s="5">
        <f t="shared" si="3"/>
        <v>7.9434718601179233E-2</v>
      </c>
      <c r="AG12" s="39">
        <v>44508</v>
      </c>
      <c r="AH12">
        <v>1256.4644780000001</v>
      </c>
      <c r="AI12" s="5">
        <f t="shared" si="4"/>
        <v>3.6538826134778546E-2</v>
      </c>
      <c r="AK12" s="39">
        <v>44508</v>
      </c>
      <c r="AL12">
        <v>417.30038500000001</v>
      </c>
      <c r="AM12" s="5">
        <f t="shared" si="5"/>
        <v>4.5144665344861723E-2</v>
      </c>
    </row>
    <row r="13" spans="2:39" x14ac:dyDescent="0.25">
      <c r="B13" s="39">
        <v>44604</v>
      </c>
      <c r="C13">
        <v>2472.16626</v>
      </c>
      <c r="D13" s="5">
        <f t="shared" si="0"/>
        <v>1.9121781350117439E-2</v>
      </c>
      <c r="F13" s="39">
        <v>44604</v>
      </c>
      <c r="G13">
        <v>17276.300781000002</v>
      </c>
      <c r="H13" s="5">
        <f t="shared" si="1"/>
        <v>-5.66622362911684E-3</v>
      </c>
      <c r="N13" s="167" t="s">
        <v>79</v>
      </c>
      <c r="O13" s="167">
        <v>0.39441888745532144</v>
      </c>
      <c r="W13" s="166"/>
      <c r="X13" s="166"/>
      <c r="Y13" s="39">
        <v>44515</v>
      </c>
      <c r="Z13">
        <v>607.83221400000002</v>
      </c>
      <c r="AA13" s="5">
        <f t="shared" si="2"/>
        <v>-2.109534820125869E-2</v>
      </c>
      <c r="AC13" s="39">
        <v>44515</v>
      </c>
      <c r="AD13">
        <v>1156.849976</v>
      </c>
      <c r="AE13" s="5">
        <f t="shared" si="3"/>
        <v>-1.0097161474922456E-2</v>
      </c>
      <c r="AG13" s="39">
        <v>44515</v>
      </c>
      <c r="AH13">
        <v>1440.3793949999999</v>
      </c>
      <c r="AI13" s="5">
        <f t="shared" si="4"/>
        <v>0.14637494351829972</v>
      </c>
      <c r="AK13" s="39">
        <v>44515</v>
      </c>
      <c r="AL13">
        <v>460.04516599999999</v>
      </c>
      <c r="AM13" s="5">
        <f t="shared" si="5"/>
        <v>0.1024316835940613</v>
      </c>
    </row>
    <row r="14" spans="2:39" x14ac:dyDescent="0.25">
      <c r="B14" s="39">
        <v>44611</v>
      </c>
      <c r="C14">
        <v>2451.804443</v>
      </c>
      <c r="D14" s="5">
        <f t="shared" si="0"/>
        <v>-8.2364270273633799E-3</v>
      </c>
      <c r="F14" s="39">
        <v>44611</v>
      </c>
      <c r="G14">
        <v>16658.400390999999</v>
      </c>
      <c r="H14" s="5">
        <f t="shared" si="1"/>
        <v>-3.5765780987070617E-2</v>
      </c>
      <c r="N14" s="167" t="s">
        <v>80</v>
      </c>
      <c r="O14" s="167">
        <v>2.7043928611631195E-2</v>
      </c>
      <c r="W14" s="166"/>
      <c r="X14" s="166"/>
      <c r="Y14" s="39">
        <v>44522</v>
      </c>
      <c r="Z14">
        <v>569.25567599999999</v>
      </c>
      <c r="AA14" s="5">
        <f t="shared" si="2"/>
        <v>-6.3465767544857443E-2</v>
      </c>
      <c r="AC14" s="39">
        <v>44522</v>
      </c>
      <c r="AD14">
        <v>1181.599976</v>
      </c>
      <c r="AE14" s="5">
        <f t="shared" si="3"/>
        <v>2.1394303940410087E-2</v>
      </c>
      <c r="AG14" s="39">
        <v>44522</v>
      </c>
      <c r="AH14">
        <v>1481.1232910000001</v>
      </c>
      <c r="AI14" s="5">
        <f t="shared" si="4"/>
        <v>2.8286919502899632E-2</v>
      </c>
      <c r="AK14" s="39">
        <v>44522</v>
      </c>
      <c r="AL14">
        <v>462.05490099999997</v>
      </c>
      <c r="AM14" s="5">
        <f t="shared" si="5"/>
        <v>4.3685601948049158E-3</v>
      </c>
    </row>
    <row r="15" spans="2:39" ht="15.75" thickBot="1" x14ac:dyDescent="0.3">
      <c r="B15" s="39">
        <v>44618</v>
      </c>
      <c r="C15">
        <v>2424.5395509999998</v>
      </c>
      <c r="D15" s="5">
        <f t="shared" si="0"/>
        <v>-1.1120337136937053E-2</v>
      </c>
      <c r="F15" s="39">
        <v>44618</v>
      </c>
      <c r="G15">
        <v>16245.349609000001</v>
      </c>
      <c r="H15" s="5">
        <f t="shared" si="1"/>
        <v>-2.479534482933643E-2</v>
      </c>
      <c r="N15" s="168" t="s">
        <v>81</v>
      </c>
      <c r="O15" s="168">
        <v>103</v>
      </c>
      <c r="W15" s="166"/>
      <c r="X15" s="166"/>
      <c r="Y15" s="39">
        <v>44529</v>
      </c>
      <c r="Z15">
        <v>603.76586899999995</v>
      </c>
      <c r="AA15" s="5">
        <f t="shared" si="2"/>
        <v>6.0623362146326576E-2</v>
      </c>
      <c r="AC15" s="39">
        <v>44529</v>
      </c>
      <c r="AD15">
        <v>1097.099976</v>
      </c>
      <c r="AE15" s="5">
        <f t="shared" si="3"/>
        <v>-7.1513203889909338E-2</v>
      </c>
      <c r="AG15" s="39">
        <v>44529</v>
      </c>
      <c r="AH15">
        <v>1499.2044679999999</v>
      </c>
      <c r="AI15" s="5">
        <f t="shared" si="4"/>
        <v>1.2207746046442924E-2</v>
      </c>
      <c r="AK15" s="39">
        <v>44529</v>
      </c>
      <c r="AL15">
        <v>473.47640999999999</v>
      </c>
      <c r="AM15" s="5">
        <f t="shared" si="5"/>
        <v>2.4718943517926251E-2</v>
      </c>
    </row>
    <row r="16" spans="2:39" x14ac:dyDescent="0.25">
      <c r="B16" s="39">
        <v>44625</v>
      </c>
      <c r="C16">
        <v>2476.7849120000001</v>
      </c>
      <c r="D16" s="5">
        <f t="shared" si="0"/>
        <v>2.1548570316558324E-2</v>
      </c>
      <c r="F16" s="39">
        <v>44625</v>
      </c>
      <c r="G16">
        <v>16630.449218999998</v>
      </c>
      <c r="H16" s="5">
        <f t="shared" si="1"/>
        <v>2.3705221449137115E-2</v>
      </c>
      <c r="W16" s="166"/>
      <c r="X16" s="166"/>
      <c r="Y16" s="39">
        <v>44536</v>
      </c>
      <c r="Z16">
        <v>597.21643100000006</v>
      </c>
      <c r="AA16" s="5">
        <f t="shared" si="2"/>
        <v>-1.0847645314644105E-2</v>
      </c>
      <c r="AC16" s="39">
        <v>44536</v>
      </c>
      <c r="AD16">
        <v>1083.9499510000001</v>
      </c>
      <c r="AE16" s="5">
        <f t="shared" si="3"/>
        <v>-1.1986168341689862E-2</v>
      </c>
      <c r="AG16" s="39">
        <v>44536</v>
      </c>
      <c r="AH16">
        <v>1767.76062</v>
      </c>
      <c r="AI16" s="5">
        <f t="shared" si="4"/>
        <v>0.17913243839131887</v>
      </c>
      <c r="AK16" s="39">
        <v>44536</v>
      </c>
      <c r="AL16">
        <v>469.603882</v>
      </c>
      <c r="AM16" s="5">
        <f t="shared" si="5"/>
        <v>-8.1789249014538878E-3</v>
      </c>
    </row>
    <row r="17" spans="2:39" ht="15.75" thickBot="1" x14ac:dyDescent="0.3">
      <c r="B17" s="39">
        <v>44632</v>
      </c>
      <c r="C17">
        <v>2684.7727049999999</v>
      </c>
      <c r="D17" s="5">
        <f t="shared" si="0"/>
        <v>8.3974911181144973E-2</v>
      </c>
      <c r="F17" s="39">
        <v>44632</v>
      </c>
      <c r="G17">
        <v>17287.050781000002</v>
      </c>
      <c r="H17" s="5">
        <f t="shared" si="1"/>
        <v>3.9481889716475482E-2</v>
      </c>
      <c r="N17" t="s">
        <v>82</v>
      </c>
      <c r="W17" s="166"/>
      <c r="X17" s="166"/>
      <c r="Y17" s="39">
        <v>44543</v>
      </c>
      <c r="Z17">
        <v>600.88696300000004</v>
      </c>
      <c r="AA17" s="5">
        <f t="shared" si="2"/>
        <v>6.1460666677470854E-3</v>
      </c>
      <c r="AC17" s="39">
        <v>44543</v>
      </c>
      <c r="AD17">
        <v>1080.849976</v>
      </c>
      <c r="AE17" s="5">
        <f t="shared" si="3"/>
        <v>-2.859887577964515E-3</v>
      </c>
      <c r="AG17" s="39">
        <v>44543</v>
      </c>
      <c r="AH17">
        <v>1759.1879879999999</v>
      </c>
      <c r="AI17" s="5">
        <f t="shared" si="4"/>
        <v>-4.8494303487766066E-3</v>
      </c>
      <c r="AK17" s="39">
        <v>44543</v>
      </c>
      <c r="AL17">
        <v>488.08410600000002</v>
      </c>
      <c r="AM17" s="5">
        <f t="shared" si="5"/>
        <v>3.93527922326673E-2</v>
      </c>
    </row>
    <row r="18" spans="2:39" x14ac:dyDescent="0.25">
      <c r="B18" s="39">
        <v>44639</v>
      </c>
      <c r="C18">
        <v>2506.8803710000002</v>
      </c>
      <c r="D18" s="5">
        <f t="shared" si="0"/>
        <v>-6.6259737246546435E-2</v>
      </c>
      <c r="F18" s="39">
        <v>44639</v>
      </c>
      <c r="G18">
        <v>17153</v>
      </c>
      <c r="H18" s="5">
        <f t="shared" si="1"/>
        <v>-7.7544043051771538E-3</v>
      </c>
      <c r="N18" s="169"/>
      <c r="O18" s="169" t="s">
        <v>86</v>
      </c>
      <c r="W18" s="166"/>
      <c r="X18" s="166"/>
      <c r="Y18" s="39">
        <v>44550</v>
      </c>
      <c r="Z18">
        <v>605.27722200000005</v>
      </c>
      <c r="AA18" s="5">
        <f t="shared" si="2"/>
        <v>7.3062976405431357E-3</v>
      </c>
      <c r="AC18" s="39">
        <v>44550</v>
      </c>
      <c r="AD18">
        <v>1084.349976</v>
      </c>
      <c r="AE18" s="5">
        <f t="shared" si="3"/>
        <v>3.2381922354782766E-3</v>
      </c>
      <c r="AG18" s="39">
        <v>44550</v>
      </c>
      <c r="AH18">
        <v>1863.7827150000001</v>
      </c>
      <c r="AI18" s="5">
        <f t="shared" si="4"/>
        <v>5.9456253517802038E-2</v>
      </c>
      <c r="AK18" s="39">
        <v>44550</v>
      </c>
      <c r="AL18">
        <v>520.14263900000003</v>
      </c>
      <c r="AM18" s="5">
        <f t="shared" si="5"/>
        <v>6.5682394910847597E-2</v>
      </c>
    </row>
    <row r="19" spans="2:39" x14ac:dyDescent="0.25">
      <c r="B19" s="39">
        <v>44646</v>
      </c>
      <c r="C19">
        <v>2503.851318</v>
      </c>
      <c r="D19" s="5">
        <f t="shared" si="0"/>
        <v>-1.2082957906730529E-3</v>
      </c>
      <c r="F19" s="39">
        <v>44646</v>
      </c>
      <c r="G19">
        <v>17670.449218999998</v>
      </c>
      <c r="H19" s="5">
        <f t="shared" si="1"/>
        <v>3.0166689150585846E-2</v>
      </c>
      <c r="N19" s="167" t="s">
        <v>83</v>
      </c>
      <c r="O19" s="167">
        <v>1</v>
      </c>
      <c r="W19" s="166"/>
      <c r="X19" s="166"/>
      <c r="Y19" s="39">
        <v>44557</v>
      </c>
      <c r="Z19">
        <v>630.32318099999998</v>
      </c>
      <c r="AA19" s="5">
        <f t="shared" si="2"/>
        <v>4.1379318582716929E-2</v>
      </c>
      <c r="AC19" s="39">
        <v>44557</v>
      </c>
      <c r="AD19">
        <v>1127.4499510000001</v>
      </c>
      <c r="AE19" s="5">
        <f t="shared" si="3"/>
        <v>3.9747291883557079E-2</v>
      </c>
      <c r="AG19" s="39">
        <v>44557</v>
      </c>
      <c r="AH19">
        <v>1855.653442</v>
      </c>
      <c r="AI19" s="5">
        <f t="shared" si="4"/>
        <v>-4.3617064020254892E-3</v>
      </c>
      <c r="AK19" s="39">
        <v>44557</v>
      </c>
      <c r="AL19">
        <v>534.01513699999998</v>
      </c>
      <c r="AM19" s="5">
        <f t="shared" si="5"/>
        <v>2.6670564879415659E-2</v>
      </c>
    </row>
    <row r="20" spans="2:39" x14ac:dyDescent="0.25">
      <c r="B20" s="39">
        <v>44653</v>
      </c>
      <c r="C20">
        <v>2493.0246579999998</v>
      </c>
      <c r="D20" s="5">
        <f t="shared" si="0"/>
        <v>-4.3240027561413097E-3</v>
      </c>
      <c r="F20" s="39">
        <v>44653</v>
      </c>
      <c r="G20">
        <v>17784.349609000001</v>
      </c>
      <c r="H20" s="5">
        <f t="shared" si="1"/>
        <v>6.4458117950692007E-3</v>
      </c>
      <c r="N20" s="167" t="s">
        <v>84</v>
      </c>
      <c r="O20" s="167">
        <v>101</v>
      </c>
      <c r="W20" s="166"/>
      <c r="X20" s="166"/>
      <c r="Y20" s="39">
        <v>44564</v>
      </c>
      <c r="Z20">
        <v>622.22644000000003</v>
      </c>
      <c r="AA20" s="5">
        <f t="shared" si="2"/>
        <v>-1.284538034465843E-2</v>
      </c>
      <c r="AC20" s="39">
        <v>44564</v>
      </c>
      <c r="AD20">
        <v>1302.599976</v>
      </c>
      <c r="AE20" s="5">
        <f t="shared" si="3"/>
        <v>0.15535059879567092</v>
      </c>
      <c r="AG20" s="39">
        <v>44564</v>
      </c>
      <c r="AH20">
        <v>1790.670044</v>
      </c>
      <c r="AI20" s="5">
        <f t="shared" si="4"/>
        <v>-3.5019145563064735E-2</v>
      </c>
      <c r="AK20" s="39">
        <v>44564</v>
      </c>
      <c r="AL20">
        <v>565.97558600000002</v>
      </c>
      <c r="AM20" s="5">
        <f t="shared" si="5"/>
        <v>5.9849331574284736E-2</v>
      </c>
    </row>
    <row r="21" spans="2:39" ht="15.75" thickBot="1" x14ac:dyDescent="0.3">
      <c r="B21" s="39">
        <v>44660</v>
      </c>
      <c r="C21">
        <v>2444.7524410000001</v>
      </c>
      <c r="D21" s="5">
        <f t="shared" si="0"/>
        <v>-1.9362911973251573E-2</v>
      </c>
      <c r="F21" s="39">
        <v>44660</v>
      </c>
      <c r="G21">
        <v>17475.650390999999</v>
      </c>
      <c r="H21" s="5">
        <f t="shared" si="1"/>
        <v>-1.7357914390289553E-2</v>
      </c>
      <c r="N21" s="168" t="s">
        <v>6</v>
      </c>
      <c r="O21" s="168">
        <v>102</v>
      </c>
      <c r="W21" s="166"/>
      <c r="X21" s="166"/>
      <c r="Y21" s="39">
        <v>44571</v>
      </c>
      <c r="Z21">
        <v>620.82305899999994</v>
      </c>
      <c r="AA21" s="5">
        <f t="shared" si="2"/>
        <v>-2.2554184614850259E-3</v>
      </c>
      <c r="AC21" s="39">
        <v>44571</v>
      </c>
      <c r="AD21">
        <v>1480.3000489999999</v>
      </c>
      <c r="AE21" s="5">
        <f t="shared" si="3"/>
        <v>0.13641952731004814</v>
      </c>
      <c r="AG21" s="39">
        <v>44571</v>
      </c>
      <c r="AH21">
        <v>2031.488525</v>
      </c>
      <c r="AI21" s="5">
        <f t="shared" si="4"/>
        <v>0.13448512293312254</v>
      </c>
      <c r="AK21" s="39">
        <v>44571</v>
      </c>
      <c r="AL21">
        <v>546.07379200000003</v>
      </c>
      <c r="AM21" s="5">
        <f t="shared" si="5"/>
        <v>-3.5163696972611125E-2</v>
      </c>
    </row>
    <row r="22" spans="2:39" ht="15.75" thickBot="1" x14ac:dyDescent="0.3">
      <c r="B22" s="39">
        <v>44667</v>
      </c>
      <c r="C22">
        <v>2495.7561040000001</v>
      </c>
      <c r="D22" s="5">
        <f t="shared" si="0"/>
        <v>2.0862506217250054E-2</v>
      </c>
      <c r="F22" s="39">
        <v>44667</v>
      </c>
      <c r="G22">
        <v>17171.949218999998</v>
      </c>
      <c r="H22" s="5">
        <f t="shared" si="1"/>
        <v>-1.7378533285170805E-2</v>
      </c>
      <c r="W22" s="166"/>
      <c r="X22" s="166"/>
      <c r="Y22" s="39">
        <v>44578</v>
      </c>
      <c r="Z22">
        <v>619.45556599999998</v>
      </c>
      <c r="AA22" s="5">
        <f t="shared" si="2"/>
        <v>-2.2027097418105823E-3</v>
      </c>
      <c r="AC22" s="39">
        <v>44578</v>
      </c>
      <c r="AD22">
        <v>1379.099976</v>
      </c>
      <c r="AE22" s="5">
        <f t="shared" si="3"/>
        <v>-6.8364567756627803E-2</v>
      </c>
      <c r="AG22" s="39">
        <v>44578</v>
      </c>
      <c r="AH22">
        <v>1847.6229249999999</v>
      </c>
      <c r="AI22" s="5">
        <f t="shared" si="4"/>
        <v>-9.0507821106200925E-2</v>
      </c>
      <c r="AK22" s="39">
        <v>44578</v>
      </c>
      <c r="AL22">
        <v>477.692047</v>
      </c>
      <c r="AM22" s="5">
        <f t="shared" si="5"/>
        <v>-0.12522436711264107</v>
      </c>
    </row>
    <row r="23" spans="2:39" x14ac:dyDescent="0.25">
      <c r="B23" s="39">
        <v>44674</v>
      </c>
      <c r="C23">
        <v>2441.6235350000002</v>
      </c>
      <c r="D23" s="5">
        <f t="shared" si="0"/>
        <v>-2.1689847382619032E-2</v>
      </c>
      <c r="F23" s="39">
        <v>44674</v>
      </c>
      <c r="G23">
        <v>17102.550781000002</v>
      </c>
      <c r="H23" s="5">
        <f t="shared" si="1"/>
        <v>-4.041383835634127E-3</v>
      </c>
      <c r="N23" s="169"/>
      <c r="O23" s="169" t="s">
        <v>91</v>
      </c>
      <c r="P23" s="169" t="s">
        <v>87</v>
      </c>
      <c r="Q23" s="169" t="s">
        <v>88</v>
      </c>
      <c r="R23" s="169" t="s">
        <v>89</v>
      </c>
      <c r="S23" s="169" t="s">
        <v>90</v>
      </c>
      <c r="W23" s="166"/>
      <c r="X23" s="166"/>
      <c r="Y23" s="39">
        <v>44585</v>
      </c>
      <c r="Z23">
        <v>590.01934800000004</v>
      </c>
      <c r="AA23" s="5">
        <f t="shared" si="2"/>
        <v>-4.75194987593347E-2</v>
      </c>
      <c r="AC23" s="39">
        <v>44585</v>
      </c>
      <c r="AD23">
        <v>1212.8000489999999</v>
      </c>
      <c r="AE23" s="5">
        <f t="shared" si="3"/>
        <v>-0.12058583851356697</v>
      </c>
      <c r="AG23" s="39">
        <v>44585</v>
      </c>
      <c r="AH23">
        <v>1671.344482</v>
      </c>
      <c r="AI23" s="5">
        <f t="shared" si="4"/>
        <v>-9.5408235422279053E-2</v>
      </c>
      <c r="AK23" s="39">
        <v>44585</v>
      </c>
      <c r="AL23">
        <v>436.36886600000003</v>
      </c>
      <c r="AM23" s="5">
        <f t="shared" si="5"/>
        <v>-8.6505901154347642E-2</v>
      </c>
    </row>
    <row r="24" spans="2:39" x14ac:dyDescent="0.25">
      <c r="B24" s="39">
        <v>44681</v>
      </c>
      <c r="C24">
        <v>2193.8557129999999</v>
      </c>
      <c r="D24" s="5">
        <f t="shared" si="0"/>
        <v>-0.10147666847420045</v>
      </c>
      <c r="F24" s="39">
        <v>44681</v>
      </c>
      <c r="G24">
        <v>16411.25</v>
      </c>
      <c r="H24" s="5">
        <f t="shared" si="1"/>
        <v>-4.0420916730619982E-2</v>
      </c>
      <c r="N24" s="167" t="s">
        <v>85</v>
      </c>
      <c r="O24" s="167">
        <v>1.679443405197498E-3</v>
      </c>
      <c r="P24" s="167">
        <v>4.931893695598058E-2</v>
      </c>
      <c r="Q24" s="167">
        <v>4.931893695598058E-2</v>
      </c>
      <c r="R24" s="167">
        <v>67.433258381179513</v>
      </c>
      <c r="S24" s="167">
        <v>7.4989273670027338E-13</v>
      </c>
      <c r="W24" s="166"/>
      <c r="X24" s="166"/>
      <c r="Y24" s="39">
        <v>44592</v>
      </c>
      <c r="Z24">
        <v>605.097351</v>
      </c>
      <c r="AA24" s="5">
        <f t="shared" si="2"/>
        <v>2.5555099254134905E-2</v>
      </c>
      <c r="AC24" s="39">
        <v>44592</v>
      </c>
      <c r="AD24">
        <v>1259.1999510000001</v>
      </c>
      <c r="AE24" s="5">
        <f t="shared" si="3"/>
        <v>3.8258492847405901E-2</v>
      </c>
      <c r="AG24" s="39">
        <v>44592</v>
      </c>
      <c r="AH24">
        <v>1712.876831</v>
      </c>
      <c r="AI24" s="5">
        <f t="shared" si="4"/>
        <v>2.4849664116101788E-2</v>
      </c>
      <c r="AK24" s="39">
        <v>44592</v>
      </c>
      <c r="AL24">
        <v>458.23141500000003</v>
      </c>
      <c r="AM24" s="5">
        <f t="shared" si="5"/>
        <v>5.0101074351166064E-2</v>
      </c>
    </row>
    <row r="25" spans="2:39" ht="15.75" thickBot="1" x14ac:dyDescent="0.3">
      <c r="B25" s="39">
        <v>44688</v>
      </c>
      <c r="C25">
        <v>2077.594971</v>
      </c>
      <c r="D25" s="5">
        <f t="shared" si="0"/>
        <v>-5.2993795950700195E-2</v>
      </c>
      <c r="F25" s="39">
        <v>44688</v>
      </c>
      <c r="G25">
        <v>15782.150390999999</v>
      </c>
      <c r="H25" s="5">
        <f t="shared" si="1"/>
        <v>-3.8333436453652281E-2</v>
      </c>
      <c r="N25" s="168" t="s">
        <v>98</v>
      </c>
      <c r="O25" s="168">
        <v>1.1652463452231616</v>
      </c>
      <c r="P25" s="167">
        <v>7.3868781549851451E-2</v>
      </c>
      <c r="Q25" s="167">
        <v>7.3137407475100445E-4</v>
      </c>
      <c r="R25" s="167"/>
      <c r="S25" s="167"/>
      <c r="W25" s="166"/>
      <c r="X25" s="166"/>
      <c r="Y25" s="39">
        <v>44599</v>
      </c>
      <c r="Z25">
        <v>559.82751499999995</v>
      </c>
      <c r="AA25" s="5">
        <f t="shared" si="2"/>
        <v>-7.4814136808210918E-2</v>
      </c>
      <c r="AC25" s="39">
        <v>44599</v>
      </c>
      <c r="AD25">
        <v>1222.6999510000001</v>
      </c>
      <c r="AE25" s="5">
        <f t="shared" si="3"/>
        <v>-2.8986659323654962E-2</v>
      </c>
      <c r="AG25" s="39">
        <v>44599</v>
      </c>
      <c r="AH25">
        <v>1536.0070800000001</v>
      </c>
      <c r="AI25" s="5">
        <f t="shared" si="4"/>
        <v>-0.10325888458467913</v>
      </c>
      <c r="AK25" s="39">
        <v>44599</v>
      </c>
      <c r="AL25">
        <v>444.11389200000002</v>
      </c>
      <c r="AM25" s="5">
        <f t="shared" si="5"/>
        <v>-3.0808719214504343E-2</v>
      </c>
    </row>
    <row r="26" spans="2:39" ht="15.75" thickBot="1" x14ac:dyDescent="0.3">
      <c r="B26" s="39">
        <v>44695</v>
      </c>
      <c r="C26">
        <v>2122.639404</v>
      </c>
      <c r="D26" s="5">
        <f t="shared" si="0"/>
        <v>2.1681046416048622E-2</v>
      </c>
      <c r="F26" s="39">
        <v>44695</v>
      </c>
      <c r="G26">
        <v>16266.150390999999</v>
      </c>
      <c r="H26" s="5">
        <f t="shared" si="1"/>
        <v>3.0667557209187901E-2</v>
      </c>
      <c r="P26" s="168">
        <v>0.12318771850583203</v>
      </c>
      <c r="Q26" s="168"/>
      <c r="R26" s="168"/>
      <c r="S26" s="168"/>
      <c r="W26" s="166"/>
      <c r="X26" s="166"/>
      <c r="Y26" s="39">
        <v>44606</v>
      </c>
      <c r="Z26">
        <v>547.62835700000005</v>
      </c>
      <c r="AA26" s="5">
        <f t="shared" si="2"/>
        <v>-2.1790922512981314E-2</v>
      </c>
      <c r="AC26" s="39">
        <v>44606</v>
      </c>
      <c r="AD26">
        <v>1200.150024</v>
      </c>
      <c r="AE26" s="5">
        <f t="shared" si="3"/>
        <v>-1.8442731580677107E-2</v>
      </c>
      <c r="AG26" s="39">
        <v>44606</v>
      </c>
      <c r="AH26">
        <v>1630.4033199999999</v>
      </c>
      <c r="AI26" s="5">
        <f t="shared" si="4"/>
        <v>6.1455602144750321E-2</v>
      </c>
      <c r="AK26" s="39">
        <v>44606</v>
      </c>
      <c r="AL26">
        <v>418.32983400000001</v>
      </c>
      <c r="AM26" s="5">
        <f t="shared" si="5"/>
        <v>-5.8057310218073588E-2</v>
      </c>
    </row>
    <row r="27" spans="2:39" ht="15.75" thickBot="1" x14ac:dyDescent="0.3">
      <c r="B27" s="39">
        <v>44702</v>
      </c>
      <c r="C27">
        <v>2134.7072750000002</v>
      </c>
      <c r="D27" s="5">
        <f t="shared" si="0"/>
        <v>5.685313754780541E-3</v>
      </c>
      <c r="F27" s="39">
        <v>44702</v>
      </c>
      <c r="G27">
        <v>16352.450194999999</v>
      </c>
      <c r="H27" s="5">
        <f t="shared" si="1"/>
        <v>5.3054842064996777E-3</v>
      </c>
      <c r="W27" s="166"/>
      <c r="X27" s="166"/>
      <c r="Y27" s="39">
        <v>44613</v>
      </c>
      <c r="Z27">
        <v>531.902649</v>
      </c>
      <c r="AA27" s="5">
        <f t="shared" si="2"/>
        <v>-2.8716022095985116E-2</v>
      </c>
      <c r="AC27" s="39">
        <v>44613</v>
      </c>
      <c r="AD27">
        <v>1194.0500489999999</v>
      </c>
      <c r="AE27" s="5">
        <f t="shared" si="3"/>
        <v>-5.0826770637135699E-3</v>
      </c>
      <c r="AG27" s="39">
        <v>44613</v>
      </c>
      <c r="AH27">
        <v>1489.2032469999999</v>
      </c>
      <c r="AI27" s="5">
        <f t="shared" si="4"/>
        <v>-8.6604382650545597E-2</v>
      </c>
      <c r="AK27" s="39">
        <v>44613</v>
      </c>
      <c r="AL27">
        <v>395.63388099999997</v>
      </c>
      <c r="AM27" s="5">
        <f t="shared" si="5"/>
        <v>-5.4253727932777607E-2</v>
      </c>
    </row>
    <row r="28" spans="2:39" x14ac:dyDescent="0.25">
      <c r="B28" s="39">
        <v>44709</v>
      </c>
      <c r="C28">
        <v>2189.5349120000001</v>
      </c>
      <c r="D28" s="5">
        <f t="shared" si="0"/>
        <v>2.5683913500505584E-2</v>
      </c>
      <c r="F28" s="39">
        <v>44709</v>
      </c>
      <c r="G28">
        <v>16584.300781000002</v>
      </c>
      <c r="H28" s="5">
        <f t="shared" si="1"/>
        <v>1.4178339223494207E-2</v>
      </c>
      <c r="P28" s="169" t="s">
        <v>80</v>
      </c>
      <c r="Q28" s="169" t="s">
        <v>92</v>
      </c>
      <c r="R28" s="169" t="s">
        <v>93</v>
      </c>
      <c r="S28" s="169" t="s">
        <v>94</v>
      </c>
      <c r="T28" s="169" t="s">
        <v>95</v>
      </c>
      <c r="U28" s="169" t="s">
        <v>96</v>
      </c>
      <c r="V28" s="169" t="s">
        <v>97</v>
      </c>
      <c r="W28" s="166"/>
      <c r="X28" s="166"/>
      <c r="Y28" s="39">
        <v>44620</v>
      </c>
      <c r="Z28">
        <v>543.09417699999995</v>
      </c>
      <c r="AA28" s="5">
        <f t="shared" si="2"/>
        <v>2.104055699109697E-2</v>
      </c>
      <c r="AC28" s="39">
        <v>44620</v>
      </c>
      <c r="AD28">
        <v>1157.9499510000001</v>
      </c>
      <c r="AE28" s="5">
        <f t="shared" si="3"/>
        <v>-3.0233320647014117E-2</v>
      </c>
      <c r="AG28" s="39">
        <v>44620</v>
      </c>
      <c r="AH28">
        <v>1474.423096</v>
      </c>
      <c r="AI28" s="5">
        <f t="shared" si="4"/>
        <v>-9.9248715914195262E-3</v>
      </c>
      <c r="AK28" s="39">
        <v>44620</v>
      </c>
      <c r="AL28">
        <v>429.35913099999999</v>
      </c>
      <c r="AM28" s="5">
        <f t="shared" si="5"/>
        <v>8.5243584080201718E-2</v>
      </c>
    </row>
    <row r="29" spans="2:39" x14ac:dyDescent="0.25">
      <c r="B29" s="39">
        <v>44716</v>
      </c>
      <c r="C29">
        <v>2127.8041990000002</v>
      </c>
      <c r="D29" s="5">
        <f t="shared" si="0"/>
        <v>-2.8193527612497826E-2</v>
      </c>
      <c r="F29" s="39">
        <v>44716</v>
      </c>
      <c r="G29">
        <v>16201.799805000001</v>
      </c>
      <c r="H29" s="5">
        <f t="shared" si="1"/>
        <v>-2.3064039964724836E-2</v>
      </c>
      <c r="P29" s="167">
        <v>2.6814751798768747E-3</v>
      </c>
      <c r="Q29" s="167">
        <v>0.62631323899653368</v>
      </c>
      <c r="R29" s="167">
        <v>0.53252247838959643</v>
      </c>
      <c r="S29" s="167">
        <v>-3.6398820427802148E-3</v>
      </c>
      <c r="T29" s="167">
        <v>6.9987688531752109E-3</v>
      </c>
      <c r="U29" s="167">
        <v>-3.6398820427802148E-3</v>
      </c>
      <c r="V29" s="167">
        <v>6.9987688531752109E-3</v>
      </c>
      <c r="W29" s="166"/>
      <c r="X29" s="166"/>
      <c r="Y29" s="39">
        <v>44627</v>
      </c>
      <c r="Z29">
        <v>543.31011999999998</v>
      </c>
      <c r="AA29" s="5">
        <f t="shared" si="2"/>
        <v>3.9761612100663868E-4</v>
      </c>
      <c r="AC29" s="39">
        <v>44627</v>
      </c>
      <c r="AD29">
        <v>1251</v>
      </c>
      <c r="AE29" s="5">
        <f t="shared" si="3"/>
        <v>8.0357574107276619E-2</v>
      </c>
      <c r="AG29" s="39">
        <v>44627</v>
      </c>
      <c r="AH29">
        <v>1486.0008539999999</v>
      </c>
      <c r="AI29" s="5">
        <f t="shared" si="4"/>
        <v>7.8523986984533334E-3</v>
      </c>
      <c r="AK29" s="39">
        <v>44627</v>
      </c>
      <c r="AL29">
        <v>444.35897799999998</v>
      </c>
      <c r="AM29" s="5">
        <f t="shared" si="5"/>
        <v>3.4935432641352238E-2</v>
      </c>
    </row>
    <row r="30" spans="2:39" ht="15.75" thickBot="1" x14ac:dyDescent="0.3">
      <c r="B30" s="39">
        <v>44723</v>
      </c>
      <c r="C30">
        <v>1923.391846</v>
      </c>
      <c r="D30" s="5">
        <f t="shared" si="0"/>
        <v>-9.6067275878141123E-2</v>
      </c>
      <c r="F30" s="39">
        <v>44723</v>
      </c>
      <c r="G30">
        <v>15293.5</v>
      </c>
      <c r="H30" s="5">
        <f t="shared" si="1"/>
        <v>-5.606166079892505E-2</v>
      </c>
      <c r="P30" s="168">
        <v>0.14189943844676631</v>
      </c>
      <c r="Q30" s="168">
        <v>8.2117755924756874</v>
      </c>
      <c r="R30" s="168">
        <v>7.4989273670029498E-13</v>
      </c>
      <c r="S30" s="168">
        <v>0.88375602987432078</v>
      </c>
      <c r="T30" s="168">
        <v>1.4467366605720025</v>
      </c>
      <c r="U30" s="168">
        <v>0.88375602987432078</v>
      </c>
      <c r="V30" s="168">
        <v>1.4467366605720025</v>
      </c>
      <c r="W30" s="166"/>
      <c r="X30" s="166"/>
      <c r="Y30" s="39">
        <v>44634</v>
      </c>
      <c r="Z30">
        <v>559.71954300000004</v>
      </c>
      <c r="AA30" s="5">
        <f t="shared" si="2"/>
        <v>3.0202682401719416E-2</v>
      </c>
      <c r="AC30" s="39">
        <v>44634</v>
      </c>
      <c r="AD30">
        <v>1210.6999510000001</v>
      </c>
      <c r="AE30" s="5">
        <f t="shared" si="3"/>
        <v>-3.22142677857713E-2</v>
      </c>
      <c r="AG30" s="39">
        <v>44634</v>
      </c>
      <c r="AH30">
        <v>1444.468384</v>
      </c>
      <c r="AI30" s="5">
        <f t="shared" si="4"/>
        <v>-2.7949156212261461E-2</v>
      </c>
      <c r="AK30" s="39">
        <v>44634</v>
      </c>
      <c r="AL30">
        <v>435.24142499999999</v>
      </c>
      <c r="AM30" s="5">
        <f t="shared" si="5"/>
        <v>-2.0518439935740429E-2</v>
      </c>
    </row>
    <row r="31" spans="2:39" x14ac:dyDescent="0.25">
      <c r="B31" s="39">
        <v>44730</v>
      </c>
      <c r="C31">
        <v>2031.8057859999999</v>
      </c>
      <c r="D31" s="5">
        <f t="shared" si="0"/>
        <v>5.6366018305351595E-2</v>
      </c>
      <c r="F31" s="39">
        <v>44730</v>
      </c>
      <c r="G31">
        <v>15699.25</v>
      </c>
      <c r="H31" s="5">
        <f t="shared" si="1"/>
        <v>2.6530879131657192E-2</v>
      </c>
      <c r="Y31" s="39">
        <v>44641</v>
      </c>
      <c r="Z31">
        <v>551.94665499999996</v>
      </c>
      <c r="AA31" s="5">
        <f t="shared" si="2"/>
        <v>-1.3887112031748527E-2</v>
      </c>
      <c r="AC31" s="39">
        <v>44641</v>
      </c>
      <c r="AD31">
        <v>1208.75</v>
      </c>
      <c r="AE31" s="5">
        <f t="shared" si="3"/>
        <v>-1.6105980663412289E-3</v>
      </c>
      <c r="AG31" s="39">
        <v>44641</v>
      </c>
      <c r="AH31">
        <v>1361.7486570000001</v>
      </c>
      <c r="AI31" s="5">
        <f t="shared" si="4"/>
        <v>-5.7266554198253661E-2</v>
      </c>
      <c r="AK31" s="39">
        <v>44641</v>
      </c>
      <c r="AL31">
        <v>456.76083399999999</v>
      </c>
      <c r="AM31" s="5">
        <f t="shared" si="5"/>
        <v>4.9442465178952011E-2</v>
      </c>
    </row>
    <row r="32" spans="2:39" x14ac:dyDescent="0.25">
      <c r="B32" s="39">
        <v>44737</v>
      </c>
      <c r="C32">
        <v>1933.0760499999999</v>
      </c>
      <c r="D32" s="5">
        <f t="shared" si="0"/>
        <v>-4.8592112829035972E-2</v>
      </c>
      <c r="F32" s="39">
        <v>44737</v>
      </c>
      <c r="G32">
        <v>15752.049805000001</v>
      </c>
      <c r="H32" s="5">
        <f t="shared" si="1"/>
        <v>3.3632055671448668E-3</v>
      </c>
      <c r="Y32" s="39">
        <v>44648</v>
      </c>
      <c r="Z32">
        <v>540.97100799999998</v>
      </c>
      <c r="AA32" s="5">
        <f t="shared" si="2"/>
        <v>-1.9885340187449807E-2</v>
      </c>
      <c r="AC32" s="39">
        <v>44648</v>
      </c>
      <c r="AD32">
        <v>1268.5500489999999</v>
      </c>
      <c r="AE32" s="5">
        <f t="shared" si="3"/>
        <v>4.9472636194415776E-2</v>
      </c>
      <c r="AG32" s="39">
        <v>44648</v>
      </c>
      <c r="AH32">
        <v>1462.4510499999999</v>
      </c>
      <c r="AI32" s="5">
        <f t="shared" si="4"/>
        <v>7.3950792961934741E-2</v>
      </c>
      <c r="AK32" s="39">
        <v>44648</v>
      </c>
      <c r="AL32">
        <v>457.447113</v>
      </c>
      <c r="AM32" s="5">
        <f t="shared" si="5"/>
        <v>1.5024909075282977E-3</v>
      </c>
    </row>
    <row r="33" spans="2:39" x14ac:dyDescent="0.25">
      <c r="B33" s="39">
        <v>44744</v>
      </c>
      <c r="C33">
        <v>2129.8901369999999</v>
      </c>
      <c r="D33" s="5">
        <f t="shared" si="0"/>
        <v>0.10181393898082791</v>
      </c>
      <c r="F33" s="39">
        <v>44744</v>
      </c>
      <c r="G33">
        <v>16220.599609000001</v>
      </c>
      <c r="H33" s="5">
        <f t="shared" si="1"/>
        <v>2.9745322659611828E-2</v>
      </c>
      <c r="Y33" s="39">
        <v>44655</v>
      </c>
      <c r="Z33">
        <v>575.73309300000005</v>
      </c>
      <c r="AA33" s="5">
        <f t="shared" si="2"/>
        <v>6.425868389605105E-2</v>
      </c>
      <c r="AC33" s="39">
        <v>44655</v>
      </c>
      <c r="AD33">
        <v>1275.9499510000001</v>
      </c>
      <c r="AE33" s="5">
        <f t="shared" si="3"/>
        <v>5.8333543921531561E-3</v>
      </c>
      <c r="AG33" s="39">
        <v>44655</v>
      </c>
      <c r="AH33">
        <v>1588.0826420000001</v>
      </c>
      <c r="AI33" s="5">
        <f t="shared" si="4"/>
        <v>8.5904818489480617E-2</v>
      </c>
      <c r="AK33" s="39">
        <v>44655</v>
      </c>
      <c r="AL33">
        <v>479.99594100000002</v>
      </c>
      <c r="AM33" s="5">
        <f t="shared" si="5"/>
        <v>4.9292753980064941E-2</v>
      </c>
    </row>
    <row r="34" spans="2:39" x14ac:dyDescent="0.25">
      <c r="B34" s="39">
        <v>44751</v>
      </c>
      <c r="C34">
        <v>2182.6284179999998</v>
      </c>
      <c r="D34" s="5">
        <f t="shared" si="0"/>
        <v>2.4761033484235417E-2</v>
      </c>
      <c r="F34" s="39">
        <v>44751</v>
      </c>
      <c r="G34">
        <v>16049.200194999999</v>
      </c>
      <c r="H34" s="5">
        <f t="shared" si="1"/>
        <v>-1.0566774233481513E-2</v>
      </c>
      <c r="Y34" s="39">
        <v>44662</v>
      </c>
      <c r="Z34">
        <v>575.48126200000002</v>
      </c>
      <c r="AA34" s="5">
        <f t="shared" si="2"/>
        <v>-4.3740928402746793E-4</v>
      </c>
      <c r="AC34" s="39">
        <v>44662</v>
      </c>
      <c r="AD34">
        <v>1270.099976</v>
      </c>
      <c r="AE34" s="5">
        <f t="shared" si="3"/>
        <v>-4.5847997371804006E-3</v>
      </c>
      <c r="AG34" s="39">
        <v>44662</v>
      </c>
      <c r="AH34">
        <v>1501.61853</v>
      </c>
      <c r="AI34" s="5">
        <f t="shared" si="4"/>
        <v>-5.4445599815327594E-2</v>
      </c>
      <c r="AK34" s="39">
        <v>44662</v>
      </c>
      <c r="AL34">
        <v>443.52563500000002</v>
      </c>
      <c r="AM34" s="5">
        <f t="shared" si="5"/>
        <v>-7.5980446676318869E-2</v>
      </c>
    </row>
    <row r="35" spans="2:39" x14ac:dyDescent="0.25">
      <c r="B35" s="39">
        <v>44758</v>
      </c>
      <c r="C35">
        <v>2317.4914549999999</v>
      </c>
      <c r="D35" s="5">
        <f t="shared" si="0"/>
        <v>6.1789279333024805E-2</v>
      </c>
      <c r="F35" s="39">
        <v>44758</v>
      </c>
      <c r="G35">
        <v>16719.449218999998</v>
      </c>
      <c r="H35" s="5">
        <f t="shared" si="1"/>
        <v>4.1762144895470144E-2</v>
      </c>
      <c r="Y35" s="39">
        <v>44669</v>
      </c>
      <c r="Z35">
        <v>565.29730199999995</v>
      </c>
      <c r="AA35" s="5">
        <f t="shared" si="2"/>
        <v>-1.7696423276419515E-2</v>
      </c>
      <c r="AC35" s="39">
        <v>44669</v>
      </c>
      <c r="AD35">
        <v>1218.849976</v>
      </c>
      <c r="AE35" s="5">
        <f t="shared" si="3"/>
        <v>-4.035115421496549E-2</v>
      </c>
      <c r="AG35" s="39">
        <v>44669</v>
      </c>
      <c r="AH35">
        <v>1449.493774</v>
      </c>
      <c r="AI35" s="5">
        <f t="shared" si="4"/>
        <v>-3.471238197893034E-2</v>
      </c>
      <c r="AK35" s="39">
        <v>44669</v>
      </c>
      <c r="AL35">
        <v>411.56512500000002</v>
      </c>
      <c r="AM35" s="5">
        <f t="shared" si="5"/>
        <v>-7.2060118915110771E-2</v>
      </c>
    </row>
    <row r="36" spans="2:39" x14ac:dyDescent="0.25">
      <c r="B36" s="39">
        <v>44765</v>
      </c>
      <c r="C36">
        <v>2344.454346</v>
      </c>
      <c r="D36" s="5">
        <f t="shared" si="0"/>
        <v>1.1634515821763891E-2</v>
      </c>
      <c r="F36" s="39">
        <v>44765</v>
      </c>
      <c r="G36">
        <v>17158.25</v>
      </c>
      <c r="H36" s="5">
        <f t="shared" si="1"/>
        <v>2.6244930395275645E-2</v>
      </c>
      <c r="Y36" s="39">
        <v>44676</v>
      </c>
      <c r="Z36">
        <v>541.29492200000004</v>
      </c>
      <c r="AA36" s="5">
        <f t="shared" si="2"/>
        <v>-4.2459746252247133E-2</v>
      </c>
      <c r="AC36" s="39">
        <v>44676</v>
      </c>
      <c r="AD36">
        <v>1221.75</v>
      </c>
      <c r="AE36" s="5">
        <f t="shared" si="3"/>
        <v>2.3793116930741487E-3</v>
      </c>
      <c r="AG36" s="39">
        <v>44676</v>
      </c>
      <c r="AH36">
        <v>1396.876221</v>
      </c>
      <c r="AI36" s="5">
        <f t="shared" si="4"/>
        <v>-3.6300640916033355E-2</v>
      </c>
      <c r="AK36" s="39">
        <v>44676</v>
      </c>
      <c r="AL36">
        <v>405.78088400000001</v>
      </c>
      <c r="AM36" s="5">
        <f t="shared" si="5"/>
        <v>-1.4054254475521999E-2</v>
      </c>
    </row>
    <row r="37" spans="2:39" x14ac:dyDescent="0.25">
      <c r="B37" s="39">
        <v>44772</v>
      </c>
      <c r="C37">
        <v>2424.9433589999999</v>
      </c>
      <c r="D37" s="5">
        <f t="shared" si="0"/>
        <v>3.4331661496128651E-2</v>
      </c>
      <c r="F37" s="39">
        <v>44772</v>
      </c>
      <c r="G37">
        <v>17397.5</v>
      </c>
      <c r="H37" s="5">
        <f t="shared" si="1"/>
        <v>1.3943729692713402E-2</v>
      </c>
      <c r="Y37" s="39">
        <v>44683</v>
      </c>
      <c r="Z37">
        <v>464.68160999999998</v>
      </c>
      <c r="AA37" s="5">
        <f t="shared" si="2"/>
        <v>-0.1415370972203579</v>
      </c>
      <c r="AC37" s="39">
        <v>44683</v>
      </c>
      <c r="AD37">
        <v>1110.400024</v>
      </c>
      <c r="AE37" s="5">
        <f t="shared" si="3"/>
        <v>-9.1139738899120082E-2</v>
      </c>
      <c r="AG37" s="39">
        <v>44683</v>
      </c>
      <c r="AH37">
        <v>1347.3626710000001</v>
      </c>
      <c r="AI37" s="5">
        <f t="shared" si="4"/>
        <v>-3.5445910851395257E-2</v>
      </c>
      <c r="AK37" s="39">
        <v>44683</v>
      </c>
      <c r="AL37">
        <v>387.10458399999999</v>
      </c>
      <c r="AM37" s="5">
        <f t="shared" si="5"/>
        <v>-4.6025578671665679E-2</v>
      </c>
    </row>
    <row r="38" spans="2:39" x14ac:dyDescent="0.25">
      <c r="B38" s="39">
        <v>44779</v>
      </c>
      <c r="C38">
        <v>2463.9670409999999</v>
      </c>
      <c r="D38" s="5">
        <f t="shared" si="0"/>
        <v>1.6092615877054017E-2</v>
      </c>
      <c r="F38" s="39">
        <v>44779</v>
      </c>
      <c r="G38">
        <v>17698.150390999999</v>
      </c>
      <c r="H38" s="5">
        <f t="shared" si="1"/>
        <v>1.7281241040379314E-2</v>
      </c>
      <c r="Y38" s="39">
        <v>44690</v>
      </c>
      <c r="Z38">
        <v>471.23101800000001</v>
      </c>
      <c r="AA38" s="5">
        <f t="shared" si="2"/>
        <v>1.4094398958461207E-2</v>
      </c>
      <c r="AC38" s="39">
        <v>44690</v>
      </c>
      <c r="AD38">
        <v>1034.3000489999999</v>
      </c>
      <c r="AE38" s="5">
        <f t="shared" si="3"/>
        <v>-6.8533837675781695E-2</v>
      </c>
      <c r="AG38" s="39">
        <v>44690</v>
      </c>
      <c r="AH38">
        <v>1163.940308</v>
      </c>
      <c r="AI38" s="5">
        <f t="shared" si="4"/>
        <v>-0.13613436600842277</v>
      </c>
      <c r="AK38" s="39">
        <v>44690</v>
      </c>
      <c r="AL38">
        <v>350.92843599999998</v>
      </c>
      <c r="AM38" s="5">
        <f t="shared" si="5"/>
        <v>-9.345316355127431E-2</v>
      </c>
    </row>
    <row r="39" spans="2:39" x14ac:dyDescent="0.25">
      <c r="B39" s="39">
        <v>44786</v>
      </c>
      <c r="C39">
        <v>2432.7182619999999</v>
      </c>
      <c r="D39" s="5">
        <f t="shared" si="0"/>
        <v>-1.2682303975672382E-2</v>
      </c>
      <c r="F39" s="39">
        <v>44786</v>
      </c>
      <c r="G39">
        <v>17758.449218999998</v>
      </c>
      <c r="H39" s="5">
        <f t="shared" si="1"/>
        <v>3.4070694771959342E-3</v>
      </c>
      <c r="Y39" s="39">
        <v>44697</v>
      </c>
      <c r="Z39">
        <v>483.39410400000003</v>
      </c>
      <c r="AA39" s="5">
        <f t="shared" si="2"/>
        <v>2.5811301750938709E-2</v>
      </c>
      <c r="AC39" s="39">
        <v>44697</v>
      </c>
      <c r="AD39">
        <v>1052.400024</v>
      </c>
      <c r="AE39" s="5">
        <f t="shared" si="3"/>
        <v>1.7499733290644137E-2</v>
      </c>
      <c r="AG39" s="39">
        <v>44697</v>
      </c>
      <c r="AH39">
        <v>1155.1707759999999</v>
      </c>
      <c r="AI39" s="5">
        <f t="shared" si="4"/>
        <v>-7.5343485741710126E-3</v>
      </c>
      <c r="AK39" s="39">
        <v>44697</v>
      </c>
      <c r="AL39">
        <v>375.97723400000001</v>
      </c>
      <c r="AM39" s="5">
        <f t="shared" si="5"/>
        <v>7.137864997637311E-2</v>
      </c>
    </row>
    <row r="40" spans="2:39" x14ac:dyDescent="0.25">
      <c r="B40" s="39">
        <v>44793</v>
      </c>
      <c r="C40">
        <v>2524.719971</v>
      </c>
      <c r="D40" s="5">
        <f t="shared" si="0"/>
        <v>3.7818480847989111E-2</v>
      </c>
      <c r="F40" s="39">
        <v>44793</v>
      </c>
      <c r="G40">
        <v>17558.900390999999</v>
      </c>
      <c r="H40" s="5">
        <f t="shared" si="1"/>
        <v>-1.1236838619134604E-2</v>
      </c>
      <c r="Y40" s="39">
        <v>44704</v>
      </c>
      <c r="Z40">
        <v>489.79956099999998</v>
      </c>
      <c r="AA40" s="5">
        <f t="shared" si="2"/>
        <v>1.3251003574507703E-2</v>
      </c>
      <c r="AC40" s="39">
        <v>44704</v>
      </c>
      <c r="AD40">
        <v>937.40002400000003</v>
      </c>
      <c r="AE40" s="5">
        <f t="shared" si="3"/>
        <v>-0.10927403779686728</v>
      </c>
      <c r="AG40" s="39">
        <v>44704</v>
      </c>
      <c r="AH40">
        <v>1259.6175539999999</v>
      </c>
      <c r="AI40" s="5">
        <f t="shared" si="4"/>
        <v>9.0416741983091908E-2</v>
      </c>
      <c r="AK40" s="39">
        <v>44704</v>
      </c>
      <c r="AL40">
        <v>355.53619400000002</v>
      </c>
      <c r="AM40" s="5">
        <f t="shared" si="5"/>
        <v>-5.436775993729448E-2</v>
      </c>
    </row>
    <row r="41" spans="2:39" x14ac:dyDescent="0.25">
      <c r="B41" s="39">
        <v>44800</v>
      </c>
      <c r="C41">
        <v>2604.1628420000002</v>
      </c>
      <c r="D41" s="5">
        <f t="shared" si="0"/>
        <v>3.1466012830141388E-2</v>
      </c>
      <c r="F41" s="39">
        <v>44800</v>
      </c>
      <c r="G41">
        <v>17539.449218999998</v>
      </c>
      <c r="H41" s="5">
        <f t="shared" si="1"/>
        <v>-1.1077670905844661E-3</v>
      </c>
      <c r="Y41" s="39">
        <v>44711</v>
      </c>
      <c r="Z41">
        <v>501.56683299999997</v>
      </c>
      <c r="AA41" s="5">
        <f t="shared" si="2"/>
        <v>2.4024668327540688E-2</v>
      </c>
      <c r="AC41" s="39">
        <v>44711</v>
      </c>
      <c r="AD41">
        <v>1015.849976</v>
      </c>
      <c r="AE41" s="5">
        <f t="shared" si="3"/>
        <v>8.3688873470735059E-2</v>
      </c>
      <c r="AG41" s="39">
        <v>44711</v>
      </c>
      <c r="AH41">
        <v>1384.411621</v>
      </c>
      <c r="AI41" s="5">
        <f t="shared" si="4"/>
        <v>9.9072981798092652E-2</v>
      </c>
      <c r="AK41" s="39">
        <v>44711</v>
      </c>
      <c r="AL41">
        <v>373.96743800000002</v>
      </c>
      <c r="AM41" s="5">
        <f t="shared" si="5"/>
        <v>5.1840696702738498E-2</v>
      </c>
    </row>
    <row r="42" spans="2:39" x14ac:dyDescent="0.25">
      <c r="B42" s="39">
        <v>44807</v>
      </c>
      <c r="C42">
        <v>2595.0422359999998</v>
      </c>
      <c r="D42" s="5">
        <f t="shared" si="0"/>
        <v>-3.5023178477563421E-3</v>
      </c>
      <c r="F42" s="39">
        <v>44807</v>
      </c>
      <c r="G42">
        <v>17833.349609000001</v>
      </c>
      <c r="H42" s="5">
        <f t="shared" si="1"/>
        <v>1.6756534730955508E-2</v>
      </c>
      <c r="Y42" s="39">
        <v>44718</v>
      </c>
      <c r="Z42">
        <v>499.839539</v>
      </c>
      <c r="AA42" s="5">
        <f t="shared" si="2"/>
        <v>-3.4437962926467947E-3</v>
      </c>
      <c r="AC42" s="39">
        <v>44718</v>
      </c>
      <c r="AD42">
        <v>1002.75</v>
      </c>
      <c r="AE42" s="5">
        <f t="shared" si="3"/>
        <v>-1.289558134517288E-2</v>
      </c>
      <c r="AG42" s="39">
        <v>44718</v>
      </c>
      <c r="AH42">
        <v>1258.0902100000001</v>
      </c>
      <c r="AI42" s="5">
        <f t="shared" si="4"/>
        <v>-9.1245558101249014E-2</v>
      </c>
      <c r="AK42" s="39">
        <v>44718</v>
      </c>
      <c r="AL42">
        <v>350.29113799999999</v>
      </c>
      <c r="AM42" s="5">
        <f t="shared" si="5"/>
        <v>-6.3311127104066278E-2</v>
      </c>
    </row>
    <row r="43" spans="2:39" x14ac:dyDescent="0.25">
      <c r="B43" s="39">
        <v>44814</v>
      </c>
      <c r="C43">
        <v>2603.3654790000001</v>
      </c>
      <c r="D43" s="5">
        <f t="shared" si="0"/>
        <v>3.2073632114866246E-3</v>
      </c>
      <c r="F43" s="39">
        <v>44814</v>
      </c>
      <c r="G43">
        <v>17530.849609000001</v>
      </c>
      <c r="H43" s="5">
        <f t="shared" si="1"/>
        <v>-1.6962601341440453E-2</v>
      </c>
      <c r="Y43" s="39">
        <v>44725</v>
      </c>
      <c r="Z43">
        <v>475.04547100000002</v>
      </c>
      <c r="AA43" s="5">
        <f t="shared" si="2"/>
        <v>-4.9604055032549166E-2</v>
      </c>
      <c r="AC43" s="39">
        <v>44725</v>
      </c>
      <c r="AD43">
        <v>957.75</v>
      </c>
      <c r="AE43" s="5">
        <f t="shared" si="3"/>
        <v>-4.4876589379207132E-2</v>
      </c>
      <c r="AG43" s="39">
        <v>44725</v>
      </c>
      <c r="AH43">
        <v>1059.0010990000001</v>
      </c>
      <c r="AI43" s="5">
        <f t="shared" si="4"/>
        <v>-0.15824708706699175</v>
      </c>
      <c r="AK43" s="39">
        <v>44725</v>
      </c>
      <c r="AL43">
        <v>323.967896</v>
      </c>
      <c r="AM43" s="5">
        <f t="shared" si="5"/>
        <v>-7.5146754069467803E-2</v>
      </c>
    </row>
    <row r="44" spans="2:39" x14ac:dyDescent="0.25">
      <c r="B44" s="39">
        <v>44821</v>
      </c>
      <c r="C44">
        <v>2663.819336</v>
      </c>
      <c r="D44" s="5">
        <f t="shared" si="0"/>
        <v>2.322142530030824E-2</v>
      </c>
      <c r="F44" s="39">
        <v>44821</v>
      </c>
      <c r="G44">
        <v>17327.349609000001</v>
      </c>
      <c r="H44" s="5">
        <f t="shared" si="1"/>
        <v>-1.1608108251383698E-2</v>
      </c>
      <c r="Y44" s="39">
        <v>44732</v>
      </c>
      <c r="Z44">
        <v>491.21389799999997</v>
      </c>
      <c r="AA44" s="5">
        <f t="shared" si="2"/>
        <v>3.4035535516135695E-2</v>
      </c>
      <c r="AC44" s="39">
        <v>44732</v>
      </c>
      <c r="AD44">
        <v>1025.75</v>
      </c>
      <c r="AE44" s="5">
        <f t="shared" si="3"/>
        <v>7.0999738971547988E-2</v>
      </c>
      <c r="AG44" s="39">
        <v>44732</v>
      </c>
      <c r="AH44">
        <v>973.96563700000002</v>
      </c>
      <c r="AI44" s="5">
        <f t="shared" si="4"/>
        <v>-8.0297803354781982E-2</v>
      </c>
      <c r="AK44" s="39">
        <v>44732</v>
      </c>
      <c r="AL44">
        <v>354.55581699999999</v>
      </c>
      <c r="AM44" s="5">
        <f t="shared" si="5"/>
        <v>9.4416518975077635E-2</v>
      </c>
    </row>
    <row r="45" spans="2:39" x14ac:dyDescent="0.25">
      <c r="B45" s="39">
        <v>44828</v>
      </c>
      <c r="C45">
        <v>2598.5310060000002</v>
      </c>
      <c r="D45" s="5">
        <f t="shared" si="0"/>
        <v>-2.4509293523650499E-2</v>
      </c>
      <c r="F45" s="39">
        <v>44828</v>
      </c>
      <c r="G45">
        <v>17094.349609000001</v>
      </c>
      <c r="H45" s="5">
        <f t="shared" si="1"/>
        <v>-1.3446949779265527E-2</v>
      </c>
      <c r="Y45" s="39">
        <v>44739</v>
      </c>
      <c r="Z45">
        <v>485.93164100000001</v>
      </c>
      <c r="AA45" s="5">
        <f t="shared" si="2"/>
        <v>-1.0753476278881569E-2</v>
      </c>
      <c r="AC45" s="39">
        <v>44739</v>
      </c>
      <c r="AD45">
        <v>1009.450012</v>
      </c>
      <c r="AE45" s="5">
        <f t="shared" si="3"/>
        <v>-1.58907999025103E-2</v>
      </c>
      <c r="AG45" s="39">
        <v>44739</v>
      </c>
      <c r="AH45">
        <v>986.38098100000002</v>
      </c>
      <c r="AI45" s="5">
        <f t="shared" si="4"/>
        <v>1.2747209478808363E-2</v>
      </c>
      <c r="AK45" s="39">
        <v>44739</v>
      </c>
      <c r="AL45">
        <v>342.59515399999998</v>
      </c>
      <c r="AM45" s="5">
        <f t="shared" si="5"/>
        <v>-3.3734217368657671E-2</v>
      </c>
    </row>
    <row r="46" spans="2:39" x14ac:dyDescent="0.25">
      <c r="B46" s="39">
        <v>44835</v>
      </c>
      <c r="C46">
        <v>2721.6821289999998</v>
      </c>
      <c r="D46" s="5">
        <f t="shared" si="0"/>
        <v>4.7392593244276915E-2</v>
      </c>
      <c r="F46" s="39">
        <v>44835</v>
      </c>
      <c r="G46">
        <v>17314.650390999999</v>
      </c>
      <c r="H46" s="5">
        <f t="shared" si="1"/>
        <v>1.2887345060733635E-2</v>
      </c>
      <c r="Y46" s="39">
        <v>44746</v>
      </c>
      <c r="Z46">
        <v>504.71304300000003</v>
      </c>
      <c r="AA46" s="5">
        <f t="shared" si="2"/>
        <v>3.8650296493041081E-2</v>
      </c>
      <c r="AC46" s="39">
        <v>44746</v>
      </c>
      <c r="AD46">
        <v>1039.849976</v>
      </c>
      <c r="AE46" s="5">
        <f t="shared" si="3"/>
        <v>3.0115373360360076E-2</v>
      </c>
      <c r="AG46" s="39">
        <v>44746</v>
      </c>
      <c r="AH46">
        <v>995.88958700000001</v>
      </c>
      <c r="AI46" s="5">
        <f t="shared" si="4"/>
        <v>9.6398918705429271E-3</v>
      </c>
      <c r="AK46" s="39">
        <v>44746</v>
      </c>
      <c r="AL46">
        <v>336.908905</v>
      </c>
      <c r="AM46" s="5">
        <f t="shared" si="5"/>
        <v>-1.6597575691336131E-2</v>
      </c>
    </row>
    <row r="47" spans="2:39" x14ac:dyDescent="0.25">
      <c r="B47" s="39">
        <v>44842</v>
      </c>
      <c r="C47">
        <v>2609.3459469999998</v>
      </c>
      <c r="D47" s="5">
        <f t="shared" si="0"/>
        <v>-4.1274541506165718E-2</v>
      </c>
      <c r="F47" s="39">
        <v>44842</v>
      </c>
      <c r="G47">
        <v>17185.699218999998</v>
      </c>
      <c r="H47" s="5">
        <f t="shared" si="1"/>
        <v>-7.4475180894804094E-3</v>
      </c>
      <c r="Y47" s="39">
        <v>44753</v>
      </c>
      <c r="Z47">
        <v>484.42767300000003</v>
      </c>
      <c r="AA47" s="5">
        <f t="shared" si="2"/>
        <v>-4.0191887809009952E-2</v>
      </c>
      <c r="AC47" s="39">
        <v>44753</v>
      </c>
      <c r="AD47">
        <v>1018.150024</v>
      </c>
      <c r="AE47" s="5">
        <f t="shared" si="3"/>
        <v>-2.0868348801115877E-2</v>
      </c>
      <c r="AG47" s="39">
        <v>44753</v>
      </c>
      <c r="AH47">
        <v>894.59594700000002</v>
      </c>
      <c r="AI47" s="5">
        <f t="shared" si="4"/>
        <v>-0.10171171716448524</v>
      </c>
      <c r="AK47" s="39">
        <v>44753</v>
      </c>
      <c r="AL47">
        <v>303.52685500000001</v>
      </c>
      <c r="AM47" s="5">
        <f t="shared" si="5"/>
        <v>-9.9083311555685949E-2</v>
      </c>
    </row>
    <row r="48" spans="2:39" x14ac:dyDescent="0.25">
      <c r="B48" s="39">
        <v>44849</v>
      </c>
      <c r="C48">
        <v>2657.04126</v>
      </c>
      <c r="D48" s="5">
        <f t="shared" si="0"/>
        <v>1.8278646821375366E-2</v>
      </c>
      <c r="F48" s="39">
        <v>44849</v>
      </c>
      <c r="G48">
        <v>17576.300781000002</v>
      </c>
      <c r="H48" s="5">
        <f t="shared" si="1"/>
        <v>2.2728290366455628E-2</v>
      </c>
      <c r="Y48" s="39">
        <v>44760</v>
      </c>
      <c r="Z48">
        <v>527.71289100000001</v>
      </c>
      <c r="AA48" s="5">
        <f t="shared" si="2"/>
        <v>8.9353314049835486E-2</v>
      </c>
      <c r="AC48" s="39">
        <v>44760</v>
      </c>
      <c r="AD48">
        <v>1043.599976</v>
      </c>
      <c r="AE48" s="5">
        <f t="shared" si="3"/>
        <v>2.4996269115640679E-2</v>
      </c>
      <c r="AG48" s="39">
        <v>44760</v>
      </c>
      <c r="AH48">
        <v>929.77282700000001</v>
      </c>
      <c r="AI48" s="5">
        <f t="shared" si="4"/>
        <v>3.9321528470998013E-2</v>
      </c>
      <c r="AK48" s="39">
        <v>44760</v>
      </c>
      <c r="AL48">
        <v>329.82019000000003</v>
      </c>
      <c r="AM48" s="5">
        <f t="shared" si="5"/>
        <v>8.6626058178608245E-2</v>
      </c>
    </row>
    <row r="49" spans="2:39" x14ac:dyDescent="0.25">
      <c r="B49" s="39">
        <v>44856</v>
      </c>
      <c r="C49">
        <v>2727.5627439999998</v>
      </c>
      <c r="D49" s="5">
        <f t="shared" si="0"/>
        <v>2.6541358262536008E-2</v>
      </c>
      <c r="F49" s="39">
        <v>44856</v>
      </c>
      <c r="G49">
        <v>17786.800781000002</v>
      </c>
      <c r="H49" s="5">
        <f t="shared" si="1"/>
        <v>1.197635399068453E-2</v>
      </c>
      <c r="Y49" s="39">
        <v>44767</v>
      </c>
      <c r="Z49">
        <v>517.40515100000005</v>
      </c>
      <c r="AA49" s="5">
        <f t="shared" si="2"/>
        <v>-1.9532856171974755E-2</v>
      </c>
      <c r="AC49" s="39">
        <v>44767</v>
      </c>
      <c r="AD49">
        <v>1061.400024</v>
      </c>
      <c r="AE49" s="5">
        <f t="shared" si="3"/>
        <v>1.7056389813485451E-2</v>
      </c>
      <c r="AG49" s="39">
        <v>44767</v>
      </c>
      <c r="AH49">
        <v>684.32305899999994</v>
      </c>
      <c r="AI49" s="5">
        <f t="shared" si="4"/>
        <v>-0.26398896684469364</v>
      </c>
      <c r="AK49" s="39">
        <v>44767</v>
      </c>
      <c r="AL49">
        <v>332.29260299999999</v>
      </c>
      <c r="AM49" s="5">
        <f t="shared" si="5"/>
        <v>7.4962451510320882E-3</v>
      </c>
    </row>
    <row r="50" spans="2:39" x14ac:dyDescent="0.25">
      <c r="B50" s="39">
        <v>44863</v>
      </c>
      <c r="C50">
        <v>2760.7553710000002</v>
      </c>
      <c r="D50" s="5">
        <f t="shared" si="0"/>
        <v>1.2169335819319338E-2</v>
      </c>
      <c r="F50" s="39">
        <v>44863</v>
      </c>
      <c r="G50">
        <v>18117.150390999999</v>
      </c>
      <c r="H50" s="5">
        <f t="shared" si="1"/>
        <v>1.8572739081492262E-2</v>
      </c>
      <c r="Y50" s="39">
        <v>44774</v>
      </c>
      <c r="Z50">
        <v>520.37634300000002</v>
      </c>
      <c r="AA50" s="5">
        <f t="shared" si="2"/>
        <v>5.7424863170718599E-3</v>
      </c>
      <c r="AC50" s="39">
        <v>44774</v>
      </c>
      <c r="AD50">
        <v>1099.25</v>
      </c>
      <c r="AE50" s="5">
        <f t="shared" si="3"/>
        <v>3.5660425046306621E-2</v>
      </c>
      <c r="AG50" s="39">
        <v>44774</v>
      </c>
      <c r="AH50">
        <v>738.91125499999998</v>
      </c>
      <c r="AI50" s="5">
        <f t="shared" si="4"/>
        <v>7.9769628221749045E-2</v>
      </c>
      <c r="AK50" s="39">
        <v>44774</v>
      </c>
      <c r="AL50">
        <v>342.13284299999998</v>
      </c>
      <c r="AM50" s="5">
        <f t="shared" si="5"/>
        <v>2.9613177997826146E-2</v>
      </c>
    </row>
    <row r="51" spans="2:39" x14ac:dyDescent="0.25">
      <c r="B51" s="39">
        <v>44870</v>
      </c>
      <c r="C51">
        <v>2643.236328</v>
      </c>
      <c r="D51" s="5">
        <f t="shared" si="0"/>
        <v>-4.256771325502573E-2</v>
      </c>
      <c r="F51" s="39">
        <v>44870</v>
      </c>
      <c r="G51">
        <v>18349.699218999998</v>
      </c>
      <c r="H51" s="5">
        <f t="shared" si="1"/>
        <v>1.2835839134808014E-2</v>
      </c>
      <c r="Y51" s="39">
        <v>44781</v>
      </c>
      <c r="Z51">
        <v>505.11651599999999</v>
      </c>
      <c r="AA51" s="5">
        <f t="shared" si="2"/>
        <v>-2.9324597870891367E-2</v>
      </c>
      <c r="AC51" s="39">
        <v>44781</v>
      </c>
      <c r="AD51">
        <v>1168.6999510000001</v>
      </c>
      <c r="AE51" s="5">
        <f t="shared" si="3"/>
        <v>6.3179395951785455E-2</v>
      </c>
      <c r="AG51" s="39">
        <v>44781</v>
      </c>
      <c r="AH51">
        <v>739.699524</v>
      </c>
      <c r="AI51" s="5">
        <f t="shared" si="4"/>
        <v>1.0667979336707045E-3</v>
      </c>
      <c r="AK51" s="39">
        <v>44781</v>
      </c>
      <c r="AL51">
        <v>336.792419</v>
      </c>
      <c r="AM51" s="5">
        <f t="shared" si="5"/>
        <v>-1.5609211770411635E-2</v>
      </c>
    </row>
    <row r="52" spans="2:39" x14ac:dyDescent="0.25">
      <c r="B52" s="39">
        <v>44877</v>
      </c>
      <c r="C52">
        <v>2557.5139159999999</v>
      </c>
      <c r="D52" s="5">
        <f t="shared" si="0"/>
        <v>-3.2430854211534577E-2</v>
      </c>
      <c r="F52" s="39">
        <v>44877</v>
      </c>
      <c r="G52">
        <v>18307.650390999999</v>
      </c>
      <c r="H52" s="5">
        <f t="shared" si="1"/>
        <v>-2.2915268254892762E-3</v>
      </c>
      <c r="Y52" s="39">
        <v>44788</v>
      </c>
      <c r="Z52">
        <v>518.65234399999997</v>
      </c>
      <c r="AA52" s="5">
        <f t="shared" si="2"/>
        <v>2.6797436969968391E-2</v>
      </c>
      <c r="AC52" s="39">
        <v>44788</v>
      </c>
      <c r="AD52">
        <v>1232.1999510000001</v>
      </c>
      <c r="AE52" s="5">
        <f t="shared" si="3"/>
        <v>5.4333877524052276E-2</v>
      </c>
      <c r="AG52" s="39">
        <v>44788</v>
      </c>
      <c r="AH52">
        <v>717.52923599999997</v>
      </c>
      <c r="AI52" s="5">
        <f t="shared" si="4"/>
        <v>-2.9972018746357909E-2</v>
      </c>
      <c r="AK52" s="39">
        <v>44788</v>
      </c>
      <c r="AL52">
        <v>327.84225500000002</v>
      </c>
      <c r="AM52" s="5">
        <f t="shared" si="5"/>
        <v>-2.6574719308037564E-2</v>
      </c>
    </row>
    <row r="53" spans="2:39" x14ac:dyDescent="0.25">
      <c r="B53" s="39">
        <v>44884</v>
      </c>
      <c r="C53">
        <v>2587.0183109999998</v>
      </c>
      <c r="D53" s="5">
        <f t="shared" si="0"/>
        <v>1.1536357560136157E-2</v>
      </c>
      <c r="F53" s="39">
        <v>44884</v>
      </c>
      <c r="G53">
        <v>18512.75</v>
      </c>
      <c r="H53" s="5">
        <f t="shared" si="1"/>
        <v>1.1202945469224623E-2</v>
      </c>
      <c r="Y53" s="39">
        <v>44795</v>
      </c>
      <c r="Z53">
        <v>518.542236</v>
      </c>
      <c r="AA53" s="5">
        <f t="shared" si="2"/>
        <v>-2.1229635086728038E-4</v>
      </c>
      <c r="AC53" s="39">
        <v>44795</v>
      </c>
      <c r="AD53">
        <v>1333.599976</v>
      </c>
      <c r="AE53" s="5">
        <f t="shared" si="3"/>
        <v>8.2291859302305648E-2</v>
      </c>
      <c r="AG53" s="39">
        <v>44795</v>
      </c>
      <c r="AH53">
        <v>727.58294699999999</v>
      </c>
      <c r="AI53" s="5">
        <f t="shared" si="4"/>
        <v>1.4011569836577475E-2</v>
      </c>
      <c r="AK53" s="39">
        <v>44795</v>
      </c>
      <c r="AL53">
        <v>318.10095200000001</v>
      </c>
      <c r="AM53" s="5">
        <f t="shared" si="5"/>
        <v>-2.9713384566611212E-2</v>
      </c>
    </row>
    <row r="54" spans="2:39" x14ac:dyDescent="0.25">
      <c r="B54" s="39">
        <v>44891</v>
      </c>
      <c r="C54">
        <v>2609.445557</v>
      </c>
      <c r="D54" s="5">
        <f t="shared" si="0"/>
        <v>8.6691485346817032E-3</v>
      </c>
      <c r="F54" s="39">
        <v>44891</v>
      </c>
      <c r="G54">
        <v>18696.099609000001</v>
      </c>
      <c r="H54" s="5">
        <f t="shared" si="1"/>
        <v>9.9039639707769744E-3</v>
      </c>
      <c r="Y54" s="39">
        <v>44802</v>
      </c>
      <c r="Z54">
        <v>528.26306199999999</v>
      </c>
      <c r="AA54" s="5">
        <f t="shared" si="2"/>
        <v>1.8746449807031773E-2</v>
      </c>
      <c r="AC54" s="39">
        <v>44802</v>
      </c>
      <c r="AD54">
        <v>1294.900024</v>
      </c>
      <c r="AE54" s="5">
        <f t="shared" si="3"/>
        <v>-2.9019160690206824E-2</v>
      </c>
      <c r="AG54" s="39">
        <v>44802</v>
      </c>
      <c r="AH54">
        <v>739.53424099999995</v>
      </c>
      <c r="AI54" s="5">
        <f t="shared" si="4"/>
        <v>1.6426022695114062E-2</v>
      </c>
      <c r="AK54" s="39">
        <v>44802</v>
      </c>
      <c r="AL54">
        <v>317.40869099999998</v>
      </c>
      <c r="AM54" s="5">
        <f t="shared" si="5"/>
        <v>-2.1762305194233944E-3</v>
      </c>
    </row>
    <row r="55" spans="2:39" x14ac:dyDescent="0.25">
      <c r="B55" s="39">
        <v>44898</v>
      </c>
      <c r="C55">
        <v>2607.0034179999998</v>
      </c>
      <c r="D55" s="5">
        <f t="shared" si="0"/>
        <v>-9.3588425075552539E-4</v>
      </c>
      <c r="F55" s="39">
        <v>44898</v>
      </c>
      <c r="G55">
        <v>18496.599609000001</v>
      </c>
      <c r="H55" s="5">
        <f t="shared" si="1"/>
        <v>-1.0670674855838058E-2</v>
      </c>
      <c r="Y55" s="39">
        <v>44809</v>
      </c>
      <c r="Z55">
        <v>572.734375</v>
      </c>
      <c r="AA55" s="5">
        <f t="shared" si="2"/>
        <v>8.4184029130547122E-2</v>
      </c>
      <c r="AC55" s="39">
        <v>44809</v>
      </c>
      <c r="AD55">
        <v>1309.099976</v>
      </c>
      <c r="AE55" s="5">
        <f t="shared" si="3"/>
        <v>1.0966060496420127E-2</v>
      </c>
      <c r="AG55" s="39">
        <v>44809</v>
      </c>
      <c r="AH55">
        <v>870.05200200000002</v>
      </c>
      <c r="AI55" s="5">
        <f t="shared" si="4"/>
        <v>0.17648643397973518</v>
      </c>
      <c r="AK55" s="39">
        <v>44809</v>
      </c>
      <c r="AL55">
        <v>325.12261999999998</v>
      </c>
      <c r="AM55" s="5">
        <f t="shared" si="5"/>
        <v>2.4302828557394518E-2</v>
      </c>
    </row>
    <row r="56" spans="2:39" x14ac:dyDescent="0.25">
      <c r="B56" s="39">
        <v>44905</v>
      </c>
      <c r="C56">
        <v>2474.8317870000001</v>
      </c>
      <c r="D56" s="5">
        <f t="shared" si="0"/>
        <v>-5.0698679597971918E-2</v>
      </c>
      <c r="F56" s="39">
        <v>44905</v>
      </c>
      <c r="G56">
        <v>18269</v>
      </c>
      <c r="H56" s="5">
        <f t="shared" si="1"/>
        <v>-1.2304943276668867E-2</v>
      </c>
      <c r="Y56" s="39">
        <v>44816</v>
      </c>
      <c r="Z56">
        <v>549.55114700000001</v>
      </c>
      <c r="AA56" s="5">
        <f t="shared" si="2"/>
        <v>-4.0478150102305266E-2</v>
      </c>
      <c r="AC56" s="39">
        <v>44816</v>
      </c>
      <c r="AD56">
        <v>1269.5</v>
      </c>
      <c r="AE56" s="5">
        <f t="shared" si="3"/>
        <v>-3.0249772153383647E-2</v>
      </c>
      <c r="AG56" s="39">
        <v>44816</v>
      </c>
      <c r="AH56">
        <v>793.31494099999998</v>
      </c>
      <c r="AI56" s="5">
        <f t="shared" si="4"/>
        <v>-8.8198246568714889E-2</v>
      </c>
      <c r="AK56" s="39">
        <v>44816</v>
      </c>
      <c r="AL56">
        <v>304.70047</v>
      </c>
      <c r="AM56" s="5">
        <f t="shared" si="5"/>
        <v>-6.2813685495029525E-2</v>
      </c>
    </row>
    <row r="57" spans="2:39" x14ac:dyDescent="0.25">
      <c r="B57" s="39">
        <v>44912</v>
      </c>
      <c r="C57">
        <v>2475.03125</v>
      </c>
      <c r="D57" s="5">
        <f t="shared" si="0"/>
        <v>8.0596588845960326E-5</v>
      </c>
      <c r="F57" s="39">
        <v>44912</v>
      </c>
      <c r="G57">
        <v>17806.800781000002</v>
      </c>
      <c r="H57" s="5">
        <f t="shared" si="1"/>
        <v>-2.529964524604511E-2</v>
      </c>
      <c r="Y57" s="39">
        <v>44823</v>
      </c>
      <c r="Z57">
        <v>508.66247600000003</v>
      </c>
      <c r="AA57" s="5">
        <f t="shared" si="2"/>
        <v>-7.4403758818831101E-2</v>
      </c>
      <c r="AC57" s="39">
        <v>44823</v>
      </c>
      <c r="AD57">
        <v>1271.599976</v>
      </c>
      <c r="AE57" s="5">
        <f t="shared" si="3"/>
        <v>1.654175659708601E-3</v>
      </c>
      <c r="AG57" s="39">
        <v>44823</v>
      </c>
      <c r="AH57">
        <v>737.74157700000001</v>
      </c>
      <c r="AI57" s="5">
        <f t="shared" si="4"/>
        <v>-7.0052082883940048E-2</v>
      </c>
      <c r="AK57" s="39">
        <v>44823</v>
      </c>
      <c r="AL57">
        <v>295.84921300000002</v>
      </c>
      <c r="AM57" s="5">
        <f t="shared" si="5"/>
        <v>-2.904904281900178E-2</v>
      </c>
    </row>
    <row r="58" spans="2:39" x14ac:dyDescent="0.25">
      <c r="B58" s="39">
        <v>44919</v>
      </c>
      <c r="C58">
        <v>2589.1115719999998</v>
      </c>
      <c r="D58" s="5">
        <f t="shared" si="0"/>
        <v>4.6092477418214317E-2</v>
      </c>
      <c r="F58" s="39">
        <v>44919</v>
      </c>
      <c r="G58">
        <v>18105.300781000002</v>
      </c>
      <c r="H58" s="5">
        <f t="shared" si="1"/>
        <v>1.6763258244484991E-2</v>
      </c>
      <c r="Y58" s="39">
        <v>44830</v>
      </c>
      <c r="Z58">
        <v>504.35839800000002</v>
      </c>
      <c r="AA58" s="5">
        <f t="shared" si="2"/>
        <v>-8.4615598812128878E-3</v>
      </c>
      <c r="AC58" s="39">
        <v>44830</v>
      </c>
      <c r="AD58">
        <v>1261.150024</v>
      </c>
      <c r="AE58" s="5">
        <f t="shared" si="3"/>
        <v>-8.2179554869699079E-3</v>
      </c>
      <c r="AG58" s="39">
        <v>44830</v>
      </c>
      <c r="AH58">
        <v>783.90332000000001</v>
      </c>
      <c r="AI58" s="5">
        <f t="shared" si="4"/>
        <v>6.2571697785714031E-2</v>
      </c>
      <c r="AK58" s="39">
        <v>44830</v>
      </c>
      <c r="AL58">
        <v>279.33349600000003</v>
      </c>
      <c r="AM58" s="5">
        <f t="shared" si="5"/>
        <v>-5.5824779226301358E-2</v>
      </c>
    </row>
    <row r="59" spans="2:39" x14ac:dyDescent="0.25">
      <c r="B59" s="39">
        <v>44926</v>
      </c>
      <c r="C59">
        <v>2529.9035640000002</v>
      </c>
      <c r="D59" s="5">
        <f t="shared" si="0"/>
        <v>-2.2868079012239528E-2</v>
      </c>
      <c r="F59" s="39">
        <v>44926</v>
      </c>
      <c r="G59">
        <v>17859.449218999998</v>
      </c>
      <c r="H59" s="5">
        <f t="shared" si="1"/>
        <v>-1.3578982474458767E-2</v>
      </c>
      <c r="Y59" s="39">
        <v>44837</v>
      </c>
      <c r="Z59">
        <v>504.21170000000001</v>
      </c>
      <c r="AA59" s="5">
        <f t="shared" si="2"/>
        <v>-2.9086062724792416E-4</v>
      </c>
      <c r="AC59" s="39">
        <v>44837</v>
      </c>
      <c r="AD59">
        <v>1271.3000489999999</v>
      </c>
      <c r="AE59" s="5">
        <f t="shared" si="3"/>
        <v>8.0482296371109374E-3</v>
      </c>
      <c r="AG59" s="39">
        <v>44837</v>
      </c>
      <c r="AH59">
        <v>808.20422399999995</v>
      </c>
      <c r="AI59" s="5">
        <f t="shared" si="4"/>
        <v>3.0999873810969358E-2</v>
      </c>
      <c r="AK59" s="39">
        <v>44837</v>
      </c>
      <c r="AL59">
        <v>290.40991200000002</v>
      </c>
      <c r="AM59" s="5">
        <f t="shared" si="5"/>
        <v>3.9653017481297681E-2</v>
      </c>
    </row>
    <row r="60" spans="2:39" x14ac:dyDescent="0.25">
      <c r="B60" s="39">
        <v>44933</v>
      </c>
      <c r="C60">
        <v>2409.3937989999999</v>
      </c>
      <c r="D60" s="5">
        <f t="shared" si="0"/>
        <v>-4.7634133851910065E-2</v>
      </c>
      <c r="F60" s="39">
        <v>44933</v>
      </c>
      <c r="G60">
        <v>17956.599609000001</v>
      </c>
      <c r="H60" s="5">
        <f t="shared" si="1"/>
        <v>5.4397192661825855E-3</v>
      </c>
      <c r="Y60" s="39">
        <v>44844</v>
      </c>
      <c r="Z60">
        <v>493.304779</v>
      </c>
      <c r="AA60" s="5">
        <f t="shared" si="2"/>
        <v>-2.1631630126790036E-2</v>
      </c>
      <c r="AC60" s="39">
        <v>44844</v>
      </c>
      <c r="AD60">
        <v>1174.75</v>
      </c>
      <c r="AE60" s="5">
        <f t="shared" si="3"/>
        <v>-7.5945917783882599E-2</v>
      </c>
      <c r="AG60" s="39">
        <v>44844</v>
      </c>
      <c r="AH60">
        <v>817.46643100000006</v>
      </c>
      <c r="AI60" s="5">
        <f t="shared" si="4"/>
        <v>1.1460230873527433E-2</v>
      </c>
      <c r="AK60" s="39">
        <v>44844</v>
      </c>
      <c r="AL60">
        <v>279.679596</v>
      </c>
      <c r="AM60" s="5">
        <f t="shared" si="5"/>
        <v>-3.694886281980625E-2</v>
      </c>
    </row>
    <row r="61" spans="2:39" x14ac:dyDescent="0.25">
      <c r="B61" s="39">
        <v>44940</v>
      </c>
      <c r="C61">
        <v>2363.6420899999998</v>
      </c>
      <c r="D61" s="5">
        <f t="shared" si="0"/>
        <v>-1.8988888001201354E-2</v>
      </c>
      <c r="F61" s="39">
        <v>44940</v>
      </c>
      <c r="G61">
        <v>18027.650390999999</v>
      </c>
      <c r="H61" s="5">
        <f t="shared" si="1"/>
        <v>3.9568060516528281E-3</v>
      </c>
      <c r="Y61" s="39">
        <v>44851</v>
      </c>
      <c r="Z61">
        <v>498.48922700000003</v>
      </c>
      <c r="AA61" s="5">
        <f t="shared" si="2"/>
        <v>1.0509624517544003E-2</v>
      </c>
      <c r="AC61" s="39">
        <v>44851</v>
      </c>
      <c r="AD61">
        <v>1180.099976</v>
      </c>
      <c r="AE61" s="5">
        <f t="shared" si="3"/>
        <v>4.5541400297934853E-3</v>
      </c>
      <c r="AG61" s="39">
        <v>44851</v>
      </c>
      <c r="AH61">
        <v>778.07708700000001</v>
      </c>
      <c r="AI61" s="5">
        <f t="shared" si="4"/>
        <v>-4.8184662398693678E-2</v>
      </c>
      <c r="AK61" s="39">
        <v>44851</v>
      </c>
      <c r="AL61">
        <v>277.30609099999998</v>
      </c>
      <c r="AM61" s="5">
        <f t="shared" si="5"/>
        <v>-8.4865146901886845E-3</v>
      </c>
    </row>
    <row r="62" spans="2:39" x14ac:dyDescent="0.25">
      <c r="B62" s="39">
        <v>44947</v>
      </c>
      <c r="C62">
        <v>2323.7214359999998</v>
      </c>
      <c r="D62" s="5">
        <f t="shared" si="0"/>
        <v>-1.688946654355783E-2</v>
      </c>
      <c r="F62" s="39">
        <v>44947</v>
      </c>
      <c r="G62">
        <v>17604.349609000001</v>
      </c>
      <c r="H62" s="5">
        <f t="shared" si="1"/>
        <v>-2.3480640727941093E-2</v>
      </c>
      <c r="Y62" s="39">
        <v>44858</v>
      </c>
      <c r="Z62">
        <v>503.62472500000001</v>
      </c>
      <c r="AA62" s="5">
        <f t="shared" si="2"/>
        <v>1.0302124342598917E-2</v>
      </c>
      <c r="AC62" s="39">
        <v>44858</v>
      </c>
      <c r="AD62">
        <v>1155.599976</v>
      </c>
      <c r="AE62" s="5">
        <f t="shared" si="3"/>
        <v>-2.0760952883876693E-2</v>
      </c>
      <c r="AG62" s="39">
        <v>44858</v>
      </c>
      <c r="AH62">
        <v>733.25982699999997</v>
      </c>
      <c r="AI62" s="5">
        <f t="shared" si="4"/>
        <v>-5.7600025432955615E-2</v>
      </c>
      <c r="AK62" s="39">
        <v>44858</v>
      </c>
      <c r="AL62">
        <v>260.14752199999998</v>
      </c>
      <c r="AM62" s="5">
        <f t="shared" si="5"/>
        <v>-6.1875918188901258E-2</v>
      </c>
    </row>
    <row r="63" spans="2:39" x14ac:dyDescent="0.25">
      <c r="B63" s="39">
        <v>44954</v>
      </c>
      <c r="C63">
        <v>2455.1457519999999</v>
      </c>
      <c r="D63" s="5">
        <f t="shared" si="0"/>
        <v>5.6557689731618899E-2</v>
      </c>
      <c r="F63" s="39">
        <v>44954</v>
      </c>
      <c r="G63">
        <v>17854.050781000002</v>
      </c>
      <c r="H63" s="5">
        <f t="shared" si="1"/>
        <v>1.4184061186352848E-2</v>
      </c>
      <c r="Y63" s="39">
        <v>44865</v>
      </c>
      <c r="Z63">
        <v>510.03198200000003</v>
      </c>
      <c r="AA63" s="5">
        <f t="shared" si="2"/>
        <v>1.2722284435102038E-2</v>
      </c>
      <c r="AC63" s="39">
        <v>44865</v>
      </c>
      <c r="AD63">
        <v>1161.8000489999999</v>
      </c>
      <c r="AE63" s="5">
        <f t="shared" si="3"/>
        <v>5.3652415444493951E-3</v>
      </c>
      <c r="AG63" s="39">
        <v>44865</v>
      </c>
      <c r="AH63">
        <v>761.64410399999997</v>
      </c>
      <c r="AI63" s="5">
        <f t="shared" si="4"/>
        <v>3.8709712375937899E-2</v>
      </c>
      <c r="AK63" s="39">
        <v>44865</v>
      </c>
      <c r="AL63">
        <v>271.07562300000001</v>
      </c>
      <c r="AM63" s="5">
        <f t="shared" si="5"/>
        <v>4.200732306033661E-2</v>
      </c>
    </row>
    <row r="64" spans="2:39" x14ac:dyDescent="0.25">
      <c r="B64" s="39">
        <v>44961</v>
      </c>
      <c r="C64">
        <v>2460.5280760000001</v>
      </c>
      <c r="D64" s="5">
        <f t="shared" si="0"/>
        <v>2.1922625146044705E-3</v>
      </c>
      <c r="F64" s="39">
        <v>44961</v>
      </c>
      <c r="G64">
        <v>17856.5</v>
      </c>
      <c r="H64" s="5">
        <f t="shared" si="1"/>
        <v>1.371800175793414E-4</v>
      </c>
      <c r="Y64" s="39">
        <v>44872</v>
      </c>
      <c r="Z64">
        <v>527.22674600000005</v>
      </c>
      <c r="AA64" s="5">
        <f t="shared" si="2"/>
        <v>3.3713109386932505E-2</v>
      </c>
      <c r="AC64" s="39">
        <v>44872</v>
      </c>
      <c r="AD64">
        <v>1262.9499510000001</v>
      </c>
      <c r="AE64" s="5">
        <f t="shared" si="3"/>
        <v>8.7063089803674165E-2</v>
      </c>
      <c r="AG64" s="39">
        <v>44872</v>
      </c>
      <c r="AH64">
        <v>750.09124799999995</v>
      </c>
      <c r="AI64" s="5">
        <f t="shared" si="4"/>
        <v>-1.5168312784575866E-2</v>
      </c>
      <c r="AK64" s="39">
        <v>44872</v>
      </c>
      <c r="AL64">
        <v>280.49127199999998</v>
      </c>
      <c r="AM64" s="5">
        <f t="shared" si="5"/>
        <v>3.4734399559048335E-2</v>
      </c>
    </row>
    <row r="65" spans="2:39" x14ac:dyDescent="0.25">
      <c r="B65" s="39">
        <v>44968</v>
      </c>
      <c r="C65">
        <v>2492.225586</v>
      </c>
      <c r="D65" s="5">
        <f t="shared" si="0"/>
        <v>1.2882401265475352E-2</v>
      </c>
      <c r="F65" s="39">
        <v>44968</v>
      </c>
      <c r="G65">
        <v>17944.199218999998</v>
      </c>
      <c r="H65" s="5">
        <f t="shared" si="1"/>
        <v>4.9113330719905424E-3</v>
      </c>
      <c r="Y65" s="39">
        <v>44879</v>
      </c>
      <c r="Z65">
        <v>520.33459500000004</v>
      </c>
      <c r="AA65" s="5">
        <f t="shared" si="2"/>
        <v>-1.3072460857287416E-2</v>
      </c>
      <c r="AC65" s="39">
        <v>44879</v>
      </c>
      <c r="AD65">
        <v>1286.9499510000001</v>
      </c>
      <c r="AE65" s="5">
        <f t="shared" si="3"/>
        <v>1.9003128335368213E-2</v>
      </c>
      <c r="AG65" s="39">
        <v>44879</v>
      </c>
      <c r="AH65">
        <v>739.73345900000004</v>
      </c>
      <c r="AI65" s="5">
        <f t="shared" si="4"/>
        <v>-1.3808705311010305E-2</v>
      </c>
      <c r="AK65" s="39">
        <v>44879</v>
      </c>
      <c r="AL65">
        <v>284.36975100000001</v>
      </c>
      <c r="AM65" s="5">
        <f t="shared" si="5"/>
        <v>1.3827449860899899E-2</v>
      </c>
    </row>
    <row r="66" spans="2:39" x14ac:dyDescent="0.25">
      <c r="B66" s="39">
        <v>44975</v>
      </c>
      <c r="C66">
        <v>2391.3522950000001</v>
      </c>
      <c r="D66" s="5">
        <f t="shared" si="0"/>
        <v>-4.0475184737149172E-2</v>
      </c>
      <c r="F66" s="39">
        <v>44975</v>
      </c>
      <c r="G66">
        <v>17465.800781000002</v>
      </c>
      <c r="H66" s="5">
        <f t="shared" si="1"/>
        <v>-2.6660339208308015E-2</v>
      </c>
      <c r="Y66" s="39">
        <v>44886</v>
      </c>
      <c r="Z66">
        <v>548.34954800000003</v>
      </c>
      <c r="AA66" s="5">
        <f t="shared" si="2"/>
        <v>5.3840265992692649E-2</v>
      </c>
      <c r="AC66" s="39">
        <v>44886</v>
      </c>
      <c r="AD66">
        <v>1218</v>
      </c>
      <c r="AE66" s="5">
        <f t="shared" si="3"/>
        <v>-5.3576248980330421E-2</v>
      </c>
      <c r="AG66" s="39">
        <v>44886</v>
      </c>
      <c r="AH66">
        <v>734.50476100000003</v>
      </c>
      <c r="AI66" s="5">
        <f t="shared" si="4"/>
        <v>-7.0683540623786012E-3</v>
      </c>
      <c r="AK66" s="39">
        <v>44886</v>
      </c>
      <c r="AL66">
        <v>292.27578699999998</v>
      </c>
      <c r="AM66" s="5">
        <f t="shared" si="5"/>
        <v>2.7801958443885111E-2</v>
      </c>
    </row>
    <row r="67" spans="2:39" x14ac:dyDescent="0.25">
      <c r="B67" s="39">
        <v>44982</v>
      </c>
      <c r="C67">
        <v>2388.3620609999998</v>
      </c>
      <c r="D67" s="5">
        <f t="shared" si="0"/>
        <v>-1.2504364188632433E-3</v>
      </c>
      <c r="F67" s="39">
        <v>44982</v>
      </c>
      <c r="G67">
        <v>17594.349609000001</v>
      </c>
      <c r="H67" s="5">
        <f t="shared" si="1"/>
        <v>7.3600305884538031E-3</v>
      </c>
      <c r="Y67" s="39">
        <v>44893</v>
      </c>
      <c r="Z67">
        <v>580.38079800000003</v>
      </c>
      <c r="AA67" s="5">
        <f t="shared" si="2"/>
        <v>5.841392614770613E-2</v>
      </c>
      <c r="AC67" s="39">
        <v>44893</v>
      </c>
      <c r="AD67">
        <v>1233.4499510000001</v>
      </c>
      <c r="AE67" s="5">
        <f t="shared" si="3"/>
        <v>1.2684688834154301E-2</v>
      </c>
      <c r="AG67" s="39">
        <v>44893</v>
      </c>
      <c r="AH67">
        <v>789.58013900000003</v>
      </c>
      <c r="AI67" s="5">
        <f t="shared" si="4"/>
        <v>7.4983010219044743E-2</v>
      </c>
      <c r="AK67" s="39">
        <v>44893</v>
      </c>
      <c r="AL67">
        <v>329.71771200000001</v>
      </c>
      <c r="AM67" s="5">
        <f t="shared" si="5"/>
        <v>0.12810477865551007</v>
      </c>
    </row>
    <row r="68" spans="2:39" x14ac:dyDescent="0.25">
      <c r="B68" s="39">
        <v>44989</v>
      </c>
      <c r="C68">
        <v>2367.8283689999998</v>
      </c>
      <c r="D68" s="5">
        <f t="shared" si="0"/>
        <v>-8.5973949826528839E-3</v>
      </c>
      <c r="F68" s="39">
        <v>44989</v>
      </c>
      <c r="G68">
        <v>17412.900390999999</v>
      </c>
      <c r="H68" s="5">
        <f t="shared" si="1"/>
        <v>-1.0312925571695164E-2</v>
      </c>
      <c r="Y68" s="39">
        <v>44900</v>
      </c>
      <c r="Z68">
        <v>589.45471199999997</v>
      </c>
      <c r="AA68" s="5">
        <f t="shared" si="2"/>
        <v>1.5634414562419652E-2</v>
      </c>
      <c r="AC68" s="39">
        <v>44900</v>
      </c>
      <c r="AD68">
        <v>1174.6999510000001</v>
      </c>
      <c r="AE68" s="5">
        <f t="shared" si="3"/>
        <v>-4.7630631427217129E-2</v>
      </c>
      <c r="AG68" s="39">
        <v>44900</v>
      </c>
      <c r="AH68">
        <v>765.47845500000005</v>
      </c>
      <c r="AI68" s="5">
        <f t="shared" si="4"/>
        <v>-3.0524683701548816E-2</v>
      </c>
      <c r="AK68" s="39">
        <v>44900</v>
      </c>
      <c r="AL68">
        <v>307.64041099999997</v>
      </c>
      <c r="AM68" s="5">
        <f t="shared" si="5"/>
        <v>-6.6958189373824251E-2</v>
      </c>
    </row>
    <row r="69" spans="2:39" x14ac:dyDescent="0.25">
      <c r="B69" s="39">
        <v>44996</v>
      </c>
      <c r="C69">
        <v>2447.719482</v>
      </c>
      <c r="D69" s="5">
        <f t="shared" si="0"/>
        <v>3.3740246567676824E-2</v>
      </c>
      <c r="F69" s="39">
        <v>44996</v>
      </c>
      <c r="G69">
        <v>17100.050781000002</v>
      </c>
      <c r="H69" s="5">
        <f t="shared" si="1"/>
        <v>-1.7966542217268788E-2</v>
      </c>
      <c r="Y69" s="39">
        <v>44907</v>
      </c>
      <c r="Z69">
        <v>526.63171399999999</v>
      </c>
      <c r="AA69" s="5">
        <f t="shared" si="2"/>
        <v>-0.10657815896804634</v>
      </c>
      <c r="AC69" s="39">
        <v>44907</v>
      </c>
      <c r="AD69">
        <v>1092.25</v>
      </c>
      <c r="AE69" s="5">
        <f t="shared" si="3"/>
        <v>-7.0188094355338904E-2</v>
      </c>
      <c r="AG69" s="39">
        <v>44907</v>
      </c>
      <c r="AH69">
        <v>737.99054000000001</v>
      </c>
      <c r="AI69" s="5">
        <f t="shared" si="4"/>
        <v>-3.59094561322435E-2</v>
      </c>
      <c r="AK69" s="39">
        <v>44907</v>
      </c>
      <c r="AL69">
        <v>300.87799100000001</v>
      </c>
      <c r="AM69" s="5">
        <f t="shared" si="5"/>
        <v>-2.1981572505440305E-2</v>
      </c>
    </row>
    <row r="70" spans="2:39" x14ac:dyDescent="0.25">
      <c r="B70" s="39">
        <v>45003</v>
      </c>
      <c r="C70">
        <v>2485.298096</v>
      </c>
      <c r="D70" s="5">
        <f t="shared" si="0"/>
        <v>1.53525002666135E-2</v>
      </c>
      <c r="F70" s="39">
        <v>45003</v>
      </c>
      <c r="G70">
        <v>16945.050781000002</v>
      </c>
      <c r="H70" s="5">
        <f t="shared" si="1"/>
        <v>-9.0643005675878907E-3</v>
      </c>
      <c r="Y70" s="39">
        <v>44914</v>
      </c>
      <c r="Z70">
        <v>530.59844999999996</v>
      </c>
      <c r="AA70" s="5">
        <f t="shared" si="2"/>
        <v>7.5322771009571632E-3</v>
      </c>
      <c r="AC70" s="39">
        <v>44914</v>
      </c>
      <c r="AD70">
        <v>1022.5</v>
      </c>
      <c r="AE70" s="5">
        <f t="shared" si="3"/>
        <v>-6.385900663767452E-2</v>
      </c>
      <c r="AG70" s="39">
        <v>44914</v>
      </c>
      <c r="AH70">
        <v>653.78393600000004</v>
      </c>
      <c r="AI70" s="5">
        <f t="shared" si="4"/>
        <v>-0.11410255204626329</v>
      </c>
      <c r="AK70" s="39">
        <v>44914</v>
      </c>
      <c r="AL70">
        <v>278.40289300000001</v>
      </c>
      <c r="AM70" s="5">
        <f t="shared" si="5"/>
        <v>-7.4698378320400272E-2</v>
      </c>
    </row>
    <row r="71" spans="2:39" x14ac:dyDescent="0.25">
      <c r="B71" s="39">
        <v>45010</v>
      </c>
      <c r="C71">
        <v>2506.7780760000001</v>
      </c>
      <c r="D71" s="5">
        <f t="shared" si="0"/>
        <v>8.642818354293702E-3</v>
      </c>
      <c r="F71" s="39">
        <v>45010</v>
      </c>
      <c r="G71">
        <v>17359.75</v>
      </c>
      <c r="H71" s="5">
        <f t="shared" si="1"/>
        <v>2.4473176525678486E-2</v>
      </c>
      <c r="Y71" s="39">
        <v>44921</v>
      </c>
      <c r="Z71">
        <v>559.010132</v>
      </c>
      <c r="AA71" s="5">
        <f t="shared" si="2"/>
        <v>5.3546485105638864E-2</v>
      </c>
      <c r="AC71" s="39">
        <v>44921</v>
      </c>
      <c r="AD71">
        <v>1082.75</v>
      </c>
      <c r="AE71" s="5">
        <f t="shared" si="3"/>
        <v>5.8924205378973138E-2</v>
      </c>
      <c r="AG71" s="39">
        <v>44921</v>
      </c>
      <c r="AH71">
        <v>711.54840100000001</v>
      </c>
      <c r="AI71" s="5">
        <f t="shared" si="4"/>
        <v>8.8354059834226284E-2</v>
      </c>
      <c r="AK71" s="39">
        <v>44921</v>
      </c>
      <c r="AL71">
        <v>297.09899899999999</v>
      </c>
      <c r="AM71" s="5">
        <f t="shared" si="5"/>
        <v>6.715485531969656E-2</v>
      </c>
    </row>
    <row r="72" spans="2:39" x14ac:dyDescent="0.25">
      <c r="B72" s="39">
        <v>45017</v>
      </c>
      <c r="C72">
        <v>2540.219971</v>
      </c>
      <c r="D72" s="5">
        <f t="shared" si="0"/>
        <v>1.3340588590659008E-2</v>
      </c>
      <c r="F72" s="39">
        <v>45017</v>
      </c>
      <c r="G72">
        <v>17599.150390999999</v>
      </c>
      <c r="H72" s="5">
        <f t="shared" si="1"/>
        <v>1.3790543700226143E-2</v>
      </c>
      <c r="Y72" s="39">
        <v>44928</v>
      </c>
      <c r="Z72">
        <v>582.66168200000004</v>
      </c>
      <c r="AA72" s="5">
        <f t="shared" si="2"/>
        <v>4.2309698243537364E-2</v>
      </c>
      <c r="AC72" s="39">
        <v>44928</v>
      </c>
      <c r="AD72">
        <v>1055.3000489999999</v>
      </c>
      <c r="AE72" s="5">
        <f t="shared" si="3"/>
        <v>-2.5352067420919E-2</v>
      </c>
      <c r="AG72" s="39">
        <v>44928</v>
      </c>
      <c r="AH72">
        <v>690.08593800000006</v>
      </c>
      <c r="AI72" s="5">
        <f t="shared" si="4"/>
        <v>-3.0163040166820587E-2</v>
      </c>
      <c r="AK72" s="39">
        <v>44928</v>
      </c>
      <c r="AL72">
        <v>282.08242799999999</v>
      </c>
      <c r="AM72" s="5">
        <f t="shared" si="5"/>
        <v>-5.0543997288930664E-2</v>
      </c>
    </row>
    <row r="73" spans="2:39" x14ac:dyDescent="0.25">
      <c r="B73" s="39">
        <v>45024</v>
      </c>
      <c r="C73">
        <v>2577.2998050000001</v>
      </c>
      <c r="D73" s="5">
        <f t="shared" ref="D73:D110" si="6">C73/C72-1</f>
        <v>1.4597095693804407E-2</v>
      </c>
      <c r="F73" s="39">
        <v>45024</v>
      </c>
      <c r="G73">
        <v>17828</v>
      </c>
      <c r="H73" s="5">
        <f t="shared" ref="H73:H110" si="7">G73/G72-1</f>
        <v>1.3003446411653519E-2</v>
      </c>
      <c r="Y73" s="39">
        <v>44935</v>
      </c>
      <c r="Z73">
        <v>579.98413100000005</v>
      </c>
      <c r="AA73" s="5">
        <f t="shared" ref="AA73:AA110" si="8">Z73/Z72-1</f>
        <v>-4.5953785579467832E-3</v>
      </c>
      <c r="AC73" s="39">
        <v>44935</v>
      </c>
      <c r="AD73">
        <v>1025.650024</v>
      </c>
      <c r="AE73" s="5">
        <f t="shared" ref="AE73:AE110" si="9">AD73/AD72-1</f>
        <v>-2.8096298325861135E-2</v>
      </c>
      <c r="AG73" s="39">
        <v>44935</v>
      </c>
      <c r="AH73">
        <v>729.475281</v>
      </c>
      <c r="AI73" s="5">
        <f t="shared" ref="AI73:AI110" si="10">AH73/AH72-1</f>
        <v>5.7078895295501475E-2</v>
      </c>
      <c r="AK73" s="39">
        <v>44935</v>
      </c>
      <c r="AL73">
        <v>292.07690400000001</v>
      </c>
      <c r="AM73" s="5">
        <f t="shared" ref="AM73:AM110" si="11">AL73/AL72-1</f>
        <v>3.5431047835422058E-2</v>
      </c>
    </row>
    <row r="74" spans="2:39" x14ac:dyDescent="0.25">
      <c r="B74" s="39">
        <v>45031</v>
      </c>
      <c r="C74">
        <v>2560.0058589999999</v>
      </c>
      <c r="D74" s="5">
        <f t="shared" si="6"/>
        <v>-6.7101025524658464E-3</v>
      </c>
      <c r="F74" s="39">
        <v>45031</v>
      </c>
      <c r="G74">
        <v>17624.050781000002</v>
      </c>
      <c r="H74" s="5">
        <f t="shared" si="7"/>
        <v>-1.1439826060130054E-2</v>
      </c>
      <c r="Y74" s="39">
        <v>44942</v>
      </c>
      <c r="Z74">
        <v>580.92620799999997</v>
      </c>
      <c r="AA74" s="5">
        <f t="shared" si="8"/>
        <v>1.6243151314772053E-3</v>
      </c>
      <c r="AC74" s="39">
        <v>44942</v>
      </c>
      <c r="AD74">
        <v>1035.9499510000001</v>
      </c>
      <c r="AE74" s="5">
        <f t="shared" si="9"/>
        <v>1.0042340719528031E-2</v>
      </c>
      <c r="AG74" s="39">
        <v>44942</v>
      </c>
      <c r="AH74">
        <v>695.16516100000001</v>
      </c>
      <c r="AI74" s="5">
        <f t="shared" si="10"/>
        <v>-4.7033972080542608E-2</v>
      </c>
      <c r="AK74" s="39">
        <v>44942</v>
      </c>
      <c r="AL74">
        <v>290.08798200000001</v>
      </c>
      <c r="AM74" s="5">
        <f t="shared" si="11"/>
        <v>-6.8095832733149342E-3</v>
      </c>
    </row>
    <row r="75" spans="2:39" x14ac:dyDescent="0.25">
      <c r="B75" s="39">
        <v>45038</v>
      </c>
      <c r="C75">
        <v>2633.3183589999999</v>
      </c>
      <c r="D75" s="5">
        <f t="shared" si="6"/>
        <v>2.8637629770362105E-2</v>
      </c>
      <c r="F75" s="39">
        <v>45038</v>
      </c>
      <c r="G75">
        <v>18065</v>
      </c>
      <c r="H75" s="5">
        <f t="shared" si="7"/>
        <v>2.5019742877464557E-2</v>
      </c>
      <c r="Y75" s="39">
        <v>44949</v>
      </c>
      <c r="Z75">
        <v>600.85900900000001</v>
      </c>
      <c r="AA75" s="5">
        <f t="shared" si="8"/>
        <v>3.4312104920561692E-2</v>
      </c>
      <c r="AC75" s="39">
        <v>44949</v>
      </c>
      <c r="AD75">
        <v>1049.6999510000001</v>
      </c>
      <c r="AE75" s="5">
        <f t="shared" si="9"/>
        <v>1.3272841981146977E-2</v>
      </c>
      <c r="AG75" s="39">
        <v>44949</v>
      </c>
      <c r="AH75">
        <v>644.02374299999997</v>
      </c>
      <c r="AI75" s="5">
        <f t="shared" si="10"/>
        <v>-7.3567291442558469E-2</v>
      </c>
      <c r="AK75" s="39">
        <v>44949</v>
      </c>
      <c r="AL75">
        <v>289.29238900000001</v>
      </c>
      <c r="AM75" s="5">
        <f t="shared" si="11"/>
        <v>-2.7425920733248343E-3</v>
      </c>
    </row>
    <row r="76" spans="2:39" x14ac:dyDescent="0.25">
      <c r="B76" s="39">
        <v>45045</v>
      </c>
      <c r="C76">
        <v>2724.0742190000001</v>
      </c>
      <c r="D76" s="5">
        <f t="shared" si="6"/>
        <v>3.4464446613460265E-2</v>
      </c>
      <c r="F76" s="39">
        <v>45045</v>
      </c>
      <c r="G76">
        <v>18069</v>
      </c>
      <c r="H76" s="5">
        <f t="shared" si="7"/>
        <v>2.2142264046509652E-4</v>
      </c>
      <c r="Y76" s="39">
        <v>44956</v>
      </c>
      <c r="Z76">
        <v>612.56085199999995</v>
      </c>
      <c r="AA76" s="5">
        <f t="shared" si="8"/>
        <v>1.9475189395054882E-2</v>
      </c>
      <c r="AC76" s="39">
        <v>44956</v>
      </c>
      <c r="AD76">
        <v>1074.3000489999999</v>
      </c>
      <c r="AE76" s="5">
        <f t="shared" si="9"/>
        <v>2.3435361673175725E-2</v>
      </c>
      <c r="AG76" s="39">
        <v>44956</v>
      </c>
      <c r="AH76">
        <v>620.96777299999997</v>
      </c>
      <c r="AI76" s="5">
        <f t="shared" si="10"/>
        <v>-3.5799875781908908E-2</v>
      </c>
      <c r="AK76" s="39">
        <v>44956</v>
      </c>
      <c r="AL76">
        <v>266.32003800000001</v>
      </c>
      <c r="AM76" s="5">
        <f t="shared" si="11"/>
        <v>-7.9408763844112107E-2</v>
      </c>
    </row>
    <row r="77" spans="2:39" x14ac:dyDescent="0.25">
      <c r="B77" s="39">
        <v>45052</v>
      </c>
      <c r="C77">
        <v>2764.2441410000001</v>
      </c>
      <c r="D77" s="5">
        <f t="shared" si="6"/>
        <v>1.474626561927761E-2</v>
      </c>
      <c r="F77" s="39">
        <v>45052</v>
      </c>
      <c r="G77">
        <v>18314.800781000002</v>
      </c>
      <c r="H77" s="5">
        <f t="shared" si="7"/>
        <v>1.3603452376999448E-2</v>
      </c>
      <c r="Y77" s="39">
        <v>44963</v>
      </c>
      <c r="Z77">
        <v>652.52551300000005</v>
      </c>
      <c r="AA77" s="5">
        <f t="shared" si="8"/>
        <v>6.5241944321966061E-2</v>
      </c>
      <c r="AC77" s="39">
        <v>44963</v>
      </c>
      <c r="AD77">
        <v>1049.0500489999999</v>
      </c>
      <c r="AE77" s="5">
        <f t="shared" si="9"/>
        <v>-2.3503675740779939E-2</v>
      </c>
      <c r="AG77" s="39">
        <v>44963</v>
      </c>
      <c r="AH77">
        <v>629.78179899999998</v>
      </c>
      <c r="AI77" s="5">
        <f t="shared" si="10"/>
        <v>1.419401518603447E-2</v>
      </c>
      <c r="AK77" s="39">
        <v>44963</v>
      </c>
      <c r="AL77">
        <v>290.83383199999997</v>
      </c>
      <c r="AM77" s="5">
        <f t="shared" si="11"/>
        <v>9.2046374670463171E-2</v>
      </c>
    </row>
    <row r="78" spans="2:39" x14ac:dyDescent="0.25">
      <c r="B78" s="39">
        <v>45059</v>
      </c>
      <c r="C78">
        <v>2692.9250489999999</v>
      </c>
      <c r="D78" s="5">
        <f t="shared" si="6"/>
        <v>-2.580057634641475E-2</v>
      </c>
      <c r="F78" s="39">
        <v>45059</v>
      </c>
      <c r="G78">
        <v>18203.400390999999</v>
      </c>
      <c r="H78" s="5">
        <f t="shared" si="7"/>
        <v>-6.0825335384249168E-3</v>
      </c>
      <c r="Y78" s="39">
        <v>44970</v>
      </c>
      <c r="Z78">
        <v>674.34252900000001</v>
      </c>
      <c r="AA78" s="5">
        <f t="shared" si="8"/>
        <v>3.3434732535890799E-2</v>
      </c>
      <c r="AC78" s="39">
        <v>44970</v>
      </c>
      <c r="AD78">
        <v>1024.650024</v>
      </c>
      <c r="AE78" s="5">
        <f t="shared" si="9"/>
        <v>-2.3259161965874853E-2</v>
      </c>
      <c r="AG78" s="39">
        <v>44970</v>
      </c>
      <c r="AH78">
        <v>672.45782499999996</v>
      </c>
      <c r="AI78" s="5">
        <f t="shared" si="10"/>
        <v>6.776319364542327E-2</v>
      </c>
      <c r="AK78" s="39">
        <v>44970</v>
      </c>
      <c r="AL78">
        <v>289.59072900000001</v>
      </c>
      <c r="AM78" s="5">
        <f t="shared" si="11"/>
        <v>-4.2742723274367123E-3</v>
      </c>
    </row>
    <row r="79" spans="2:39" x14ac:dyDescent="0.25">
      <c r="B79" s="39">
        <v>45066</v>
      </c>
      <c r="C79">
        <v>2733.2941890000002</v>
      </c>
      <c r="D79" s="5">
        <f t="shared" si="6"/>
        <v>1.4990814547545916E-2</v>
      </c>
      <c r="F79" s="39">
        <v>45066</v>
      </c>
      <c r="G79">
        <v>18499.349609000001</v>
      </c>
      <c r="H79" s="5">
        <f t="shared" si="7"/>
        <v>1.6257908502980811E-2</v>
      </c>
      <c r="Y79" s="39">
        <v>44977</v>
      </c>
      <c r="Z79">
        <v>700.12616000000003</v>
      </c>
      <c r="AA79" s="5">
        <f t="shared" si="8"/>
        <v>3.8235214139964224E-2</v>
      </c>
      <c r="AC79" s="39">
        <v>44977</v>
      </c>
      <c r="AD79">
        <v>990.15002400000003</v>
      </c>
      <c r="AE79" s="5">
        <f t="shared" si="9"/>
        <v>-3.3670032881392919E-2</v>
      </c>
      <c r="AG79" s="39">
        <v>44977</v>
      </c>
      <c r="AH79">
        <v>652.58880599999998</v>
      </c>
      <c r="AI79" s="5">
        <f t="shared" si="10"/>
        <v>-2.9546862660122963E-2</v>
      </c>
      <c r="AK79" s="39">
        <v>44977</v>
      </c>
      <c r="AL79">
        <v>281.38632200000001</v>
      </c>
      <c r="AM79" s="5">
        <f t="shared" si="11"/>
        <v>-2.8331041633587684E-2</v>
      </c>
    </row>
    <row r="80" spans="2:39" x14ac:dyDescent="0.25">
      <c r="B80" s="39">
        <v>45073</v>
      </c>
      <c r="C80">
        <v>2852.4084469999998</v>
      </c>
      <c r="D80" s="5">
        <f t="shared" si="6"/>
        <v>4.3579011172441229E-2</v>
      </c>
      <c r="F80" s="39">
        <v>45073</v>
      </c>
      <c r="G80">
        <v>18534.099609000001</v>
      </c>
      <c r="H80" s="5">
        <f t="shared" si="7"/>
        <v>1.8784444174779757E-3</v>
      </c>
      <c r="Y80" s="39">
        <v>44984</v>
      </c>
      <c r="Z80">
        <v>787.59240699999998</v>
      </c>
      <c r="AA80" s="5">
        <f t="shared" si="8"/>
        <v>0.12492926560550166</v>
      </c>
      <c r="AC80" s="39">
        <v>44984</v>
      </c>
      <c r="AD80">
        <v>1013.200012</v>
      </c>
      <c r="AE80" s="5">
        <f t="shared" si="9"/>
        <v>2.3279288432355827E-2</v>
      </c>
      <c r="AG80" s="39">
        <v>44984</v>
      </c>
      <c r="AH80">
        <v>646.26464799999997</v>
      </c>
      <c r="AI80" s="5">
        <f t="shared" si="10"/>
        <v>-9.6908772290525969E-3</v>
      </c>
      <c r="AK80" s="39">
        <v>44984</v>
      </c>
      <c r="AL80">
        <v>278.94986</v>
      </c>
      <c r="AM80" s="5">
        <f t="shared" si="11"/>
        <v>-8.6587790859287139E-3</v>
      </c>
    </row>
    <row r="81" spans="2:39" x14ac:dyDescent="0.25">
      <c r="B81" s="39">
        <v>45080</v>
      </c>
      <c r="C81">
        <v>2866.9614259999998</v>
      </c>
      <c r="D81" s="5">
        <f t="shared" si="6"/>
        <v>5.1019968810237515E-3</v>
      </c>
      <c r="F81" s="39">
        <v>45080</v>
      </c>
      <c r="G81">
        <v>18563.400390999999</v>
      </c>
      <c r="H81" s="5">
        <f t="shared" si="7"/>
        <v>1.5809120819534339E-3</v>
      </c>
      <c r="Y81" s="39">
        <v>44991</v>
      </c>
      <c r="Z81">
        <v>773.80798300000004</v>
      </c>
      <c r="AA81" s="5">
        <f t="shared" si="8"/>
        <v>-1.7501976755344706E-2</v>
      </c>
      <c r="AC81" s="39">
        <v>44991</v>
      </c>
      <c r="AD81">
        <v>991</v>
      </c>
      <c r="AE81" s="5">
        <f t="shared" si="9"/>
        <v>-2.1910789318071999E-2</v>
      </c>
      <c r="AG81" s="39">
        <v>44991</v>
      </c>
      <c r="AH81">
        <v>631.77368200000001</v>
      </c>
      <c r="AI81" s="5">
        <f t="shared" si="10"/>
        <v>-2.2422649985335386E-2</v>
      </c>
      <c r="AK81" s="39">
        <v>44991</v>
      </c>
      <c r="AL81">
        <v>277.75646999999998</v>
      </c>
      <c r="AM81" s="5">
        <f t="shared" si="11"/>
        <v>-4.2781523532581245E-3</v>
      </c>
    </row>
    <row r="82" spans="2:39" x14ac:dyDescent="0.25">
      <c r="B82" s="39">
        <v>45087</v>
      </c>
      <c r="C82">
        <v>2944.7592770000001</v>
      </c>
      <c r="D82" s="5">
        <f t="shared" si="6"/>
        <v>2.7135995027510518E-2</v>
      </c>
      <c r="F82" s="39">
        <v>45087</v>
      </c>
      <c r="G82">
        <v>18826</v>
      </c>
      <c r="H82" s="5">
        <f t="shared" si="7"/>
        <v>1.4146094113625551E-2</v>
      </c>
      <c r="Y82" s="39">
        <v>44998</v>
      </c>
      <c r="Z82">
        <v>792.35241699999995</v>
      </c>
      <c r="AA82" s="5">
        <f t="shared" si="8"/>
        <v>2.3965162427123543E-2</v>
      </c>
      <c r="AC82" s="39">
        <v>44998</v>
      </c>
      <c r="AD82">
        <v>954.79998799999998</v>
      </c>
      <c r="AE82" s="5">
        <f t="shared" si="9"/>
        <v>-3.6528770938445976E-2</v>
      </c>
      <c r="AG82" s="39">
        <v>44998</v>
      </c>
      <c r="AH82">
        <v>589.34667999999999</v>
      </c>
      <c r="AI82" s="5">
        <f t="shared" si="10"/>
        <v>-6.7155380492725292E-2</v>
      </c>
      <c r="AK82" s="39">
        <v>44998</v>
      </c>
      <c r="AL82">
        <v>275.02166699999998</v>
      </c>
      <c r="AM82" s="5">
        <f t="shared" si="11"/>
        <v>-9.8460460705019903E-3</v>
      </c>
    </row>
    <row r="83" spans="2:39" x14ac:dyDescent="0.25">
      <c r="B83" s="39">
        <v>45094</v>
      </c>
      <c r="C83">
        <v>2929.658203</v>
      </c>
      <c r="D83" s="5">
        <f t="shared" si="6"/>
        <v>-5.1281183212315007E-3</v>
      </c>
      <c r="F83" s="39">
        <v>45094</v>
      </c>
      <c r="G83">
        <v>18665.5</v>
      </c>
      <c r="H83" s="5">
        <f t="shared" si="7"/>
        <v>-8.5254435355359703E-3</v>
      </c>
      <c r="Y83" s="39">
        <v>45005</v>
      </c>
      <c r="Z83">
        <v>816.15277100000003</v>
      </c>
      <c r="AA83" s="5">
        <f t="shared" si="8"/>
        <v>3.0037586166661523E-2</v>
      </c>
      <c r="AC83" s="39">
        <v>45005</v>
      </c>
      <c r="AD83">
        <v>950.09997599999997</v>
      </c>
      <c r="AE83" s="5">
        <f t="shared" si="9"/>
        <v>-4.9225094879242759E-3</v>
      </c>
      <c r="AG83" s="39">
        <v>45005</v>
      </c>
      <c r="AH83">
        <v>536.711365</v>
      </c>
      <c r="AI83" s="5">
        <f t="shared" si="10"/>
        <v>-8.9311294669548347E-2</v>
      </c>
      <c r="AK83" s="39">
        <v>45005</v>
      </c>
      <c r="AL83">
        <v>263.23718300000002</v>
      </c>
      <c r="AM83" s="5">
        <f t="shared" si="11"/>
        <v>-4.2849293034064706E-2</v>
      </c>
    </row>
    <row r="84" spans="2:39" x14ac:dyDescent="0.25">
      <c r="B84" s="39">
        <v>45101</v>
      </c>
      <c r="C84">
        <v>3037.8076169999999</v>
      </c>
      <c r="D84" s="5">
        <f t="shared" si="6"/>
        <v>3.6915369133933007E-2</v>
      </c>
      <c r="F84" s="39">
        <v>45101</v>
      </c>
      <c r="G84">
        <v>19189.050781000002</v>
      </c>
      <c r="H84" s="5">
        <f t="shared" si="7"/>
        <v>2.804911633762841E-2</v>
      </c>
      <c r="Y84" s="39">
        <v>45012</v>
      </c>
      <c r="Z84">
        <v>829.34210199999995</v>
      </c>
      <c r="AA84" s="5">
        <f t="shared" si="8"/>
        <v>1.6160370299104221E-2</v>
      </c>
      <c r="AC84" s="39">
        <v>45012</v>
      </c>
      <c r="AD84">
        <v>987.09997599999997</v>
      </c>
      <c r="AE84" s="5">
        <f t="shared" si="9"/>
        <v>3.8943270113291684E-2</v>
      </c>
      <c r="AG84" s="39">
        <v>45012</v>
      </c>
      <c r="AH84">
        <v>521.12487799999997</v>
      </c>
      <c r="AI84" s="5">
        <f t="shared" si="10"/>
        <v>-2.9040724710571397E-2</v>
      </c>
      <c r="AK84" s="39">
        <v>45012</v>
      </c>
      <c r="AL84">
        <v>259.70678700000002</v>
      </c>
      <c r="AM84" s="5">
        <f t="shared" si="11"/>
        <v>-1.3411463987593297E-2</v>
      </c>
    </row>
    <row r="85" spans="2:39" x14ac:dyDescent="0.25">
      <c r="B85" s="39">
        <v>45108</v>
      </c>
      <c r="C85">
        <v>3133.8466800000001</v>
      </c>
      <c r="D85" s="5">
        <f t="shared" si="6"/>
        <v>3.1614596810723539E-2</v>
      </c>
      <c r="F85" s="39">
        <v>45108</v>
      </c>
      <c r="G85">
        <v>19331.800781000002</v>
      </c>
      <c r="H85" s="5">
        <f t="shared" si="7"/>
        <v>7.4391381642151533E-3</v>
      </c>
      <c r="Y85" s="39">
        <v>45019</v>
      </c>
      <c r="Z85">
        <v>858.39831500000003</v>
      </c>
      <c r="AA85" s="5">
        <f t="shared" si="8"/>
        <v>3.5035256174658969E-2</v>
      </c>
      <c r="AC85" s="39">
        <v>45019</v>
      </c>
      <c r="AD85">
        <v>959.04998799999998</v>
      </c>
      <c r="AE85" s="5">
        <f t="shared" si="9"/>
        <v>-2.8416562336133655E-2</v>
      </c>
      <c r="AG85" s="39">
        <v>45019</v>
      </c>
      <c r="AH85">
        <v>577.99298099999999</v>
      </c>
      <c r="AI85" s="5">
        <f t="shared" si="10"/>
        <v>0.10912567294474851</v>
      </c>
      <c r="AK85" s="39">
        <v>45019</v>
      </c>
      <c r="AL85">
        <v>264.52999899999998</v>
      </c>
      <c r="AM85" s="5">
        <f t="shared" si="11"/>
        <v>1.8571759543580812E-2</v>
      </c>
    </row>
    <row r="86" spans="2:39" x14ac:dyDescent="0.25">
      <c r="B86" s="39">
        <v>45115</v>
      </c>
      <c r="C86">
        <v>3045.6823730000001</v>
      </c>
      <c r="D86" s="5">
        <f t="shared" si="6"/>
        <v>-2.8132935654656799E-2</v>
      </c>
      <c r="F86" s="39">
        <v>45115</v>
      </c>
      <c r="G86">
        <v>19564.5</v>
      </c>
      <c r="H86" s="5">
        <f t="shared" si="7"/>
        <v>1.2037120681933855E-2</v>
      </c>
      <c r="Y86" s="39">
        <v>45026</v>
      </c>
      <c r="Z86">
        <v>841.58935499999995</v>
      </c>
      <c r="AA86" s="5">
        <f t="shared" si="8"/>
        <v>-1.9581771895719635E-2</v>
      </c>
      <c r="AC86" s="39">
        <v>45026</v>
      </c>
      <c r="AD86">
        <v>939.90002400000003</v>
      </c>
      <c r="AE86" s="5">
        <f t="shared" si="9"/>
        <v>-1.9967639059080944E-2</v>
      </c>
      <c r="AG86" s="39">
        <v>45026</v>
      </c>
      <c r="AH86">
        <v>622.86004600000001</v>
      </c>
      <c r="AI86" s="5">
        <f t="shared" si="10"/>
        <v>7.7625622585198784E-2</v>
      </c>
      <c r="AK86" s="39">
        <v>45026</v>
      </c>
      <c r="AL86">
        <v>261.646027</v>
      </c>
      <c r="AM86" s="5">
        <f t="shared" si="11"/>
        <v>-1.0902249313507806E-2</v>
      </c>
    </row>
    <row r="87" spans="2:39" x14ac:dyDescent="0.25">
      <c r="B87" s="39">
        <v>45122</v>
      </c>
      <c r="C87">
        <v>2976.3000489999999</v>
      </c>
      <c r="D87" s="5">
        <f t="shared" si="6"/>
        <v>-2.2780551450497621E-2</v>
      </c>
      <c r="F87" s="39">
        <v>45122</v>
      </c>
      <c r="G87">
        <v>19745</v>
      </c>
      <c r="H87" s="5">
        <f t="shared" si="7"/>
        <v>9.225893838329613E-3</v>
      </c>
      <c r="Y87" s="39">
        <v>45033</v>
      </c>
      <c r="Z87">
        <v>818.53283699999997</v>
      </c>
      <c r="AA87" s="5">
        <f t="shared" si="8"/>
        <v>-2.7396399280739447E-2</v>
      </c>
      <c r="AC87" s="39">
        <v>45033</v>
      </c>
      <c r="AD87">
        <v>902.54998799999998</v>
      </c>
      <c r="AE87" s="5">
        <f t="shared" si="9"/>
        <v>-3.97383073159705E-2</v>
      </c>
      <c r="AG87" s="39">
        <v>45033</v>
      </c>
      <c r="AH87">
        <v>622.31225600000005</v>
      </c>
      <c r="AI87" s="5">
        <f t="shared" si="10"/>
        <v>-8.7947525855580633E-4</v>
      </c>
      <c r="AK87" s="39">
        <v>45033</v>
      </c>
      <c r="AL87">
        <v>255.57972699999999</v>
      </c>
      <c r="AM87" s="5">
        <f t="shared" si="11"/>
        <v>-2.3185140892661105E-2</v>
      </c>
    </row>
    <row r="88" spans="2:39" x14ac:dyDescent="0.25">
      <c r="B88" s="39">
        <v>45129</v>
      </c>
      <c r="C88">
        <v>2987</v>
      </c>
      <c r="D88" s="5">
        <f t="shared" si="6"/>
        <v>3.5950511789277773E-3</v>
      </c>
      <c r="F88" s="39">
        <v>45129</v>
      </c>
      <c r="G88">
        <v>19646.050781000002</v>
      </c>
      <c r="H88" s="5">
        <f t="shared" si="7"/>
        <v>-5.0113557356291638E-3</v>
      </c>
      <c r="Y88" s="39">
        <v>45040</v>
      </c>
      <c r="Z88">
        <v>847.63861099999997</v>
      </c>
      <c r="AA88" s="5">
        <f t="shared" si="8"/>
        <v>3.5558468376999164E-2</v>
      </c>
      <c r="AC88" s="39">
        <v>45040</v>
      </c>
      <c r="AD88">
        <v>931.65002400000003</v>
      </c>
      <c r="AE88" s="5">
        <f t="shared" si="9"/>
        <v>3.2242021369347285E-2</v>
      </c>
      <c r="AG88" s="39">
        <v>45040</v>
      </c>
      <c r="AH88">
        <v>673.50354000000004</v>
      </c>
      <c r="AI88" s="5">
        <f t="shared" si="10"/>
        <v>8.2259803670008402E-2</v>
      </c>
      <c r="AK88" s="39">
        <v>45040</v>
      </c>
      <c r="AL88">
        <v>271.44158900000002</v>
      </c>
      <c r="AM88" s="5">
        <f t="shared" si="11"/>
        <v>6.2062285558353469E-2</v>
      </c>
    </row>
    <row r="89" spans="2:39" x14ac:dyDescent="0.25">
      <c r="B89" s="39">
        <v>45136</v>
      </c>
      <c r="C89">
        <v>2904.3999020000001</v>
      </c>
      <c r="D89" s="5">
        <f t="shared" si="6"/>
        <v>-2.7653196518245715E-2</v>
      </c>
      <c r="F89" s="39">
        <v>45136</v>
      </c>
      <c r="G89">
        <v>19517</v>
      </c>
      <c r="H89" s="5">
        <f t="shared" si="7"/>
        <v>-6.568789953694365E-3</v>
      </c>
      <c r="Y89" s="39">
        <v>45047</v>
      </c>
      <c r="Z89">
        <v>853.39031999999997</v>
      </c>
      <c r="AA89" s="5">
        <f t="shared" si="8"/>
        <v>6.7855674875574312E-3</v>
      </c>
      <c r="AC89" s="39">
        <v>45047</v>
      </c>
      <c r="AD89">
        <v>928.90002400000003</v>
      </c>
      <c r="AE89" s="5">
        <f t="shared" si="9"/>
        <v>-2.9517521914430578E-3</v>
      </c>
      <c r="AG89" s="39">
        <v>45047</v>
      </c>
      <c r="AH89">
        <v>670.76470900000004</v>
      </c>
      <c r="AI89" s="5">
        <f t="shared" si="10"/>
        <v>-4.0665428425216144E-3</v>
      </c>
      <c r="AK89" s="39">
        <v>45047</v>
      </c>
      <c r="AL89">
        <v>280.09350599999999</v>
      </c>
      <c r="AM89" s="5">
        <f t="shared" si="11"/>
        <v>3.1873955026103129E-2</v>
      </c>
    </row>
    <row r="90" spans="2:39" x14ac:dyDescent="0.25">
      <c r="B90" s="39">
        <v>45143</v>
      </c>
      <c r="C90">
        <v>3017.25</v>
      </c>
      <c r="D90" s="5">
        <f t="shared" si="6"/>
        <v>3.8854875983947768E-2</v>
      </c>
      <c r="F90" s="39">
        <v>45143</v>
      </c>
      <c r="G90">
        <v>19428.300781000002</v>
      </c>
      <c r="H90" s="5">
        <f t="shared" si="7"/>
        <v>-4.5447158374749552E-3</v>
      </c>
      <c r="Y90" s="39">
        <v>45054</v>
      </c>
      <c r="Z90">
        <v>867.62097200000005</v>
      </c>
      <c r="AA90" s="5">
        <f t="shared" si="8"/>
        <v>1.667543170632646E-2</v>
      </c>
      <c r="AC90" s="39">
        <v>45054</v>
      </c>
      <c r="AD90">
        <v>919.90002400000003</v>
      </c>
      <c r="AE90" s="5">
        <f t="shared" si="9"/>
        <v>-9.688879069293721E-3</v>
      </c>
      <c r="AG90" s="39">
        <v>45054</v>
      </c>
      <c r="AH90">
        <v>664.14166299999999</v>
      </c>
      <c r="AI90" s="5">
        <f t="shared" si="10"/>
        <v>-9.8738736715500153E-3</v>
      </c>
      <c r="AK90" s="39">
        <v>45054</v>
      </c>
      <c r="AL90">
        <v>305.80062900000001</v>
      </c>
      <c r="AM90" s="5">
        <f t="shared" si="11"/>
        <v>9.178050347229405E-2</v>
      </c>
    </row>
    <row r="91" spans="2:39" x14ac:dyDescent="0.25">
      <c r="B91" s="39">
        <v>45150</v>
      </c>
      <c r="C91">
        <v>3050.4499510000001</v>
      </c>
      <c r="D91" s="5">
        <f t="shared" si="6"/>
        <v>1.1003380893197523E-2</v>
      </c>
      <c r="F91" s="39">
        <v>45150</v>
      </c>
      <c r="G91">
        <v>19310.150390999999</v>
      </c>
      <c r="H91" s="5">
        <f t="shared" si="7"/>
        <v>-6.0813547891717112E-3</v>
      </c>
      <c r="Y91" s="39">
        <v>45061</v>
      </c>
      <c r="Z91">
        <v>915.71746800000005</v>
      </c>
      <c r="AA91" s="5">
        <f t="shared" si="8"/>
        <v>5.5434916342709251E-2</v>
      </c>
      <c r="AC91" s="39">
        <v>45061</v>
      </c>
      <c r="AD91">
        <v>915.09997599999997</v>
      </c>
      <c r="AE91" s="5">
        <f t="shared" si="9"/>
        <v>-5.2180105171951707E-3</v>
      </c>
      <c r="AG91" s="39">
        <v>45061</v>
      </c>
      <c r="AH91">
        <v>735.15216099999998</v>
      </c>
      <c r="AI91" s="5">
        <f t="shared" si="10"/>
        <v>0.10692070977634183</v>
      </c>
      <c r="AK91" s="39">
        <v>45061</v>
      </c>
      <c r="AL91">
        <v>332.80059799999998</v>
      </c>
      <c r="AM91" s="5">
        <f t="shared" si="11"/>
        <v>8.8292718979332108E-2</v>
      </c>
    </row>
    <row r="92" spans="2:39" x14ac:dyDescent="0.25">
      <c r="B92" s="39">
        <v>45157</v>
      </c>
      <c r="C92">
        <v>3067.1999510000001</v>
      </c>
      <c r="D92" s="5">
        <f t="shared" si="6"/>
        <v>5.4909932203637268E-3</v>
      </c>
      <c r="F92" s="39">
        <v>45157</v>
      </c>
      <c r="G92">
        <v>19265.800781000002</v>
      </c>
      <c r="H92" s="5">
        <f t="shared" si="7"/>
        <v>-2.2966993576947203E-3</v>
      </c>
      <c r="Y92" s="39">
        <v>45068</v>
      </c>
      <c r="Z92">
        <v>967.73101799999995</v>
      </c>
      <c r="AA92" s="5">
        <f t="shared" si="8"/>
        <v>5.6800871248641416E-2</v>
      </c>
      <c r="AC92" s="39">
        <v>45068</v>
      </c>
      <c r="AD92">
        <v>924.95001200000002</v>
      </c>
      <c r="AE92" s="5">
        <f t="shared" si="9"/>
        <v>1.0763890567515588E-2</v>
      </c>
      <c r="AG92" s="39">
        <v>45068</v>
      </c>
      <c r="AH92">
        <v>725.88989300000003</v>
      </c>
      <c r="AI92" s="5">
        <f t="shared" si="10"/>
        <v>-1.2599116878607597E-2</v>
      </c>
      <c r="AK92" s="39">
        <v>45068</v>
      </c>
      <c r="AL92">
        <v>337.62380999999999</v>
      </c>
      <c r="AM92" s="5">
        <f t="shared" si="11"/>
        <v>1.4492798477483637E-2</v>
      </c>
    </row>
    <row r="93" spans="2:39" x14ac:dyDescent="0.25">
      <c r="B93" s="39">
        <v>45164</v>
      </c>
      <c r="C93">
        <v>3116.8000489999999</v>
      </c>
      <c r="D93" s="5">
        <f t="shared" si="6"/>
        <v>1.6171132887449646E-2</v>
      </c>
      <c r="F93" s="39">
        <v>45164</v>
      </c>
      <c r="G93">
        <v>19435.300781000002</v>
      </c>
      <c r="H93" s="5">
        <f t="shared" si="7"/>
        <v>8.797973254616176E-3</v>
      </c>
      <c r="Y93" s="39">
        <v>45075</v>
      </c>
      <c r="Z93">
        <v>976.40826400000003</v>
      </c>
      <c r="AA93" s="5">
        <f t="shared" si="8"/>
        <v>8.9665886890071267E-3</v>
      </c>
      <c r="AC93" s="39">
        <v>45075</v>
      </c>
      <c r="AD93">
        <v>963.34997599999997</v>
      </c>
      <c r="AE93" s="5">
        <f t="shared" si="9"/>
        <v>4.1515718148885217E-2</v>
      </c>
      <c r="AG93" s="39">
        <v>45075</v>
      </c>
      <c r="AH93">
        <v>771.75286900000003</v>
      </c>
      <c r="AI93" s="5">
        <f t="shared" si="10"/>
        <v>6.3181725551315848E-2</v>
      </c>
      <c r="AK93" s="39">
        <v>45075</v>
      </c>
      <c r="AL93">
        <v>345.87792999999999</v>
      </c>
      <c r="AM93" s="5">
        <f t="shared" si="11"/>
        <v>2.4447683355033556E-2</v>
      </c>
    </row>
    <row r="94" spans="2:39" x14ac:dyDescent="0.25">
      <c r="B94" s="39">
        <v>45171</v>
      </c>
      <c r="C94">
        <v>3199.1000979999999</v>
      </c>
      <c r="D94" s="5">
        <f t="shared" si="6"/>
        <v>2.6405302780460715E-2</v>
      </c>
      <c r="F94" s="39">
        <v>45171</v>
      </c>
      <c r="G94">
        <v>19819.949218999998</v>
      </c>
      <c r="H94" s="5">
        <f t="shared" si="7"/>
        <v>1.9791226404688889E-2</v>
      </c>
      <c r="Y94" s="39">
        <v>45082</v>
      </c>
      <c r="Z94">
        <v>1024.256836</v>
      </c>
      <c r="AA94" s="5">
        <f t="shared" si="8"/>
        <v>4.9004677412275655E-2</v>
      </c>
      <c r="AC94" s="39">
        <v>45082</v>
      </c>
      <c r="AD94">
        <v>1014.299988</v>
      </c>
      <c r="AE94" s="5">
        <f t="shared" si="9"/>
        <v>5.2888372107044113E-2</v>
      </c>
      <c r="AG94" s="39">
        <v>45082</v>
      </c>
      <c r="AH94">
        <v>833.152466</v>
      </c>
      <c r="AI94" s="5">
        <f t="shared" si="10"/>
        <v>7.9558624873735218E-2</v>
      </c>
      <c r="AK94" s="39">
        <v>45082</v>
      </c>
      <c r="AL94">
        <v>326.68460099999999</v>
      </c>
      <c r="AM94" s="5">
        <f t="shared" si="11"/>
        <v>-5.5491626771329461E-2</v>
      </c>
    </row>
    <row r="95" spans="2:39" x14ac:dyDescent="0.25">
      <c r="B95" s="39">
        <v>45178</v>
      </c>
      <c r="C95">
        <v>3248.6000979999999</v>
      </c>
      <c r="D95" s="5">
        <f t="shared" si="6"/>
        <v>1.5473101335887085E-2</v>
      </c>
      <c r="F95" s="39">
        <v>45178</v>
      </c>
      <c r="G95">
        <v>20192.349609000001</v>
      </c>
      <c r="H95" s="5">
        <f t="shared" si="7"/>
        <v>1.8789169734249711E-2</v>
      </c>
      <c r="Y95" s="39">
        <v>45089</v>
      </c>
      <c r="Z95">
        <v>1009.976685</v>
      </c>
      <c r="AA95" s="5">
        <f t="shared" si="8"/>
        <v>-1.3941963087859777E-2</v>
      </c>
      <c r="AC95" s="39">
        <v>45089</v>
      </c>
      <c r="AD95">
        <v>1034.3000489999999</v>
      </c>
      <c r="AE95" s="5">
        <f t="shared" si="9"/>
        <v>1.9718092513671515E-2</v>
      </c>
      <c r="AG95" s="39">
        <v>45089</v>
      </c>
      <c r="AH95">
        <v>987.12463400000001</v>
      </c>
      <c r="AI95" s="5">
        <f t="shared" si="10"/>
        <v>0.18480671219666056</v>
      </c>
      <c r="AK95" s="39">
        <v>45089</v>
      </c>
      <c r="AL95">
        <v>337.82269300000002</v>
      </c>
      <c r="AM95" s="5">
        <f t="shared" si="11"/>
        <v>3.4094328186592415E-2</v>
      </c>
    </row>
    <row r="96" spans="2:39" x14ac:dyDescent="0.25">
      <c r="B96" s="39">
        <v>45185</v>
      </c>
      <c r="C96">
        <v>3274.5</v>
      </c>
      <c r="D96" s="5">
        <f t="shared" si="6"/>
        <v>7.9726347407134135E-3</v>
      </c>
      <c r="F96" s="39">
        <v>45185</v>
      </c>
      <c r="G96">
        <v>19674.25</v>
      </c>
      <c r="H96" s="5">
        <f t="shared" si="7"/>
        <v>-2.5658213087251469E-2</v>
      </c>
      <c r="Y96" s="39">
        <v>45096</v>
      </c>
      <c r="Z96">
        <v>967.83026099999995</v>
      </c>
      <c r="AA96" s="5">
        <f t="shared" si="8"/>
        <v>-4.1730095977413617E-2</v>
      </c>
      <c r="AC96" s="39">
        <v>45096</v>
      </c>
      <c r="AD96">
        <v>1083.900024</v>
      </c>
      <c r="AE96" s="5">
        <f t="shared" si="9"/>
        <v>4.7955112298365687E-2</v>
      </c>
      <c r="AG96" s="39">
        <v>45096</v>
      </c>
      <c r="AH96">
        <v>996.53619400000002</v>
      </c>
      <c r="AI96" s="5">
        <f t="shared" si="10"/>
        <v>9.5343178316427135E-3</v>
      </c>
      <c r="AK96" s="39">
        <v>45096</v>
      </c>
      <c r="AL96">
        <v>341.80059799999998</v>
      </c>
      <c r="AM96" s="5">
        <f t="shared" si="11"/>
        <v>1.1775126663856161E-2</v>
      </c>
    </row>
    <row r="97" spans="2:39" x14ac:dyDescent="0.25">
      <c r="B97" s="39">
        <v>45192</v>
      </c>
      <c r="C97">
        <v>3148.8000489999999</v>
      </c>
      <c r="D97" s="5">
        <f t="shared" si="6"/>
        <v>-3.838752511833865E-2</v>
      </c>
      <c r="F97" s="39">
        <v>45192</v>
      </c>
      <c r="G97">
        <v>19638.300781000002</v>
      </c>
      <c r="H97" s="5">
        <f t="shared" si="7"/>
        <v>-1.8272218254824502E-3</v>
      </c>
      <c r="Y97" s="39">
        <v>45103</v>
      </c>
      <c r="Z97">
        <v>1001.051514</v>
      </c>
      <c r="AA97" s="5">
        <f t="shared" si="8"/>
        <v>3.4325495222348845E-2</v>
      </c>
      <c r="AC97" s="39">
        <v>45103</v>
      </c>
      <c r="AD97">
        <v>1096.3000489999999</v>
      </c>
      <c r="AE97" s="5">
        <f t="shared" si="9"/>
        <v>1.1440192568904273E-2</v>
      </c>
      <c r="AG97" s="39">
        <v>45103</v>
      </c>
      <c r="AH97">
        <v>1018.695862</v>
      </c>
      <c r="AI97" s="5">
        <f t="shared" si="10"/>
        <v>2.2236691585734825E-2</v>
      </c>
      <c r="AK97" s="39">
        <v>45103</v>
      </c>
      <c r="AL97">
        <v>356.91659499999997</v>
      </c>
      <c r="AM97" s="5">
        <f t="shared" si="11"/>
        <v>4.4224606652092602E-2</v>
      </c>
    </row>
    <row r="98" spans="2:39" x14ac:dyDescent="0.25">
      <c r="B98" s="39">
        <v>45199</v>
      </c>
      <c r="C98">
        <v>3309.75</v>
      </c>
      <c r="D98" s="5">
        <f t="shared" si="6"/>
        <v>5.1114694008949524E-2</v>
      </c>
      <c r="F98" s="39">
        <v>45199</v>
      </c>
      <c r="G98">
        <v>19653.5</v>
      </c>
      <c r="H98" s="5">
        <f t="shared" si="7"/>
        <v>7.7395794928980521E-4</v>
      </c>
      <c r="Y98" s="39">
        <v>45110</v>
      </c>
      <c r="Z98">
        <v>993.26678500000003</v>
      </c>
      <c r="AA98" s="5">
        <f t="shared" si="8"/>
        <v>-7.7765518468613237E-3</v>
      </c>
      <c r="AC98" s="39">
        <v>45110</v>
      </c>
      <c r="AD98">
        <v>1056.75</v>
      </c>
      <c r="AE98" s="5">
        <f t="shared" si="9"/>
        <v>-3.6075934718853508E-2</v>
      </c>
      <c r="AG98" s="39">
        <v>45110</v>
      </c>
      <c r="AH98">
        <v>1020.638</v>
      </c>
      <c r="AI98" s="5">
        <f t="shared" si="10"/>
        <v>1.9064944429900699E-3</v>
      </c>
      <c r="AK98" s="39">
        <v>45110</v>
      </c>
      <c r="AL98">
        <v>352.73980699999998</v>
      </c>
      <c r="AM98" s="5">
        <f t="shared" si="11"/>
        <v>-1.1702420281130332E-2</v>
      </c>
    </row>
    <row r="99" spans="2:39" x14ac:dyDescent="0.25">
      <c r="B99" s="39">
        <v>45206</v>
      </c>
      <c r="C99">
        <v>3283.75</v>
      </c>
      <c r="D99" s="5">
        <f t="shared" si="6"/>
        <v>-7.8555782158773457E-3</v>
      </c>
      <c r="F99" s="39">
        <v>45206</v>
      </c>
      <c r="G99">
        <v>19751.050781000002</v>
      </c>
      <c r="H99" s="5">
        <f t="shared" si="7"/>
        <v>4.96353224616497E-3</v>
      </c>
      <c r="Y99" s="39">
        <v>45117</v>
      </c>
      <c r="Z99">
        <v>1044.883789</v>
      </c>
      <c r="AA99" s="5">
        <f t="shared" si="8"/>
        <v>5.196690836691964E-2</v>
      </c>
      <c r="AC99" s="39">
        <v>45117</v>
      </c>
      <c r="AD99">
        <v>1086.3000489999999</v>
      </c>
      <c r="AE99" s="5">
        <f t="shared" si="9"/>
        <v>2.7963140761769534E-2</v>
      </c>
      <c r="AG99" s="39">
        <v>45117</v>
      </c>
      <c r="AH99">
        <v>1112.1148679999999</v>
      </c>
      <c r="AI99" s="5">
        <f t="shared" si="10"/>
        <v>8.9627143022305455E-2</v>
      </c>
      <c r="AK99" s="39">
        <v>45117</v>
      </c>
      <c r="AL99">
        <v>377.601654</v>
      </c>
      <c r="AM99" s="5">
        <f t="shared" si="11"/>
        <v>7.0482113179814787E-2</v>
      </c>
    </row>
    <row r="100" spans="2:39" x14ac:dyDescent="0.25">
      <c r="B100" s="39">
        <v>45213</v>
      </c>
      <c r="C100">
        <v>3266.1999510000001</v>
      </c>
      <c r="D100" s="5">
        <f t="shared" si="6"/>
        <v>-5.3445143509707194E-3</v>
      </c>
      <c r="F100" s="39">
        <v>45213</v>
      </c>
      <c r="G100">
        <v>19542.650390999999</v>
      </c>
      <c r="H100" s="5">
        <f t="shared" si="7"/>
        <v>-1.0551357105540893E-2</v>
      </c>
      <c r="Y100" s="39">
        <v>45124</v>
      </c>
      <c r="Z100">
        <v>1038.2890629999999</v>
      </c>
      <c r="AA100" s="5">
        <f t="shared" si="8"/>
        <v>-6.3114444586335194E-3</v>
      </c>
      <c r="AC100" s="39">
        <v>45124</v>
      </c>
      <c r="AD100">
        <v>1047.3000489999999</v>
      </c>
      <c r="AE100" s="5">
        <f t="shared" si="9"/>
        <v>-3.590168299808294E-2</v>
      </c>
      <c r="AG100" s="39">
        <v>45124</v>
      </c>
      <c r="AH100">
        <v>1260.9578859999999</v>
      </c>
      <c r="AI100" s="5">
        <f t="shared" si="10"/>
        <v>0.133837809638923</v>
      </c>
      <c r="AK100" s="39">
        <v>45124</v>
      </c>
      <c r="AL100">
        <v>385.60000600000001</v>
      </c>
      <c r="AM100" s="5">
        <f t="shared" si="11"/>
        <v>2.118198348781597E-2</v>
      </c>
    </row>
    <row r="101" spans="2:39" x14ac:dyDescent="0.25">
      <c r="B101" s="39">
        <v>45220</v>
      </c>
      <c r="C101">
        <v>3120.6999510000001</v>
      </c>
      <c r="D101" s="5">
        <f t="shared" si="6"/>
        <v>-4.4547180877720804E-2</v>
      </c>
      <c r="F101" s="39">
        <v>45220</v>
      </c>
      <c r="G101">
        <v>19047.25</v>
      </c>
      <c r="H101" s="5">
        <f t="shared" si="7"/>
        <v>-2.5349703396840506E-2</v>
      </c>
      <c r="Y101" s="39">
        <v>45131</v>
      </c>
      <c r="Z101">
        <v>1061.400024</v>
      </c>
      <c r="AA101" s="5">
        <f t="shared" si="8"/>
        <v>2.2258696372303044E-2</v>
      </c>
      <c r="AC101" s="39">
        <v>45131</v>
      </c>
      <c r="AD101">
        <v>1046.8000489999999</v>
      </c>
      <c r="AE101" s="5">
        <f t="shared" si="9"/>
        <v>-4.774181004549849E-4</v>
      </c>
      <c r="AG101" s="39">
        <v>45131</v>
      </c>
      <c r="AH101">
        <v>1216.5390629999999</v>
      </c>
      <c r="AI101" s="5">
        <f t="shared" si="10"/>
        <v>-3.5226254178008287E-2</v>
      </c>
      <c r="AK101" s="39">
        <v>45131</v>
      </c>
      <c r="AL101">
        <v>415.89999399999999</v>
      </c>
      <c r="AM101" s="5">
        <f t="shared" si="11"/>
        <v>7.857880583124266E-2</v>
      </c>
    </row>
    <row r="102" spans="2:39" x14ac:dyDescent="0.25">
      <c r="B102" s="39">
        <v>45227</v>
      </c>
      <c r="C102">
        <v>3274.5</v>
      </c>
      <c r="D102" s="5">
        <f t="shared" si="6"/>
        <v>4.9283831004232281E-2</v>
      </c>
      <c r="F102" s="39">
        <v>45227</v>
      </c>
      <c r="G102">
        <v>19230.599609000001</v>
      </c>
      <c r="H102" s="5">
        <f t="shared" si="7"/>
        <v>9.6260409770438926E-3</v>
      </c>
      <c r="Y102" s="39">
        <v>45138</v>
      </c>
      <c r="Z102">
        <v>1040.4499510000001</v>
      </c>
      <c r="AA102" s="5">
        <f t="shared" si="8"/>
        <v>-1.9738150109557484E-2</v>
      </c>
      <c r="AC102" s="39">
        <v>45138</v>
      </c>
      <c r="AD102">
        <v>1109.349976</v>
      </c>
      <c r="AE102" s="5">
        <f t="shared" si="9"/>
        <v>5.9753462048223627E-2</v>
      </c>
      <c r="AG102" s="39">
        <v>45138</v>
      </c>
      <c r="AH102">
        <v>1156.4342039999999</v>
      </c>
      <c r="AI102" s="5">
        <f t="shared" si="10"/>
        <v>-4.9406435706043639E-2</v>
      </c>
      <c r="AK102" s="39">
        <v>45138</v>
      </c>
      <c r="AL102">
        <v>438.79998799999998</v>
      </c>
      <c r="AM102" s="5">
        <f t="shared" si="11"/>
        <v>5.5061299183380097E-2</v>
      </c>
    </row>
    <row r="103" spans="2:39" x14ac:dyDescent="0.25">
      <c r="B103" s="39">
        <v>45234</v>
      </c>
      <c r="C103">
        <v>3256.3500979999999</v>
      </c>
      <c r="D103" s="5">
        <f t="shared" si="6"/>
        <v>-5.5428010383264947E-3</v>
      </c>
      <c r="F103" s="39">
        <v>45234</v>
      </c>
      <c r="G103">
        <v>19425.349609000001</v>
      </c>
      <c r="H103" s="5">
        <f t="shared" si="7"/>
        <v>1.0127089324289962E-2</v>
      </c>
      <c r="Y103" s="39">
        <v>45145</v>
      </c>
      <c r="Z103">
        <v>1038.3000489999999</v>
      </c>
      <c r="AA103" s="5">
        <f t="shared" si="8"/>
        <v>-2.0663194783504535E-3</v>
      </c>
      <c r="AC103" s="39">
        <v>45145</v>
      </c>
      <c r="AD103">
        <v>1071.099976</v>
      </c>
      <c r="AE103" s="5">
        <f t="shared" si="9"/>
        <v>-3.4479650991582123E-2</v>
      </c>
      <c r="AG103" s="39">
        <v>45145</v>
      </c>
      <c r="AH103">
        <v>1107.931885</v>
      </c>
      <c r="AI103" s="5">
        <f t="shared" si="10"/>
        <v>-4.1941269838123851E-2</v>
      </c>
      <c r="AK103" s="39">
        <v>45145</v>
      </c>
      <c r="AL103">
        <v>445.85000600000001</v>
      </c>
      <c r="AM103" s="5">
        <f t="shared" si="11"/>
        <v>1.6066586583407094E-2</v>
      </c>
    </row>
    <row r="104" spans="2:39" x14ac:dyDescent="0.25">
      <c r="B104" s="39">
        <v>45241</v>
      </c>
      <c r="C104">
        <v>3338.8500979999999</v>
      </c>
      <c r="D104" s="5">
        <f t="shared" si="6"/>
        <v>2.5335113706192125E-2</v>
      </c>
      <c r="F104" s="39">
        <v>45241</v>
      </c>
      <c r="G104">
        <v>19731.800781000002</v>
      </c>
      <c r="H104" s="5">
        <f t="shared" si="7"/>
        <v>1.5775838178892609E-2</v>
      </c>
      <c r="Y104" s="39">
        <v>45152</v>
      </c>
      <c r="Z104">
        <v>1003.900024</v>
      </c>
      <c r="AA104" s="5">
        <f t="shared" si="8"/>
        <v>-3.3131102163705961E-2</v>
      </c>
      <c r="AC104" s="39">
        <v>45152</v>
      </c>
      <c r="AD104">
        <v>1082.849976</v>
      </c>
      <c r="AE104" s="5">
        <f t="shared" si="9"/>
        <v>1.0970031055252294E-2</v>
      </c>
      <c r="AG104" s="39">
        <v>45152</v>
      </c>
      <c r="AH104">
        <v>1093.789673</v>
      </c>
      <c r="AI104" s="5">
        <f t="shared" si="10"/>
        <v>-1.2764513948436473E-2</v>
      </c>
      <c r="AK104" s="39">
        <v>45152</v>
      </c>
      <c r="AL104">
        <v>453.54998799999998</v>
      </c>
      <c r="AM104" s="5">
        <f t="shared" si="11"/>
        <v>1.7270341810873502E-2</v>
      </c>
    </row>
    <row r="105" spans="2:39" x14ac:dyDescent="0.25">
      <c r="B105" s="39">
        <v>45248</v>
      </c>
      <c r="C105">
        <v>3396.9499510000001</v>
      </c>
      <c r="D105" s="5">
        <f t="shared" si="6"/>
        <v>1.740115647444096E-2</v>
      </c>
      <c r="F105" s="39">
        <v>45248</v>
      </c>
      <c r="G105">
        <v>19794.699218999998</v>
      </c>
      <c r="H105" s="5">
        <f t="shared" si="7"/>
        <v>3.1876684088845142E-3</v>
      </c>
      <c r="Y105" s="39">
        <v>45159</v>
      </c>
      <c r="Z105">
        <v>1018.299988</v>
      </c>
      <c r="AA105" s="5">
        <f t="shared" si="8"/>
        <v>1.4344021970060128E-2</v>
      </c>
      <c r="AC105" s="39">
        <v>45159</v>
      </c>
      <c r="AD105">
        <v>1090.650024</v>
      </c>
      <c r="AE105" s="5">
        <f t="shared" si="9"/>
        <v>7.2032582286358782E-3</v>
      </c>
      <c r="AG105" s="39">
        <v>45159</v>
      </c>
      <c r="AH105">
        <v>993.19982900000002</v>
      </c>
      <c r="AI105" s="5">
        <f t="shared" si="10"/>
        <v>-9.1964521592260429E-2</v>
      </c>
      <c r="AK105" s="39">
        <v>45159</v>
      </c>
      <c r="AL105">
        <v>484.54998799999998</v>
      </c>
      <c r="AM105" s="5">
        <f t="shared" si="11"/>
        <v>6.8349687620320232E-2</v>
      </c>
    </row>
    <row r="106" spans="2:39" x14ac:dyDescent="0.25">
      <c r="B106" s="39">
        <v>45255</v>
      </c>
      <c r="C106">
        <v>3489.5</v>
      </c>
      <c r="D106" s="5">
        <f t="shared" si="6"/>
        <v>2.7245043446328943E-2</v>
      </c>
      <c r="F106" s="39">
        <v>45255</v>
      </c>
      <c r="G106">
        <v>20267.900390999999</v>
      </c>
      <c r="H106" s="5">
        <f t="shared" si="7"/>
        <v>2.390544896715574E-2</v>
      </c>
      <c r="Y106" s="39">
        <v>45166</v>
      </c>
      <c r="Z106">
        <v>1042.650024</v>
      </c>
      <c r="AA106" s="5">
        <f t="shared" si="8"/>
        <v>2.3912438659480895E-2</v>
      </c>
      <c r="AC106" s="39">
        <v>45166</v>
      </c>
      <c r="AD106">
        <v>1077.849976</v>
      </c>
      <c r="AE106" s="5">
        <f t="shared" si="9"/>
        <v>-1.1736164414186123E-2</v>
      </c>
      <c r="AG106" s="39">
        <v>45166</v>
      </c>
      <c r="AH106">
        <v>963.32165499999996</v>
      </c>
      <c r="AI106" s="5">
        <f t="shared" si="10"/>
        <v>-3.0082741788309386E-2</v>
      </c>
      <c r="AK106" s="39">
        <v>45166</v>
      </c>
      <c r="AL106">
        <v>528.34997599999997</v>
      </c>
      <c r="AM106" s="5">
        <f t="shared" si="11"/>
        <v>9.0393125755273029E-2</v>
      </c>
    </row>
    <row r="107" spans="2:39" x14ac:dyDescent="0.25">
      <c r="B107" s="39">
        <v>45262</v>
      </c>
      <c r="C107">
        <v>3634.6499020000001</v>
      </c>
      <c r="D107" s="5">
        <f t="shared" si="6"/>
        <v>4.1596189138845219E-2</v>
      </c>
      <c r="F107" s="39">
        <v>45262</v>
      </c>
      <c r="G107">
        <v>20969.400390999999</v>
      </c>
      <c r="H107" s="5">
        <f t="shared" si="7"/>
        <v>3.4611379889724736E-2</v>
      </c>
      <c r="Y107" s="39">
        <v>45173</v>
      </c>
      <c r="Z107">
        <v>1116.099976</v>
      </c>
      <c r="AA107" s="5">
        <f t="shared" si="8"/>
        <v>7.0445451790446478E-2</v>
      </c>
      <c r="AC107" s="39">
        <v>45173</v>
      </c>
      <c r="AD107">
        <v>1159.099976</v>
      </c>
      <c r="AE107" s="5">
        <f t="shared" si="9"/>
        <v>7.538154827587995E-2</v>
      </c>
      <c r="AG107" s="39">
        <v>45173</v>
      </c>
      <c r="AH107">
        <v>1040.349976</v>
      </c>
      <c r="AI107" s="5">
        <f t="shared" si="10"/>
        <v>7.9961164165877729E-2</v>
      </c>
      <c r="AK107" s="39">
        <v>45173</v>
      </c>
      <c r="AL107">
        <v>518.5</v>
      </c>
      <c r="AM107" s="5">
        <f t="shared" si="11"/>
        <v>-1.8642900439915899E-2</v>
      </c>
    </row>
    <row r="108" spans="2:39" x14ac:dyDescent="0.25">
      <c r="B108" s="39">
        <v>45269</v>
      </c>
      <c r="C108">
        <v>3600.5500489999999</v>
      </c>
      <c r="D108" s="5">
        <f t="shared" si="6"/>
        <v>-9.3818810392815033E-3</v>
      </c>
      <c r="F108" s="39">
        <v>45269</v>
      </c>
      <c r="G108">
        <v>21456.650390999999</v>
      </c>
      <c r="H108" s="5">
        <f t="shared" si="7"/>
        <v>2.3236239039487572E-2</v>
      </c>
      <c r="Y108" s="39">
        <v>45180</v>
      </c>
      <c r="Z108">
        <v>1087.8000489999999</v>
      </c>
      <c r="AA108" s="5">
        <f t="shared" si="8"/>
        <v>-2.5356086021455115E-2</v>
      </c>
      <c r="AC108" s="39">
        <v>45180</v>
      </c>
      <c r="AD108">
        <v>1109.900024</v>
      </c>
      <c r="AE108" s="5">
        <f t="shared" si="9"/>
        <v>-4.2446685375481352E-2</v>
      </c>
      <c r="AG108" s="39">
        <v>45180</v>
      </c>
      <c r="AH108">
        <v>1063.099976</v>
      </c>
      <c r="AI108" s="5">
        <f t="shared" si="10"/>
        <v>2.1867641202310217E-2</v>
      </c>
      <c r="AK108" s="39">
        <v>45180</v>
      </c>
      <c r="AL108">
        <v>504</v>
      </c>
      <c r="AM108" s="5">
        <f t="shared" si="11"/>
        <v>-2.7965284474445462E-2</v>
      </c>
    </row>
    <row r="109" spans="2:39" x14ac:dyDescent="0.25">
      <c r="B109" s="39">
        <v>45276</v>
      </c>
      <c r="C109">
        <v>3627.3500979999999</v>
      </c>
      <c r="D109" s="5">
        <f t="shared" si="6"/>
        <v>7.4433207802355739E-3</v>
      </c>
      <c r="F109" s="39">
        <v>45276</v>
      </c>
      <c r="G109">
        <v>21349.400390999999</v>
      </c>
      <c r="H109" s="5">
        <f t="shared" si="7"/>
        <v>-4.9984502727874469E-3</v>
      </c>
      <c r="Y109" s="39">
        <v>45187</v>
      </c>
      <c r="Z109">
        <v>1043.599976</v>
      </c>
      <c r="AA109" s="5">
        <f t="shared" si="8"/>
        <v>-4.0632534481527705E-2</v>
      </c>
      <c r="AC109" s="39">
        <v>45187</v>
      </c>
      <c r="AD109">
        <v>1080.900024</v>
      </c>
      <c r="AE109" s="5">
        <f t="shared" si="9"/>
        <v>-2.6128479478256139E-2</v>
      </c>
      <c r="AG109" s="39">
        <v>45187</v>
      </c>
      <c r="AH109">
        <v>1031.3000489999999</v>
      </c>
      <c r="AI109" s="5">
        <f t="shared" si="10"/>
        <v>-2.9912451996894851E-2</v>
      </c>
      <c r="AK109" s="39">
        <v>45187</v>
      </c>
      <c r="AL109">
        <v>488.04998799999998</v>
      </c>
      <c r="AM109" s="5">
        <f t="shared" si="11"/>
        <v>-3.1646849206349192E-2</v>
      </c>
    </row>
    <row r="110" spans="2:39" x14ac:dyDescent="0.25">
      <c r="B110" s="39">
        <v>45283</v>
      </c>
      <c r="C110">
        <v>3675.4499510000001</v>
      </c>
      <c r="D110" s="5">
        <f t="shared" si="6"/>
        <v>1.3260328256299525E-2</v>
      </c>
      <c r="F110" s="39">
        <v>45283</v>
      </c>
      <c r="G110">
        <v>21731.400390999999</v>
      </c>
      <c r="H110" s="5">
        <f t="shared" si="7"/>
        <v>1.7892774176507364E-2</v>
      </c>
      <c r="Y110" s="39">
        <v>45194</v>
      </c>
      <c r="Z110">
        <v>1057.8000489999999</v>
      </c>
      <c r="AA110" s="5">
        <f t="shared" si="8"/>
        <v>1.3606816142740064E-2</v>
      </c>
      <c r="AC110" s="39">
        <v>45194</v>
      </c>
      <c r="AD110">
        <v>1106.900024</v>
      </c>
      <c r="AE110" s="5">
        <f t="shared" si="9"/>
        <v>2.4054028515776871E-2</v>
      </c>
      <c r="AG110" s="39">
        <v>45194</v>
      </c>
      <c r="AH110">
        <v>1037.599976</v>
      </c>
      <c r="AI110" s="5">
        <f t="shared" si="10"/>
        <v>6.1087236504144826E-3</v>
      </c>
      <c r="AK110" s="39">
        <v>45194</v>
      </c>
      <c r="AL110">
        <v>483.35000600000001</v>
      </c>
      <c r="AM110" s="5">
        <f t="shared" si="11"/>
        <v>-9.6301241994907194E-3</v>
      </c>
    </row>
    <row r="111" spans="2:39" x14ac:dyDescent="0.25">
      <c r="B111" s="39"/>
      <c r="C111" s="25"/>
      <c r="D111" s="5"/>
      <c r="F111" s="39"/>
      <c r="G111" s="25"/>
      <c r="H111" s="5"/>
    </row>
    <row r="112" spans="2:39" x14ac:dyDescent="0.25">
      <c r="B112" s="39"/>
      <c r="C112" s="25"/>
      <c r="D112" s="5"/>
      <c r="F112" s="39"/>
      <c r="G112" s="25"/>
      <c r="H112" s="5"/>
    </row>
    <row r="113" spans="2:8" x14ac:dyDescent="0.25">
      <c r="B113" s="39"/>
      <c r="C113" s="25"/>
      <c r="D113" s="5"/>
      <c r="F113" s="39"/>
      <c r="G113" s="25"/>
      <c r="H113" s="5"/>
    </row>
    <row r="114" spans="2:8" x14ac:dyDescent="0.25">
      <c r="B114" s="39"/>
      <c r="C114" s="25"/>
      <c r="D114" s="5"/>
      <c r="F114" s="39"/>
      <c r="G114" s="25"/>
      <c r="H114" s="5"/>
    </row>
    <row r="115" spans="2:8" x14ac:dyDescent="0.25">
      <c r="B115" s="39"/>
      <c r="C115" s="25"/>
      <c r="D115" s="5"/>
      <c r="F115" s="39"/>
      <c r="G115" s="25"/>
      <c r="H115" s="5"/>
    </row>
    <row r="116" spans="2:8" x14ac:dyDescent="0.25">
      <c r="B116" s="39"/>
      <c r="D116" s="5"/>
      <c r="F116" s="39"/>
      <c r="H116" s="5"/>
    </row>
    <row r="117" spans="2:8" x14ac:dyDescent="0.25">
      <c r="B117" s="39"/>
      <c r="D117" s="5"/>
      <c r="F117" s="39"/>
      <c r="H117" s="5"/>
    </row>
    <row r="118" spans="2:8" x14ac:dyDescent="0.25">
      <c r="B118" s="39"/>
      <c r="D118" s="5"/>
      <c r="F118" s="39"/>
      <c r="H118" s="5"/>
    </row>
    <row r="119" spans="2:8" x14ac:dyDescent="0.25">
      <c r="B119" s="39"/>
      <c r="D119" s="5"/>
      <c r="F119" s="39"/>
      <c r="H119" s="5"/>
    </row>
    <row r="120" spans="2:8" x14ac:dyDescent="0.25">
      <c r="B120" s="39"/>
      <c r="D120" s="5"/>
      <c r="F120" s="39"/>
      <c r="H120" s="5"/>
    </row>
    <row r="121" spans="2:8" x14ac:dyDescent="0.25">
      <c r="B121" s="39"/>
      <c r="D121" s="5"/>
      <c r="F121" s="39"/>
      <c r="H121" s="5"/>
    </row>
    <row r="122" spans="2:8" x14ac:dyDescent="0.25">
      <c r="B122" s="39"/>
      <c r="D122" s="5"/>
      <c r="F122" s="39"/>
      <c r="H122" s="5"/>
    </row>
    <row r="123" spans="2:8" x14ac:dyDescent="0.25">
      <c r="B123" s="39"/>
      <c r="D123" s="5"/>
      <c r="F123" s="39"/>
      <c r="H123" s="5"/>
    </row>
    <row r="124" spans="2:8" x14ac:dyDescent="0.25">
      <c r="B124" s="39"/>
      <c r="D124" s="5"/>
      <c r="F124" s="39"/>
      <c r="H124" s="5"/>
    </row>
    <row r="125" spans="2:8" x14ac:dyDescent="0.25">
      <c r="B125" s="39"/>
      <c r="D125" s="5"/>
      <c r="F125" s="39"/>
      <c r="H125" s="5"/>
    </row>
    <row r="126" spans="2:8" x14ac:dyDescent="0.25">
      <c r="B126" s="39"/>
      <c r="D126" s="5"/>
      <c r="F126" s="39"/>
      <c r="H126" s="5"/>
    </row>
    <row r="127" spans="2:8" x14ac:dyDescent="0.25">
      <c r="B127" s="39"/>
      <c r="D127" s="5"/>
      <c r="F127" s="39"/>
      <c r="H127" s="5"/>
    </row>
    <row r="128" spans="2:8" x14ac:dyDescent="0.25">
      <c r="B128" s="39"/>
      <c r="D128" s="5"/>
      <c r="F128" s="39"/>
      <c r="H128" s="5"/>
    </row>
    <row r="129" spans="2:8" x14ac:dyDescent="0.25">
      <c r="B129" s="39"/>
      <c r="D129" s="5"/>
      <c r="F129" s="39"/>
      <c r="H129" s="5"/>
    </row>
    <row r="130" spans="2:8" x14ac:dyDescent="0.25">
      <c r="B130" s="39"/>
      <c r="D130" s="5"/>
      <c r="F130" s="39"/>
      <c r="H130" s="5"/>
    </row>
    <row r="131" spans="2:8" x14ac:dyDescent="0.25">
      <c r="B131" s="39"/>
      <c r="D131" s="5"/>
      <c r="F131" s="39"/>
      <c r="H131" s="5"/>
    </row>
    <row r="132" spans="2:8" x14ac:dyDescent="0.25">
      <c r="B132" s="39"/>
      <c r="D132" s="5"/>
      <c r="F132" s="39"/>
      <c r="H132" s="5"/>
    </row>
    <row r="133" spans="2:8" x14ac:dyDescent="0.25">
      <c r="B133" s="39"/>
      <c r="D133" s="5"/>
      <c r="F133" s="39"/>
      <c r="H133" s="5"/>
    </row>
    <row r="134" spans="2:8" x14ac:dyDescent="0.25">
      <c r="B134" s="39"/>
      <c r="D134" s="5"/>
      <c r="F134" s="39"/>
      <c r="H134" s="5"/>
    </row>
    <row r="135" spans="2:8" x14ac:dyDescent="0.25">
      <c r="B135" s="39"/>
      <c r="D135" s="5"/>
      <c r="F135" s="39"/>
      <c r="H135" s="5"/>
    </row>
    <row r="136" spans="2:8" x14ac:dyDescent="0.25">
      <c r="B136" s="39"/>
      <c r="D136" s="5"/>
      <c r="F136" s="39"/>
      <c r="H136" s="5"/>
    </row>
    <row r="137" spans="2:8" x14ac:dyDescent="0.25">
      <c r="B137" s="39"/>
      <c r="D137" s="5"/>
      <c r="F137" s="39"/>
      <c r="H137" s="5"/>
    </row>
    <row r="138" spans="2:8" x14ac:dyDescent="0.25">
      <c r="B138" s="39"/>
      <c r="D138" s="5"/>
      <c r="F138" s="39"/>
      <c r="H138" s="5"/>
    </row>
    <row r="139" spans="2:8" x14ac:dyDescent="0.25">
      <c r="B139" s="39"/>
      <c r="D139" s="5"/>
      <c r="F139" s="39"/>
      <c r="H139" s="5"/>
    </row>
    <row r="140" spans="2:8" x14ac:dyDescent="0.25">
      <c r="B140" s="39"/>
      <c r="D140" s="5"/>
      <c r="F140" s="39"/>
      <c r="H140" s="5"/>
    </row>
    <row r="141" spans="2:8" x14ac:dyDescent="0.25">
      <c r="B141" s="39"/>
      <c r="D141" s="5"/>
      <c r="F141" s="39"/>
      <c r="H141" s="5"/>
    </row>
    <row r="142" spans="2:8" x14ac:dyDescent="0.25">
      <c r="B142" s="39"/>
      <c r="D142" s="5"/>
      <c r="F142" s="39"/>
      <c r="H142" s="5"/>
    </row>
    <row r="143" spans="2:8" x14ac:dyDescent="0.25">
      <c r="B143" s="39"/>
      <c r="D143" s="5"/>
      <c r="F143" s="39"/>
      <c r="H143" s="5"/>
    </row>
    <row r="144" spans="2:8" x14ac:dyDescent="0.25">
      <c r="B144" s="39"/>
      <c r="D144" s="5"/>
      <c r="F144" s="39"/>
      <c r="H144" s="5"/>
    </row>
    <row r="145" spans="2:8" x14ac:dyDescent="0.25">
      <c r="B145" s="39"/>
      <c r="D145" s="5"/>
      <c r="F145" s="39"/>
      <c r="H145" s="5"/>
    </row>
    <row r="146" spans="2:8" x14ac:dyDescent="0.25">
      <c r="B146" s="39"/>
      <c r="D146" s="5"/>
      <c r="F146" s="39"/>
      <c r="H146" s="5"/>
    </row>
    <row r="147" spans="2:8" x14ac:dyDescent="0.25">
      <c r="B147" s="39"/>
      <c r="D147" s="5"/>
      <c r="F147" s="39"/>
      <c r="H147" s="5"/>
    </row>
    <row r="148" spans="2:8" x14ac:dyDescent="0.25">
      <c r="B148" s="39"/>
      <c r="D148" s="5"/>
      <c r="F148" s="39"/>
      <c r="H148" s="5"/>
    </row>
    <row r="149" spans="2:8" x14ac:dyDescent="0.25">
      <c r="B149" s="39"/>
      <c r="D149" s="5"/>
      <c r="F149" s="39"/>
      <c r="H149" s="5"/>
    </row>
    <row r="150" spans="2:8" x14ac:dyDescent="0.25">
      <c r="B150" s="39"/>
      <c r="D150" s="5"/>
      <c r="F150" s="39"/>
      <c r="H150" s="5"/>
    </row>
    <row r="151" spans="2:8" x14ac:dyDescent="0.25">
      <c r="B151" s="39"/>
      <c r="D151" s="5"/>
      <c r="F151" s="39"/>
      <c r="H151" s="5"/>
    </row>
    <row r="152" spans="2:8" x14ac:dyDescent="0.25">
      <c r="B152" s="39"/>
      <c r="D152" s="5"/>
      <c r="F152" s="39"/>
      <c r="H152" s="5"/>
    </row>
    <row r="153" spans="2:8" x14ac:dyDescent="0.25">
      <c r="B153" s="39"/>
      <c r="D153" s="5"/>
      <c r="F153" s="39"/>
      <c r="H153" s="5"/>
    </row>
    <row r="154" spans="2:8" x14ac:dyDescent="0.25">
      <c r="B154" s="39"/>
      <c r="D154" s="5"/>
      <c r="F154" s="39"/>
      <c r="H154" s="5"/>
    </row>
    <row r="155" spans="2:8" x14ac:dyDescent="0.25">
      <c r="B155" s="39"/>
      <c r="D155" s="5"/>
      <c r="F155" s="39"/>
      <c r="H155" s="5"/>
    </row>
    <row r="156" spans="2:8" x14ac:dyDescent="0.25">
      <c r="B156" s="39"/>
      <c r="D156" s="5"/>
      <c r="F156" s="39"/>
      <c r="H156" s="5"/>
    </row>
    <row r="157" spans="2:8" x14ac:dyDescent="0.25">
      <c r="B157" s="39"/>
      <c r="D157" s="5"/>
      <c r="F157" s="39"/>
      <c r="H157" s="5"/>
    </row>
    <row r="158" spans="2:8" x14ac:dyDescent="0.25">
      <c r="B158" s="39"/>
      <c r="D158" s="5"/>
      <c r="F158" s="39"/>
      <c r="H158" s="5"/>
    </row>
    <row r="159" spans="2:8" x14ac:dyDescent="0.25">
      <c r="B159" s="39"/>
      <c r="D159" s="5"/>
      <c r="F159" s="39"/>
      <c r="H159" s="5"/>
    </row>
    <row r="160" spans="2:8" x14ac:dyDescent="0.25">
      <c r="B160" s="39"/>
      <c r="D160" s="5"/>
      <c r="F160" s="39"/>
      <c r="H160" s="5"/>
    </row>
    <row r="161" spans="2:8" x14ac:dyDescent="0.25">
      <c r="B161" s="39"/>
      <c r="D161" s="5"/>
      <c r="F161" s="39"/>
      <c r="H161" s="5"/>
    </row>
    <row r="162" spans="2:8" x14ac:dyDescent="0.25">
      <c r="B162" s="39"/>
      <c r="D162" s="5"/>
      <c r="F162" s="39"/>
      <c r="H162" s="5"/>
    </row>
    <row r="163" spans="2:8" x14ac:dyDescent="0.25">
      <c r="B163" s="39"/>
      <c r="D163" s="5"/>
      <c r="F163" s="39"/>
      <c r="H163" s="5"/>
    </row>
    <row r="164" spans="2:8" x14ac:dyDescent="0.25">
      <c r="B164" s="39"/>
      <c r="D164" s="5"/>
      <c r="F164" s="39"/>
      <c r="H164" s="5"/>
    </row>
    <row r="165" spans="2:8" x14ac:dyDescent="0.25">
      <c r="B165" s="39"/>
      <c r="D165" s="5"/>
      <c r="F165" s="39"/>
      <c r="H165" s="5"/>
    </row>
    <row r="166" spans="2:8" x14ac:dyDescent="0.25">
      <c r="B166" s="39"/>
      <c r="D166" s="5"/>
      <c r="F166" s="39"/>
      <c r="H166" s="5"/>
    </row>
    <row r="167" spans="2:8" x14ac:dyDescent="0.25">
      <c r="B167" s="39"/>
      <c r="D167" s="5"/>
      <c r="F167" s="39"/>
      <c r="H167" s="5"/>
    </row>
    <row r="168" spans="2:8" x14ac:dyDescent="0.25">
      <c r="B168" s="39"/>
      <c r="D168" s="5"/>
      <c r="F168" s="39"/>
      <c r="H168" s="5"/>
    </row>
    <row r="169" spans="2:8" x14ac:dyDescent="0.25">
      <c r="B169" s="39"/>
      <c r="D169" s="5"/>
      <c r="F169" s="39"/>
      <c r="H169" s="5"/>
    </row>
    <row r="170" spans="2:8" x14ac:dyDescent="0.25">
      <c r="B170" s="39"/>
      <c r="D170" s="5"/>
      <c r="F170" s="39"/>
      <c r="H170" s="5"/>
    </row>
    <row r="171" spans="2:8" x14ac:dyDescent="0.25">
      <c r="B171" s="39"/>
      <c r="D171" s="5"/>
      <c r="F171" s="39"/>
      <c r="H171" s="5"/>
    </row>
    <row r="172" spans="2:8" x14ac:dyDescent="0.25">
      <c r="B172" s="39"/>
      <c r="D172" s="5"/>
      <c r="F172" s="39"/>
      <c r="H172" s="5"/>
    </row>
    <row r="173" spans="2:8" x14ac:dyDescent="0.25">
      <c r="B173" s="39"/>
      <c r="D173" s="5"/>
      <c r="F173" s="39"/>
      <c r="H173" s="5"/>
    </row>
    <row r="174" spans="2:8" x14ac:dyDescent="0.25">
      <c r="B174" s="39"/>
      <c r="D174" s="5"/>
      <c r="F174" s="39"/>
      <c r="H174" s="5"/>
    </row>
    <row r="175" spans="2:8" x14ac:dyDescent="0.25">
      <c r="B175" s="39"/>
      <c r="D175" s="5"/>
      <c r="F175" s="39"/>
      <c r="H175" s="5"/>
    </row>
    <row r="176" spans="2:8" x14ac:dyDescent="0.25">
      <c r="B176" s="39"/>
      <c r="D176" s="5"/>
      <c r="F176" s="39"/>
      <c r="H176" s="5"/>
    </row>
    <row r="177" spans="2:8" x14ac:dyDescent="0.25">
      <c r="B177" s="39"/>
      <c r="D177" s="5"/>
      <c r="F177" s="39"/>
      <c r="H177" s="5"/>
    </row>
    <row r="178" spans="2:8" x14ac:dyDescent="0.25">
      <c r="B178" s="39"/>
      <c r="D178" s="5"/>
      <c r="F178" s="39"/>
      <c r="H178" s="5"/>
    </row>
    <row r="179" spans="2:8" x14ac:dyDescent="0.25">
      <c r="B179" s="39"/>
      <c r="D179" s="5"/>
      <c r="F179" s="39"/>
      <c r="H179" s="5"/>
    </row>
    <row r="180" spans="2:8" x14ac:dyDescent="0.25">
      <c r="B180" s="39"/>
      <c r="D180" s="5"/>
      <c r="F180" s="39"/>
      <c r="H180" s="5"/>
    </row>
    <row r="181" spans="2:8" x14ac:dyDescent="0.25">
      <c r="B181" s="39"/>
      <c r="D181" s="5"/>
      <c r="F181" s="39"/>
      <c r="H181" s="5"/>
    </row>
    <row r="182" spans="2:8" x14ac:dyDescent="0.25">
      <c r="B182" s="39"/>
      <c r="D182" s="5"/>
      <c r="F182" s="39"/>
      <c r="H182" s="5"/>
    </row>
    <row r="183" spans="2:8" x14ac:dyDescent="0.25">
      <c r="B183" s="39"/>
      <c r="D183" s="5"/>
      <c r="F183" s="39"/>
      <c r="H183" s="5"/>
    </row>
    <row r="184" spans="2:8" x14ac:dyDescent="0.25">
      <c r="B184" s="39"/>
      <c r="D184" s="5"/>
      <c r="F184" s="39"/>
      <c r="H184" s="5"/>
    </row>
    <row r="185" spans="2:8" x14ac:dyDescent="0.25">
      <c r="B185" s="39"/>
      <c r="D185" s="5"/>
      <c r="F185" s="39"/>
      <c r="H185" s="5"/>
    </row>
    <row r="186" spans="2:8" x14ac:dyDescent="0.25">
      <c r="B186" s="39"/>
      <c r="D186" s="5"/>
      <c r="F186" s="39"/>
      <c r="H186" s="5"/>
    </row>
    <row r="187" spans="2:8" x14ac:dyDescent="0.25">
      <c r="B187" s="39"/>
      <c r="D187" s="5"/>
      <c r="F187" s="39"/>
      <c r="H187" s="5"/>
    </row>
    <row r="188" spans="2:8" x14ac:dyDescent="0.25">
      <c r="B188" s="39"/>
      <c r="D188" s="5"/>
      <c r="F188" s="39"/>
      <c r="H188" s="5"/>
    </row>
    <row r="189" spans="2:8" x14ac:dyDescent="0.25">
      <c r="B189" s="39"/>
      <c r="D189" s="5"/>
      <c r="F189" s="39"/>
      <c r="H189" s="5"/>
    </row>
    <row r="190" spans="2:8" x14ac:dyDescent="0.25">
      <c r="B190" s="39"/>
      <c r="D190" s="5"/>
      <c r="F190" s="39"/>
      <c r="H190" s="5"/>
    </row>
    <row r="191" spans="2:8" x14ac:dyDescent="0.25">
      <c r="B191" s="39"/>
      <c r="D191" s="5"/>
      <c r="F191" s="39"/>
      <c r="H191" s="5"/>
    </row>
    <row r="192" spans="2:8" x14ac:dyDescent="0.25">
      <c r="B192" s="39"/>
      <c r="D192" s="5"/>
      <c r="F192" s="39"/>
      <c r="H192" s="5"/>
    </row>
    <row r="193" spans="2:8" x14ac:dyDescent="0.25">
      <c r="B193" s="39"/>
      <c r="D193" s="5"/>
      <c r="F193" s="39"/>
      <c r="H193" s="5"/>
    </row>
    <row r="194" spans="2:8" x14ac:dyDescent="0.25">
      <c r="B194" s="39"/>
      <c r="D194" s="5"/>
      <c r="F194" s="39"/>
      <c r="H194" s="5"/>
    </row>
    <row r="195" spans="2:8" x14ac:dyDescent="0.25">
      <c r="B195" s="39"/>
      <c r="D195" s="5"/>
      <c r="F195" s="39"/>
      <c r="H195" s="5"/>
    </row>
    <row r="196" spans="2:8" x14ac:dyDescent="0.25">
      <c r="B196" s="39"/>
      <c r="D196" s="5"/>
      <c r="F196" s="39"/>
      <c r="H196" s="5"/>
    </row>
    <row r="197" spans="2:8" x14ac:dyDescent="0.25">
      <c r="B197" s="39"/>
      <c r="D197" s="5"/>
      <c r="F197" s="39"/>
      <c r="H197" s="5"/>
    </row>
    <row r="198" spans="2:8" x14ac:dyDescent="0.25">
      <c r="B198" s="39"/>
      <c r="D198" s="5"/>
      <c r="F198" s="39"/>
      <c r="H198" s="5"/>
    </row>
    <row r="199" spans="2:8" x14ac:dyDescent="0.25">
      <c r="B199" s="39"/>
      <c r="D199" s="5"/>
      <c r="F199" s="39"/>
      <c r="H199" s="5"/>
    </row>
    <row r="200" spans="2:8" x14ac:dyDescent="0.25">
      <c r="B200" s="39"/>
      <c r="D200" s="5"/>
      <c r="F200" s="39"/>
      <c r="H200" s="5"/>
    </row>
    <row r="201" spans="2:8" x14ac:dyDescent="0.25">
      <c r="B201" s="39"/>
      <c r="D201" s="5"/>
      <c r="F201" s="39"/>
      <c r="H201" s="5"/>
    </row>
    <row r="202" spans="2:8" x14ac:dyDescent="0.25">
      <c r="B202" s="39"/>
      <c r="D202" s="5"/>
      <c r="F202" s="39"/>
      <c r="H202" s="5"/>
    </row>
    <row r="203" spans="2:8" x14ac:dyDescent="0.25">
      <c r="B203" s="39"/>
      <c r="D203" s="5"/>
      <c r="F203" s="39"/>
      <c r="H203" s="5"/>
    </row>
    <row r="204" spans="2:8" x14ac:dyDescent="0.25">
      <c r="B204" s="39"/>
      <c r="D204" s="5"/>
      <c r="F204" s="39"/>
      <c r="H204" s="5"/>
    </row>
    <row r="205" spans="2:8" x14ac:dyDescent="0.25">
      <c r="B205" s="39"/>
      <c r="D205" s="5"/>
      <c r="F205" s="39"/>
      <c r="H205" s="5"/>
    </row>
    <row r="206" spans="2:8" x14ac:dyDescent="0.25">
      <c r="B206" s="39"/>
      <c r="D206" s="5"/>
      <c r="F206" s="39"/>
      <c r="H206" s="5"/>
    </row>
    <row r="207" spans="2:8" x14ac:dyDescent="0.25">
      <c r="B207" s="39"/>
      <c r="D207" s="5"/>
      <c r="F207" s="39"/>
      <c r="H207" s="5"/>
    </row>
    <row r="208" spans="2:8" x14ac:dyDescent="0.25">
      <c r="B208" s="39"/>
      <c r="D208" s="5"/>
      <c r="F208" s="39"/>
      <c r="H208" s="5"/>
    </row>
    <row r="209" spans="2:8" x14ac:dyDescent="0.25">
      <c r="B209" s="39"/>
      <c r="D209" s="5"/>
      <c r="F209" s="39"/>
      <c r="H209" s="5"/>
    </row>
    <row r="210" spans="2:8" x14ac:dyDescent="0.25">
      <c r="B210" s="39"/>
      <c r="D210" s="5"/>
      <c r="F210" s="39"/>
      <c r="H210" s="5"/>
    </row>
    <row r="211" spans="2:8" x14ac:dyDescent="0.25">
      <c r="B211" s="39"/>
      <c r="D211" s="5"/>
      <c r="F211" s="39"/>
      <c r="H211" s="5"/>
    </row>
    <row r="212" spans="2:8" x14ac:dyDescent="0.25">
      <c r="B212" s="39"/>
      <c r="D212" s="5"/>
      <c r="F212" s="39"/>
      <c r="H212" s="5"/>
    </row>
    <row r="213" spans="2:8" x14ac:dyDescent="0.25">
      <c r="B213" s="39"/>
      <c r="D213" s="5"/>
      <c r="F213" s="39"/>
      <c r="H213" s="5"/>
    </row>
    <row r="214" spans="2:8" x14ac:dyDescent="0.25">
      <c r="B214" s="39"/>
      <c r="D214" s="5"/>
      <c r="F214" s="39"/>
      <c r="H214" s="5"/>
    </row>
    <row r="215" spans="2:8" x14ac:dyDescent="0.25">
      <c r="B215" s="39"/>
      <c r="D215" s="5"/>
      <c r="F215" s="39"/>
      <c r="H215" s="5"/>
    </row>
    <row r="216" spans="2:8" x14ac:dyDescent="0.25">
      <c r="B216" s="39"/>
      <c r="D216" s="5"/>
      <c r="F216" s="39"/>
      <c r="H216" s="5"/>
    </row>
    <row r="217" spans="2:8" x14ac:dyDescent="0.25">
      <c r="B217" s="39"/>
      <c r="D217" s="5"/>
      <c r="F217" s="39"/>
      <c r="H217" s="5"/>
    </row>
    <row r="218" spans="2:8" x14ac:dyDescent="0.25">
      <c r="B218" s="39"/>
      <c r="D218" s="5"/>
      <c r="F218" s="39"/>
      <c r="H218" s="5"/>
    </row>
    <row r="219" spans="2:8" x14ac:dyDescent="0.25">
      <c r="B219" s="39"/>
      <c r="D219" s="5"/>
      <c r="F219" s="39"/>
      <c r="H219" s="5"/>
    </row>
    <row r="220" spans="2:8" x14ac:dyDescent="0.25">
      <c r="B220" s="39"/>
      <c r="D220" s="5"/>
      <c r="F220" s="39"/>
      <c r="H220" s="5"/>
    </row>
    <row r="221" spans="2:8" x14ac:dyDescent="0.25">
      <c r="B221" s="39"/>
      <c r="D221" s="5"/>
      <c r="F221" s="39"/>
      <c r="H221" s="5"/>
    </row>
    <row r="222" spans="2:8" x14ac:dyDescent="0.25">
      <c r="B222" s="39"/>
      <c r="D222" s="5"/>
      <c r="F222" s="39"/>
      <c r="H222" s="5"/>
    </row>
    <row r="223" spans="2:8" x14ac:dyDescent="0.25">
      <c r="B223" s="39"/>
      <c r="D223" s="5"/>
      <c r="F223" s="39"/>
      <c r="H223" s="5"/>
    </row>
    <row r="224" spans="2:8" x14ac:dyDescent="0.25">
      <c r="B224" s="39"/>
      <c r="D224" s="5"/>
      <c r="F224" s="39"/>
      <c r="H224" s="5"/>
    </row>
    <row r="225" spans="2:8" x14ac:dyDescent="0.25">
      <c r="B225" s="39"/>
      <c r="D225" s="5"/>
      <c r="F225" s="39"/>
      <c r="H225" s="5"/>
    </row>
    <row r="226" spans="2:8" x14ac:dyDescent="0.25">
      <c r="B226" s="39"/>
      <c r="D226" s="5"/>
      <c r="F226" s="39"/>
      <c r="H226" s="5"/>
    </row>
    <row r="227" spans="2:8" x14ac:dyDescent="0.25">
      <c r="B227" s="39"/>
      <c r="D227" s="5"/>
      <c r="F227" s="39"/>
      <c r="H227" s="5"/>
    </row>
    <row r="228" spans="2:8" x14ac:dyDescent="0.25">
      <c r="B228" s="39"/>
      <c r="D228" s="5"/>
      <c r="F228" s="39"/>
      <c r="H228" s="5"/>
    </row>
    <row r="229" spans="2:8" x14ac:dyDescent="0.25">
      <c r="B229" s="39"/>
      <c r="D229" s="5"/>
      <c r="F229" s="39"/>
      <c r="H229" s="5"/>
    </row>
    <row r="230" spans="2:8" x14ac:dyDescent="0.25">
      <c r="B230" s="39"/>
      <c r="D230" s="5"/>
      <c r="F230" s="39"/>
      <c r="H230" s="5"/>
    </row>
    <row r="231" spans="2:8" x14ac:dyDescent="0.25">
      <c r="B231" s="39"/>
      <c r="D231" s="5"/>
      <c r="F231" s="39"/>
      <c r="H231" s="5"/>
    </row>
    <row r="232" spans="2:8" x14ac:dyDescent="0.25">
      <c r="B232" s="39"/>
      <c r="D232" s="5"/>
      <c r="F232" s="39"/>
      <c r="H232" s="5"/>
    </row>
    <row r="233" spans="2:8" x14ac:dyDescent="0.25">
      <c r="B233" s="39"/>
      <c r="D233" s="5"/>
      <c r="F233" s="39"/>
      <c r="H233" s="5"/>
    </row>
    <row r="234" spans="2:8" x14ac:dyDescent="0.25">
      <c r="B234" s="39"/>
      <c r="D234" s="5"/>
      <c r="F234" s="39"/>
      <c r="H234" s="5"/>
    </row>
    <row r="235" spans="2:8" x14ac:dyDescent="0.25">
      <c r="B235" s="39"/>
      <c r="D235" s="5"/>
      <c r="F235" s="39"/>
      <c r="H235" s="5"/>
    </row>
    <row r="236" spans="2:8" x14ac:dyDescent="0.25">
      <c r="B236" s="39"/>
      <c r="D236" s="5"/>
      <c r="F236" s="39"/>
      <c r="H236" s="5"/>
    </row>
    <row r="237" spans="2:8" x14ac:dyDescent="0.25">
      <c r="B237" s="39"/>
      <c r="D237" s="5"/>
      <c r="F237" s="39"/>
      <c r="H237" s="5"/>
    </row>
    <row r="238" spans="2:8" x14ac:dyDescent="0.25">
      <c r="B238" s="39"/>
      <c r="D238" s="5"/>
      <c r="F238" s="39"/>
      <c r="H238" s="5"/>
    </row>
    <row r="239" spans="2:8" x14ac:dyDescent="0.25">
      <c r="B239" s="39"/>
      <c r="D239" s="5"/>
      <c r="F239" s="39"/>
      <c r="H239" s="5"/>
    </row>
    <row r="240" spans="2:8" x14ac:dyDescent="0.25">
      <c r="B240" s="39"/>
      <c r="D240" s="5"/>
      <c r="F240" s="39"/>
      <c r="H240" s="5"/>
    </row>
    <row r="241" spans="2:8" x14ac:dyDescent="0.25">
      <c r="B241" s="39"/>
      <c r="D241" s="5"/>
      <c r="F241" s="39"/>
      <c r="H241" s="5"/>
    </row>
    <row r="242" spans="2:8" x14ac:dyDescent="0.25">
      <c r="B242" s="39"/>
      <c r="D242" s="5"/>
      <c r="F242" s="39"/>
      <c r="H242" s="5"/>
    </row>
    <row r="243" spans="2:8" x14ac:dyDescent="0.25">
      <c r="B243" s="39"/>
      <c r="D243" s="5"/>
      <c r="F243" s="39"/>
      <c r="H243" s="5"/>
    </row>
    <row r="244" spans="2:8" x14ac:dyDescent="0.25">
      <c r="B244" s="39"/>
      <c r="D244" s="5"/>
      <c r="F244" s="39"/>
      <c r="H244" s="5"/>
    </row>
    <row r="245" spans="2:8" x14ac:dyDescent="0.25">
      <c r="B245" s="39"/>
      <c r="D245" s="5"/>
      <c r="F245" s="39"/>
      <c r="H245" s="5"/>
    </row>
    <row r="246" spans="2:8" x14ac:dyDescent="0.25">
      <c r="B246" s="39"/>
      <c r="D246" s="5"/>
      <c r="F246" s="39"/>
      <c r="H246" s="5"/>
    </row>
    <row r="247" spans="2:8" x14ac:dyDescent="0.25">
      <c r="B247" s="39"/>
      <c r="D247" s="5"/>
      <c r="F247" s="39"/>
      <c r="H247" s="5"/>
    </row>
    <row r="248" spans="2:8" x14ac:dyDescent="0.25">
      <c r="B248" s="39"/>
      <c r="D248" s="5"/>
      <c r="F248" s="39"/>
      <c r="H248" s="5"/>
    </row>
    <row r="249" spans="2:8" x14ac:dyDescent="0.25">
      <c r="B249" s="39"/>
      <c r="D249" s="5"/>
      <c r="F249" s="39"/>
      <c r="H249" s="5"/>
    </row>
    <row r="250" spans="2:8" x14ac:dyDescent="0.25">
      <c r="B250" s="39"/>
      <c r="D250" s="5"/>
      <c r="F250" s="39"/>
      <c r="H250" s="5"/>
    </row>
    <row r="251" spans="2:8" x14ac:dyDescent="0.25">
      <c r="B251" s="39"/>
      <c r="D251" s="5"/>
      <c r="F251" s="39"/>
      <c r="H251" s="5"/>
    </row>
    <row r="252" spans="2:8" x14ac:dyDescent="0.25">
      <c r="B252" s="39"/>
      <c r="D252" s="5"/>
      <c r="F252" s="39"/>
      <c r="H252" s="5"/>
    </row>
    <row r="253" spans="2:8" x14ac:dyDescent="0.25">
      <c r="B253" s="39"/>
      <c r="D253" s="5"/>
      <c r="F253" s="39"/>
      <c r="H253" s="5"/>
    </row>
    <row r="254" spans="2:8" x14ac:dyDescent="0.25">
      <c r="B254" s="39"/>
      <c r="D254" s="5"/>
      <c r="F254" s="39"/>
      <c r="H254" s="5"/>
    </row>
    <row r="255" spans="2:8" x14ac:dyDescent="0.25">
      <c r="B255" s="39"/>
      <c r="D255" s="5"/>
      <c r="F255" s="39"/>
      <c r="H255" s="5"/>
    </row>
    <row r="256" spans="2:8" x14ac:dyDescent="0.25">
      <c r="B256" s="39"/>
      <c r="D256" s="5"/>
      <c r="F256" s="39"/>
      <c r="H256" s="5"/>
    </row>
    <row r="257" spans="2:8" x14ac:dyDescent="0.25">
      <c r="B257" s="39"/>
      <c r="D257" s="5"/>
      <c r="F257" s="39"/>
      <c r="H257" s="5"/>
    </row>
    <row r="258" spans="2:8" x14ac:dyDescent="0.25">
      <c r="B258" s="39"/>
      <c r="D258" s="5"/>
      <c r="F258" s="39"/>
      <c r="H258" s="5"/>
    </row>
    <row r="259" spans="2:8" x14ac:dyDescent="0.25">
      <c r="B259" s="39"/>
      <c r="D259" s="5"/>
      <c r="F259" s="39"/>
      <c r="H259" s="5"/>
    </row>
    <row r="260" spans="2:8" x14ac:dyDescent="0.25">
      <c r="B260" s="39"/>
      <c r="D260" s="5"/>
      <c r="F260" s="39"/>
      <c r="H260" s="5"/>
    </row>
    <row r="261" spans="2:8" x14ac:dyDescent="0.25">
      <c r="B261" s="39"/>
      <c r="D261" s="5"/>
      <c r="F261" s="39"/>
      <c r="H261" s="5"/>
    </row>
    <row r="262" spans="2:8" x14ac:dyDescent="0.25">
      <c r="B262" s="39"/>
      <c r="D262" s="5"/>
      <c r="F262" s="39"/>
      <c r="H262" s="5"/>
    </row>
    <row r="263" spans="2:8" x14ac:dyDescent="0.25">
      <c r="B263" s="39"/>
      <c r="D263" s="5"/>
      <c r="F263" s="39"/>
      <c r="H263" s="5"/>
    </row>
    <row r="264" spans="2:8" x14ac:dyDescent="0.25">
      <c r="B264" s="39"/>
      <c r="D264" s="5"/>
      <c r="F264" s="39"/>
      <c r="H264" s="5"/>
    </row>
    <row r="265" spans="2:8" x14ac:dyDescent="0.25">
      <c r="B265" s="39"/>
      <c r="D265" s="5"/>
      <c r="F265" s="39"/>
      <c r="H265" s="5"/>
    </row>
    <row r="266" spans="2:8" x14ac:dyDescent="0.25">
      <c r="B266" s="39"/>
      <c r="D266" s="5"/>
      <c r="F266" s="39"/>
      <c r="H266" s="5"/>
    </row>
    <row r="267" spans="2:8" x14ac:dyDescent="0.25">
      <c r="B267" s="39"/>
      <c r="D267" s="5"/>
      <c r="F267" s="39"/>
      <c r="H267" s="5"/>
    </row>
    <row r="268" spans="2:8" x14ac:dyDescent="0.25">
      <c r="D268" s="5"/>
    </row>
  </sheetData>
  <mergeCells count="8">
    <mergeCell ref="B1:D1"/>
    <mergeCell ref="AK5:AM5"/>
    <mergeCell ref="B4:D4"/>
    <mergeCell ref="F4:H4"/>
    <mergeCell ref="J4:L4"/>
    <mergeCell ref="Y5:AA5"/>
    <mergeCell ref="AC5:AE5"/>
    <mergeCell ref="AG5:AI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E06F8-DB02-4483-A718-2CABB5BEDAE9}">
  <dimension ref="A2:G26"/>
  <sheetViews>
    <sheetView showGridLines="0" workbookViewId="0">
      <selection activeCell="B1" sqref="B1"/>
    </sheetView>
  </sheetViews>
  <sheetFormatPr defaultRowHeight="15" x14ac:dyDescent="0.25"/>
  <cols>
    <col min="1" max="1" width="1.85546875" customWidth="1"/>
  </cols>
  <sheetData>
    <row r="2" spans="1:7" x14ac:dyDescent="0.25">
      <c r="B2" s="107" t="s">
        <v>325</v>
      </c>
      <c r="C2" s="107"/>
      <c r="D2" s="107"/>
      <c r="E2" s="107"/>
      <c r="F2" s="107"/>
      <c r="G2" s="107"/>
    </row>
    <row r="3" spans="1:7" x14ac:dyDescent="0.25">
      <c r="A3" s="46"/>
      <c r="B3" t="s">
        <v>112</v>
      </c>
      <c r="C3" t="s">
        <v>113</v>
      </c>
    </row>
    <row r="4" spans="1:7" x14ac:dyDescent="0.25">
      <c r="B4">
        <v>2000</v>
      </c>
      <c r="C4" s="5">
        <v>-0.14649999999999999</v>
      </c>
      <c r="E4" t="s">
        <v>114</v>
      </c>
      <c r="G4" s="47">
        <f>AVERAGE(C4:C26)</f>
        <v>0.15443478260869564</v>
      </c>
    </row>
    <row r="5" spans="1:7" ht="17.25" x14ac:dyDescent="0.25">
      <c r="B5">
        <v>2001</v>
      </c>
      <c r="C5" s="5">
        <v>-0.1618</v>
      </c>
      <c r="E5" t="s">
        <v>115</v>
      </c>
      <c r="G5" s="47">
        <v>1.38E-2</v>
      </c>
    </row>
    <row r="6" spans="1:7" x14ac:dyDescent="0.25">
      <c r="B6">
        <v>2002</v>
      </c>
      <c r="C6" s="5">
        <v>3.2500000000000001E-2</v>
      </c>
      <c r="E6" s="48" t="s">
        <v>116</v>
      </c>
      <c r="F6" s="48"/>
      <c r="G6" s="49">
        <f>SUM(G4:G5)</f>
        <v>0.16823478260869565</v>
      </c>
    </row>
    <row r="7" spans="1:7" x14ac:dyDescent="0.25">
      <c r="B7">
        <v>2003</v>
      </c>
      <c r="C7" s="5">
        <v>0.71900000000000008</v>
      </c>
    </row>
    <row r="8" spans="1:7" x14ac:dyDescent="0.25">
      <c r="B8">
        <v>2004</v>
      </c>
      <c r="C8" s="5">
        <v>0.10679999999999999</v>
      </c>
    </row>
    <row r="9" spans="1:7" x14ac:dyDescent="0.25">
      <c r="B9">
        <v>2005</v>
      </c>
      <c r="C9" s="5">
        <v>0.36340000000000006</v>
      </c>
    </row>
    <row r="10" spans="1:7" x14ac:dyDescent="0.25">
      <c r="B10">
        <v>2006</v>
      </c>
      <c r="C10" s="5">
        <v>0.39829999999999999</v>
      </c>
    </row>
    <row r="11" spans="1:7" x14ac:dyDescent="0.25">
      <c r="B11">
        <v>2007</v>
      </c>
      <c r="C11" s="5">
        <v>0.54770000000000008</v>
      </c>
    </row>
    <row r="12" spans="1:7" x14ac:dyDescent="0.25">
      <c r="B12">
        <v>2008</v>
      </c>
      <c r="C12" s="5">
        <v>-0.51790000000000003</v>
      </c>
    </row>
    <row r="13" spans="1:7" x14ac:dyDescent="0.25">
      <c r="B13">
        <v>2009</v>
      </c>
      <c r="C13" s="5">
        <v>0.75760000000000005</v>
      </c>
    </row>
    <row r="14" spans="1:7" x14ac:dyDescent="0.25">
      <c r="B14">
        <v>2010</v>
      </c>
      <c r="C14" s="5">
        <v>0.17949999999999999</v>
      </c>
    </row>
    <row r="15" spans="1:7" x14ac:dyDescent="0.25">
      <c r="B15">
        <v>2011</v>
      </c>
      <c r="C15" s="5">
        <v>-0.2462</v>
      </c>
    </row>
    <row r="16" spans="1:7" x14ac:dyDescent="0.25">
      <c r="B16">
        <v>2012</v>
      </c>
      <c r="C16" s="5">
        <v>0.27699999999999997</v>
      </c>
    </row>
    <row r="17" spans="2:3" x14ac:dyDescent="0.25">
      <c r="B17">
        <v>2013</v>
      </c>
      <c r="C17" s="5">
        <v>6.7599999999999993E-2</v>
      </c>
    </row>
    <row r="18" spans="2:3" x14ac:dyDescent="0.25">
      <c r="B18">
        <v>2014</v>
      </c>
      <c r="C18" s="5">
        <v>0.31390000000000001</v>
      </c>
    </row>
    <row r="19" spans="2:3" x14ac:dyDescent="0.25">
      <c r="B19">
        <v>2015</v>
      </c>
      <c r="C19" s="5">
        <v>-4.0599999999999997E-2</v>
      </c>
    </row>
    <row r="20" spans="2:3" x14ac:dyDescent="0.25">
      <c r="B20">
        <v>2016</v>
      </c>
      <c r="C20" s="5">
        <v>3.0099999999999998E-2</v>
      </c>
    </row>
    <row r="21" spans="2:3" x14ac:dyDescent="0.25">
      <c r="B21">
        <v>2017</v>
      </c>
      <c r="C21" s="5">
        <v>0.28649999999999998</v>
      </c>
    </row>
    <row r="22" spans="2:3" x14ac:dyDescent="0.25">
      <c r="B22">
        <v>2018</v>
      </c>
      <c r="C22" s="5">
        <v>3.15E-2</v>
      </c>
    </row>
    <row r="23" spans="2:3" x14ac:dyDescent="0.25">
      <c r="B23">
        <v>2019</v>
      </c>
      <c r="C23" s="5">
        <v>0.1202</v>
      </c>
    </row>
    <row r="24" spans="2:3" x14ac:dyDescent="0.25">
      <c r="B24">
        <v>2020</v>
      </c>
      <c r="C24" s="5">
        <v>0.14899999999999999</v>
      </c>
    </row>
    <row r="25" spans="2:3" x14ac:dyDescent="0.25">
      <c r="B25">
        <v>2021</v>
      </c>
      <c r="C25" s="5">
        <v>0.2412</v>
      </c>
    </row>
    <row r="26" spans="2:3" x14ac:dyDescent="0.25">
      <c r="B26">
        <v>2022</v>
      </c>
      <c r="C26" s="5">
        <v>4.3200000000000002E-2</v>
      </c>
    </row>
  </sheetData>
  <mergeCells count="1">
    <mergeCell ref="B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20997-715A-4899-8A64-6C78ECFB3A2C}">
  <dimension ref="B1:J85"/>
  <sheetViews>
    <sheetView showGridLines="0" zoomScale="91" zoomScaleNormal="91" workbookViewId="0">
      <pane xSplit="1" ySplit="4" topLeftCell="B26" activePane="bottomRight" state="frozen"/>
      <selection pane="topRight" activeCell="B1" sqref="B1"/>
      <selection pane="bottomLeft" activeCell="A5" sqref="A5"/>
      <selection pane="bottomRight" activeCell="B1" sqref="B1"/>
    </sheetView>
  </sheetViews>
  <sheetFormatPr defaultRowHeight="15" x14ac:dyDescent="0.25"/>
  <cols>
    <col min="1" max="1" width="1.85546875" customWidth="1"/>
    <col min="2" max="2" width="50.5703125" customWidth="1"/>
    <col min="3" max="4" width="1.85546875" customWidth="1"/>
    <col min="5" max="10" width="11.140625" bestFit="1" customWidth="1"/>
  </cols>
  <sheetData>
    <row r="1" spans="2:10" ht="47.25" customHeight="1" x14ac:dyDescent="0.3">
      <c r="B1" s="114" t="s">
        <v>10</v>
      </c>
    </row>
    <row r="2" spans="2:10" ht="30.75" customHeight="1" x14ac:dyDescent="0.25">
      <c r="B2" s="147" t="s">
        <v>334</v>
      </c>
    </row>
    <row r="3" spans="2:10" ht="5.25" customHeight="1" x14ac:dyDescent="0.25"/>
    <row r="4" spans="2:10" x14ac:dyDescent="0.25">
      <c r="B4" s="32" t="s">
        <v>68</v>
      </c>
      <c r="C4" s="32"/>
      <c r="D4" s="32"/>
      <c r="E4" s="138">
        <v>43190</v>
      </c>
      <c r="F4" s="138">
        <f>EDATE(E4,12)</f>
        <v>43555</v>
      </c>
      <c r="G4" s="138">
        <f t="shared" ref="G4:J4" si="0">EDATE(F4,12)</f>
        <v>43921</v>
      </c>
      <c r="H4" s="138">
        <f t="shared" si="0"/>
        <v>44286</v>
      </c>
      <c r="I4" s="138">
        <f t="shared" si="0"/>
        <v>44651</v>
      </c>
      <c r="J4" s="138">
        <f t="shared" si="0"/>
        <v>45016</v>
      </c>
    </row>
    <row r="5" spans="2:10" ht="15.75" thickBot="1" x14ac:dyDescent="0.3">
      <c r="B5" s="32" t="s">
        <v>48</v>
      </c>
      <c r="C5" s="32"/>
      <c r="D5" s="32"/>
      <c r="E5" s="112">
        <f>YEAR(E4)</f>
        <v>2018</v>
      </c>
      <c r="F5" s="112">
        <f t="shared" ref="F5:J5" si="1">YEAR(F4)</f>
        <v>2019</v>
      </c>
      <c r="G5" s="112">
        <f t="shared" si="1"/>
        <v>2020</v>
      </c>
      <c r="H5" s="112">
        <f t="shared" si="1"/>
        <v>2021</v>
      </c>
      <c r="I5" s="112">
        <f t="shared" si="1"/>
        <v>2022</v>
      </c>
      <c r="J5" s="112">
        <f t="shared" si="1"/>
        <v>2023</v>
      </c>
    </row>
    <row r="6" spans="2:10" ht="4.5" customHeight="1" x14ac:dyDescent="0.25"/>
    <row r="7" spans="2:10" x14ac:dyDescent="0.25">
      <c r="B7" s="1" t="s">
        <v>282</v>
      </c>
    </row>
    <row r="8" spans="2:10" x14ac:dyDescent="0.25">
      <c r="B8" s="30" t="s">
        <v>283</v>
      </c>
      <c r="C8" s="54"/>
      <c r="D8" s="54"/>
      <c r="E8" s="54"/>
      <c r="F8" s="54"/>
      <c r="G8" s="54"/>
      <c r="H8" s="54"/>
      <c r="I8" s="54"/>
      <c r="J8" s="54"/>
    </row>
    <row r="9" spans="2:10" x14ac:dyDescent="0.25">
      <c r="B9" t="s">
        <v>284</v>
      </c>
    </row>
    <row r="10" spans="2:10" x14ac:dyDescent="0.25">
      <c r="B10" s="67" t="s">
        <v>285</v>
      </c>
      <c r="G10" s="78">
        <v>1285</v>
      </c>
      <c r="H10" s="78">
        <v>1216</v>
      </c>
      <c r="I10" s="78">
        <v>1218</v>
      </c>
      <c r="J10" s="78">
        <v>1343</v>
      </c>
    </row>
    <row r="11" spans="2:10" x14ac:dyDescent="0.25">
      <c r="B11" t="s">
        <v>286</v>
      </c>
      <c r="G11" s="78">
        <v>12</v>
      </c>
      <c r="H11" s="78">
        <v>19</v>
      </c>
      <c r="I11" s="78">
        <v>69</v>
      </c>
      <c r="J11" s="78">
        <v>133</v>
      </c>
    </row>
    <row r="12" spans="2:10" x14ac:dyDescent="0.25">
      <c r="B12" t="s">
        <v>287</v>
      </c>
      <c r="G12" s="78">
        <v>935</v>
      </c>
      <c r="H12" s="78">
        <v>917</v>
      </c>
      <c r="I12" s="78">
        <v>973</v>
      </c>
      <c r="J12" s="78">
        <v>1285</v>
      </c>
    </row>
    <row r="13" spans="2:10" x14ac:dyDescent="0.25">
      <c r="B13" t="s">
        <v>288</v>
      </c>
      <c r="G13" s="78">
        <v>24</v>
      </c>
      <c r="H13" s="78">
        <v>24</v>
      </c>
      <c r="I13" s="78">
        <v>1</v>
      </c>
      <c r="J13" s="78">
        <v>1</v>
      </c>
    </row>
    <row r="14" spans="2:10" x14ac:dyDescent="0.25">
      <c r="B14" t="s">
        <v>289</v>
      </c>
      <c r="G14" s="78">
        <v>123</v>
      </c>
      <c r="H14" s="78">
        <v>123</v>
      </c>
      <c r="I14" s="78">
        <v>123</v>
      </c>
      <c r="J14" s="78">
        <v>123</v>
      </c>
    </row>
    <row r="15" spans="2:10" x14ac:dyDescent="0.25">
      <c r="B15" t="s">
        <v>290</v>
      </c>
      <c r="G15" s="78">
        <v>266</v>
      </c>
      <c r="H15" s="78">
        <v>243</v>
      </c>
      <c r="I15" s="78">
        <v>229</v>
      </c>
      <c r="J15" s="78">
        <v>246</v>
      </c>
    </row>
    <row r="16" spans="2:10" x14ac:dyDescent="0.25">
      <c r="B16" t="s">
        <v>291</v>
      </c>
      <c r="G16" s="78">
        <v>7</v>
      </c>
      <c r="H16" s="78">
        <v>13</v>
      </c>
      <c r="I16" s="78">
        <v>16</v>
      </c>
      <c r="J16" s="78">
        <v>11</v>
      </c>
    </row>
    <row r="17" spans="2:10" x14ac:dyDescent="0.25">
      <c r="B17" t="s">
        <v>292</v>
      </c>
      <c r="G17" s="78"/>
      <c r="H17" s="78"/>
      <c r="I17" s="78"/>
      <c r="J17" s="78"/>
    </row>
    <row r="18" spans="2:10" x14ac:dyDescent="0.25">
      <c r="B18" t="s">
        <v>293</v>
      </c>
      <c r="G18" s="78">
        <v>44</v>
      </c>
      <c r="H18" s="78">
        <v>19</v>
      </c>
      <c r="I18" s="78">
        <v>279</v>
      </c>
      <c r="J18" s="78">
        <v>351</v>
      </c>
    </row>
    <row r="19" spans="2:10" x14ac:dyDescent="0.25">
      <c r="B19" t="s">
        <v>294</v>
      </c>
      <c r="G19" s="78">
        <v>154</v>
      </c>
      <c r="H19" s="78">
        <v>43</v>
      </c>
      <c r="I19" s="78">
        <v>42</v>
      </c>
      <c r="J19" s="78">
        <v>54</v>
      </c>
    </row>
    <row r="20" spans="2:10" x14ac:dyDescent="0.25">
      <c r="B20" t="s">
        <v>295</v>
      </c>
      <c r="G20" s="78">
        <v>199</v>
      </c>
      <c r="H20" s="78">
        <v>326</v>
      </c>
      <c r="I20" s="78">
        <v>382</v>
      </c>
      <c r="J20" s="78">
        <v>595</v>
      </c>
    </row>
    <row r="21" spans="2:10" x14ac:dyDescent="0.25">
      <c r="B21" t="s">
        <v>296</v>
      </c>
      <c r="G21" s="78">
        <v>159</v>
      </c>
      <c r="H21" s="78">
        <v>105</v>
      </c>
      <c r="I21" s="78">
        <v>187</v>
      </c>
      <c r="J21" s="78">
        <v>158</v>
      </c>
    </row>
    <row r="22" spans="2:10" x14ac:dyDescent="0.25">
      <c r="B22" t="s">
        <v>297</v>
      </c>
      <c r="G22" s="78">
        <v>144</v>
      </c>
      <c r="H22" s="78">
        <v>121</v>
      </c>
      <c r="I22" s="78">
        <v>137</v>
      </c>
      <c r="J22" s="78">
        <v>151</v>
      </c>
    </row>
    <row r="23" spans="2:10" x14ac:dyDescent="0.25">
      <c r="B23" t="s">
        <v>298</v>
      </c>
      <c r="G23" s="78">
        <v>79</v>
      </c>
      <c r="H23" s="78">
        <v>86</v>
      </c>
      <c r="I23" s="78">
        <v>84</v>
      </c>
      <c r="J23" s="78">
        <v>165</v>
      </c>
    </row>
    <row r="24" spans="2:10" x14ac:dyDescent="0.25">
      <c r="B24" s="28" t="s">
        <v>6</v>
      </c>
      <c r="C24" s="28"/>
      <c r="D24" s="28"/>
      <c r="E24" s="28"/>
      <c r="F24" s="28"/>
      <c r="G24" s="118">
        <f>SUM(G10:G23)</f>
        <v>3431</v>
      </c>
      <c r="H24" s="118">
        <f t="shared" ref="H24:J24" si="2">SUM(H10:H23)</f>
        <v>3255</v>
      </c>
      <c r="I24" s="118">
        <f t="shared" si="2"/>
        <v>3740</v>
      </c>
      <c r="J24" s="118">
        <f t="shared" si="2"/>
        <v>4616</v>
      </c>
    </row>
    <row r="25" spans="2:10" x14ac:dyDescent="0.25">
      <c r="G25" s="78"/>
      <c r="H25" s="78"/>
      <c r="I25" s="78"/>
      <c r="J25" s="78"/>
    </row>
    <row r="26" spans="2:10" x14ac:dyDescent="0.25">
      <c r="B26" s="54" t="s">
        <v>270</v>
      </c>
      <c r="C26" s="54"/>
      <c r="D26" s="54"/>
      <c r="E26" s="54"/>
      <c r="F26" s="54"/>
      <c r="G26" s="148"/>
      <c r="H26" s="148"/>
      <c r="I26" s="148"/>
      <c r="J26" s="148"/>
    </row>
    <row r="27" spans="2:10" x14ac:dyDescent="0.25">
      <c r="B27" s="66" t="s">
        <v>271</v>
      </c>
      <c r="E27" s="78">
        <v>5925</v>
      </c>
      <c r="F27" s="78">
        <v>7039</v>
      </c>
      <c r="G27" s="78">
        <v>8103</v>
      </c>
      <c r="H27" s="78">
        <v>8408</v>
      </c>
      <c r="I27" s="78">
        <v>13609</v>
      </c>
      <c r="J27" s="78">
        <v>16548</v>
      </c>
    </row>
    <row r="28" spans="2:10" x14ac:dyDescent="0.25">
      <c r="B28" t="s">
        <v>272</v>
      </c>
      <c r="E28" s="78"/>
      <c r="F28" s="78"/>
      <c r="G28" s="78"/>
      <c r="H28" s="78"/>
      <c r="I28" s="78"/>
      <c r="J28" s="78"/>
    </row>
    <row r="29" spans="2:10" x14ac:dyDescent="0.25">
      <c r="B29" t="s">
        <v>7</v>
      </c>
      <c r="E29" s="78">
        <v>2</v>
      </c>
      <c r="F29" s="78">
        <v>69</v>
      </c>
      <c r="G29" s="78">
        <v>114</v>
      </c>
      <c r="H29" s="78">
        <v>2805</v>
      </c>
      <c r="I29" s="78">
        <v>15</v>
      </c>
      <c r="J29" s="78">
        <v>2164</v>
      </c>
    </row>
    <row r="30" spans="2:10" x14ac:dyDescent="0.25">
      <c r="B30" s="66" t="s">
        <v>273</v>
      </c>
      <c r="E30" s="78">
        <v>296</v>
      </c>
      <c r="F30" s="78">
        <v>420</v>
      </c>
      <c r="G30" s="78">
        <v>312</v>
      </c>
      <c r="H30" s="78">
        <v>366</v>
      </c>
      <c r="I30" s="78">
        <v>565</v>
      </c>
      <c r="J30" s="78">
        <v>674</v>
      </c>
    </row>
    <row r="31" spans="2:10" x14ac:dyDescent="0.25">
      <c r="B31" s="66" t="s">
        <v>274</v>
      </c>
      <c r="E31" s="78">
        <v>472</v>
      </c>
      <c r="F31" s="78">
        <v>430</v>
      </c>
      <c r="G31" s="78">
        <v>75</v>
      </c>
      <c r="H31" s="78">
        <v>181</v>
      </c>
      <c r="I31" s="78">
        <v>219</v>
      </c>
      <c r="J31" s="78">
        <v>232</v>
      </c>
    </row>
    <row r="32" spans="2:10" x14ac:dyDescent="0.25">
      <c r="B32" t="s">
        <v>275</v>
      </c>
      <c r="E32" s="78">
        <v>146</v>
      </c>
      <c r="F32" s="78">
        <v>637</v>
      </c>
      <c r="G32" s="78">
        <v>306</v>
      </c>
      <c r="H32" s="78">
        <v>379</v>
      </c>
      <c r="I32" s="78">
        <v>1354</v>
      </c>
      <c r="J32" s="78">
        <v>1111</v>
      </c>
    </row>
    <row r="33" spans="2:10" x14ac:dyDescent="0.25">
      <c r="B33" t="s">
        <v>276</v>
      </c>
      <c r="E33" s="78">
        <v>0</v>
      </c>
      <c r="F33" s="78">
        <v>247</v>
      </c>
      <c r="G33" s="78">
        <v>56</v>
      </c>
      <c r="H33" s="78">
        <v>76</v>
      </c>
      <c r="I33" s="78">
        <v>423</v>
      </c>
      <c r="J33" s="78">
        <v>135</v>
      </c>
    </row>
    <row r="34" spans="2:10" x14ac:dyDescent="0.25">
      <c r="B34" t="s">
        <v>277</v>
      </c>
      <c r="E34" s="78">
        <v>340</v>
      </c>
      <c r="F34" s="78">
        <v>99</v>
      </c>
      <c r="G34" s="78">
        <v>459</v>
      </c>
      <c r="H34" s="78">
        <v>230</v>
      </c>
      <c r="I34" s="78">
        <v>291</v>
      </c>
      <c r="J34" s="78">
        <v>201</v>
      </c>
    </row>
    <row r="35" spans="2:10" x14ac:dyDescent="0.25">
      <c r="B35" t="s">
        <v>278</v>
      </c>
      <c r="E35" s="78"/>
      <c r="F35" s="78"/>
      <c r="G35" s="78"/>
      <c r="H35" s="78"/>
      <c r="I35" s="78"/>
      <c r="J35" s="78">
        <v>18</v>
      </c>
    </row>
    <row r="36" spans="2:10" x14ac:dyDescent="0.25">
      <c r="B36" t="s">
        <v>279</v>
      </c>
      <c r="E36" s="78">
        <v>421</v>
      </c>
      <c r="F36" s="78">
        <v>647</v>
      </c>
      <c r="G36" s="78">
        <v>696</v>
      </c>
      <c r="H36" s="78">
        <v>752</v>
      </c>
      <c r="I36" s="78">
        <v>978</v>
      </c>
      <c r="J36" s="78">
        <v>1288</v>
      </c>
    </row>
    <row r="37" spans="2:10" x14ac:dyDescent="0.25">
      <c r="E37" s="78"/>
      <c r="F37" s="78"/>
      <c r="G37" s="78"/>
      <c r="H37" s="78"/>
      <c r="I37" s="78"/>
      <c r="J37" s="78"/>
    </row>
    <row r="38" spans="2:10" x14ac:dyDescent="0.25">
      <c r="B38" s="30" t="s">
        <v>280</v>
      </c>
      <c r="C38" s="30"/>
      <c r="D38" s="30"/>
      <c r="E38" s="64">
        <v>9524</v>
      </c>
      <c r="F38" s="64">
        <v>11715</v>
      </c>
      <c r="G38" s="64">
        <v>13551</v>
      </c>
      <c r="H38" s="64">
        <v>16452</v>
      </c>
      <c r="I38" s="64">
        <f>SUM(I24:I36)</f>
        <v>21194</v>
      </c>
      <c r="J38" s="64">
        <v>27023</v>
      </c>
    </row>
    <row r="42" spans="2:10" x14ac:dyDescent="0.25">
      <c r="B42" s="30" t="s">
        <v>262</v>
      </c>
      <c r="C42" s="54"/>
      <c r="D42" s="54"/>
      <c r="E42" s="54"/>
      <c r="F42" s="54"/>
      <c r="G42" s="54"/>
      <c r="H42" s="54"/>
      <c r="I42" s="54"/>
      <c r="J42" s="54"/>
    </row>
    <row r="43" spans="2:10" x14ac:dyDescent="0.25">
      <c r="B43" s="1" t="s">
        <v>55</v>
      </c>
    </row>
    <row r="44" spans="2:10" x14ac:dyDescent="0.25">
      <c r="B44" t="s">
        <v>5</v>
      </c>
      <c r="E44" s="78">
        <v>89</v>
      </c>
      <c r="F44" s="78">
        <v>89</v>
      </c>
      <c r="G44" s="78">
        <v>89</v>
      </c>
      <c r="H44" s="78">
        <v>89</v>
      </c>
      <c r="I44" s="78">
        <v>89</v>
      </c>
      <c r="J44" s="78">
        <v>89</v>
      </c>
    </row>
    <row r="45" spans="2:10" x14ac:dyDescent="0.25">
      <c r="B45" s="66" t="s">
        <v>263</v>
      </c>
      <c r="E45" s="78">
        <v>5001</v>
      </c>
      <c r="F45" s="78">
        <v>5981</v>
      </c>
      <c r="G45" s="78">
        <v>6580</v>
      </c>
      <c r="H45" s="78">
        <v>7408</v>
      </c>
      <c r="I45" s="78">
        <v>9214</v>
      </c>
      <c r="J45" s="78">
        <v>11762</v>
      </c>
    </row>
    <row r="46" spans="2:10" x14ac:dyDescent="0.25">
      <c r="B46" t="s">
        <v>264</v>
      </c>
      <c r="E46" s="78">
        <v>-2</v>
      </c>
      <c r="F46" s="78">
        <v>14</v>
      </c>
      <c r="G46" s="78">
        <v>4</v>
      </c>
      <c r="H46" s="78">
        <v>5</v>
      </c>
      <c r="I46" s="78">
        <v>30</v>
      </c>
      <c r="J46" s="78">
        <v>53</v>
      </c>
    </row>
    <row r="47" spans="2:10" x14ac:dyDescent="0.25">
      <c r="B47" s="29" t="s">
        <v>54</v>
      </c>
      <c r="C47" s="28"/>
      <c r="D47" s="28"/>
      <c r="E47" s="118">
        <f t="shared" ref="E47:J47" si="3">SUM(E44:E46)</f>
        <v>5088</v>
      </c>
      <c r="F47" s="118">
        <f t="shared" si="3"/>
        <v>6084</v>
      </c>
      <c r="G47" s="118">
        <f t="shared" si="3"/>
        <v>6673</v>
      </c>
      <c r="H47" s="118">
        <f t="shared" si="3"/>
        <v>7502</v>
      </c>
      <c r="I47" s="118">
        <f t="shared" si="3"/>
        <v>9333</v>
      </c>
      <c r="J47" s="118">
        <f t="shared" si="3"/>
        <v>11904</v>
      </c>
    </row>
    <row r="48" spans="2:10" x14ac:dyDescent="0.25">
      <c r="E48" s="78"/>
      <c r="F48" s="78"/>
      <c r="G48" s="78"/>
      <c r="H48" s="78"/>
      <c r="I48" s="78"/>
      <c r="J48" s="78"/>
    </row>
    <row r="49" spans="2:10" x14ac:dyDescent="0.25">
      <c r="B49" s="1" t="s">
        <v>265</v>
      </c>
      <c r="E49" s="78"/>
      <c r="F49" s="78"/>
      <c r="G49" s="78"/>
      <c r="H49" s="78"/>
      <c r="I49" s="78"/>
      <c r="J49" s="78"/>
    </row>
    <row r="50" spans="2:10" x14ac:dyDescent="0.25">
      <c r="B50" s="1" t="s">
        <v>266</v>
      </c>
      <c r="E50" s="78"/>
      <c r="F50" s="78"/>
      <c r="G50" s="78"/>
      <c r="H50" s="78"/>
      <c r="I50" s="78"/>
      <c r="J50" s="78"/>
    </row>
    <row r="51" spans="2:10" x14ac:dyDescent="0.25">
      <c r="B51" s="77" t="s">
        <v>11</v>
      </c>
      <c r="E51" s="78">
        <v>0</v>
      </c>
      <c r="F51" s="78">
        <v>32</v>
      </c>
      <c r="G51" s="78">
        <v>17</v>
      </c>
      <c r="H51" s="78">
        <v>9</v>
      </c>
      <c r="I51" s="78">
        <v>2</v>
      </c>
      <c r="J51" s="78"/>
    </row>
    <row r="52" spans="2:10" x14ac:dyDescent="0.25">
      <c r="B52" s="77" t="s">
        <v>252</v>
      </c>
      <c r="E52" s="78">
        <v>0</v>
      </c>
      <c r="F52" s="78">
        <v>0</v>
      </c>
      <c r="G52" s="78">
        <v>1056</v>
      </c>
      <c r="H52" s="78">
        <v>1059</v>
      </c>
      <c r="I52" s="78">
        <v>1138</v>
      </c>
      <c r="J52" s="78">
        <v>1607</v>
      </c>
    </row>
    <row r="53" spans="2:10" x14ac:dyDescent="0.25">
      <c r="B53" t="s">
        <v>267</v>
      </c>
      <c r="E53" s="78">
        <v>1</v>
      </c>
      <c r="F53" s="78">
        <v>1</v>
      </c>
      <c r="G53" s="78">
        <v>5</v>
      </c>
      <c r="H53" s="78">
        <v>3</v>
      </c>
      <c r="I53" s="78">
        <v>4</v>
      </c>
      <c r="J53" s="78">
        <v>4</v>
      </c>
    </row>
    <row r="54" spans="2:10" x14ac:dyDescent="0.25">
      <c r="B54" t="s">
        <v>257</v>
      </c>
      <c r="E54" s="78">
        <v>116</v>
      </c>
      <c r="F54" s="78">
        <v>131</v>
      </c>
      <c r="G54" s="78">
        <v>166</v>
      </c>
      <c r="H54" s="78">
        <v>156</v>
      </c>
      <c r="I54" s="78">
        <v>198</v>
      </c>
      <c r="J54" s="78">
        <v>240</v>
      </c>
    </row>
    <row r="55" spans="2:10" x14ac:dyDescent="0.25">
      <c r="B55" t="s">
        <v>268</v>
      </c>
      <c r="E55" s="78">
        <v>3</v>
      </c>
      <c r="F55" s="78">
        <v>5</v>
      </c>
      <c r="G55" s="78">
        <v>6</v>
      </c>
      <c r="H55" s="78">
        <v>8</v>
      </c>
      <c r="I55" s="78">
        <v>6</v>
      </c>
      <c r="J55" s="78">
        <v>3</v>
      </c>
    </row>
    <row r="56" spans="2:10" x14ac:dyDescent="0.25">
      <c r="B56" t="s">
        <v>269</v>
      </c>
      <c r="E56" s="78">
        <v>0</v>
      </c>
      <c r="F56" s="78">
        <v>0</v>
      </c>
      <c r="G56" s="78">
        <v>0</v>
      </c>
      <c r="H56" s="78">
        <v>1</v>
      </c>
      <c r="I56" s="78">
        <v>1</v>
      </c>
      <c r="J56" s="78">
        <v>1</v>
      </c>
    </row>
    <row r="57" spans="2:10" x14ac:dyDescent="0.25">
      <c r="B57" s="29" t="s">
        <v>299</v>
      </c>
      <c r="C57" s="28"/>
      <c r="D57" s="28"/>
      <c r="E57" s="118">
        <f t="shared" ref="E57:I57" si="4">SUM(E51:E56)</f>
        <v>120</v>
      </c>
      <c r="F57" s="118">
        <f t="shared" si="4"/>
        <v>169</v>
      </c>
      <c r="G57" s="118">
        <f t="shared" si="4"/>
        <v>1250</v>
      </c>
      <c r="H57" s="118">
        <f t="shared" si="4"/>
        <v>1236</v>
      </c>
      <c r="I57" s="118">
        <f t="shared" si="4"/>
        <v>1349</v>
      </c>
      <c r="J57" s="118">
        <f>SUM(J51:J56)</f>
        <v>1855</v>
      </c>
    </row>
    <row r="58" spans="2:10" x14ac:dyDescent="0.25">
      <c r="E58" s="78"/>
      <c r="F58" s="78"/>
      <c r="G58" s="78"/>
      <c r="H58" s="78"/>
      <c r="I58" s="78"/>
      <c r="J58" s="78"/>
    </row>
    <row r="59" spans="2:10" x14ac:dyDescent="0.25">
      <c r="B59" s="1" t="s">
        <v>249</v>
      </c>
      <c r="E59" s="78"/>
      <c r="F59" s="78"/>
      <c r="G59" s="78"/>
      <c r="H59" s="78"/>
      <c r="I59" s="78"/>
      <c r="J59" s="78"/>
    </row>
    <row r="60" spans="2:10" x14ac:dyDescent="0.25">
      <c r="B60" t="s">
        <v>250</v>
      </c>
      <c r="E60" s="78"/>
      <c r="F60" s="78"/>
      <c r="G60" s="78"/>
      <c r="H60" s="78"/>
      <c r="I60" s="78"/>
      <c r="J60" s="78"/>
    </row>
    <row r="61" spans="2:10" x14ac:dyDescent="0.25">
      <c r="B61" s="66" t="s">
        <v>11</v>
      </c>
      <c r="E61" s="78">
        <v>79</v>
      </c>
      <c r="F61" s="78">
        <v>0</v>
      </c>
      <c r="G61" s="78">
        <v>706</v>
      </c>
      <c r="H61" s="78">
        <v>163</v>
      </c>
      <c r="I61" s="78">
        <v>516</v>
      </c>
      <c r="J61" s="78">
        <v>2195</v>
      </c>
    </row>
    <row r="62" spans="2:10" x14ac:dyDescent="0.25">
      <c r="B62" s="66" t="s">
        <v>251</v>
      </c>
      <c r="E62" s="78">
        <v>1612</v>
      </c>
      <c r="F62" s="78">
        <v>2353</v>
      </c>
      <c r="G62" s="78">
        <v>1585</v>
      </c>
      <c r="H62" s="78">
        <v>4210</v>
      </c>
      <c r="I62" s="78">
        <v>5398</v>
      </c>
      <c r="J62" s="78">
        <v>5299</v>
      </c>
    </row>
    <row r="63" spans="2:10" x14ac:dyDescent="0.25">
      <c r="B63" t="s">
        <v>252</v>
      </c>
      <c r="E63" s="78">
        <v>0</v>
      </c>
      <c r="F63" s="78">
        <v>0</v>
      </c>
      <c r="G63" s="78">
        <v>187</v>
      </c>
      <c r="H63" s="78">
        <v>197</v>
      </c>
      <c r="I63" s="78">
        <v>221</v>
      </c>
      <c r="J63" s="78">
        <v>266</v>
      </c>
    </row>
    <row r="64" spans="2:10" x14ac:dyDescent="0.25">
      <c r="B64" s="66" t="s">
        <v>122</v>
      </c>
      <c r="E64" s="78"/>
      <c r="F64" s="78"/>
      <c r="G64" s="78"/>
      <c r="H64" s="78"/>
      <c r="I64" s="78"/>
      <c r="J64" s="78"/>
    </row>
    <row r="65" spans="2:10" x14ac:dyDescent="0.25">
      <c r="B65" s="76" t="s">
        <v>253</v>
      </c>
      <c r="E65" s="78">
        <v>0</v>
      </c>
      <c r="F65" s="78">
        <v>16</v>
      </c>
      <c r="G65" s="78">
        <v>68</v>
      </c>
      <c r="H65" s="78">
        <v>167</v>
      </c>
      <c r="I65" s="78">
        <v>242</v>
      </c>
      <c r="J65" s="78">
        <v>181</v>
      </c>
    </row>
    <row r="66" spans="2:10" x14ac:dyDescent="0.25">
      <c r="B66" s="76" t="s">
        <v>254</v>
      </c>
      <c r="E66" s="78">
        <v>878</v>
      </c>
      <c r="F66" s="78">
        <v>890</v>
      </c>
      <c r="G66" s="78">
        <v>528</v>
      </c>
      <c r="H66" s="78">
        <v>622</v>
      </c>
      <c r="I66" s="78">
        <v>1052</v>
      </c>
      <c r="J66" s="78">
        <v>1033</v>
      </c>
    </row>
    <row r="67" spans="2:10" x14ac:dyDescent="0.25">
      <c r="B67" t="s">
        <v>255</v>
      </c>
      <c r="E67" s="78">
        <v>255</v>
      </c>
      <c r="F67" s="78">
        <v>238</v>
      </c>
      <c r="G67" s="78">
        <v>219</v>
      </c>
      <c r="H67" s="78">
        <v>232</v>
      </c>
      <c r="I67" s="78">
        <v>440</v>
      </c>
      <c r="J67" s="78">
        <v>568</v>
      </c>
    </row>
    <row r="68" spans="2:10" x14ac:dyDescent="0.25">
      <c r="E68" s="78"/>
      <c r="F68" s="78"/>
      <c r="G68" s="78"/>
      <c r="H68" s="78"/>
      <c r="I68" s="78"/>
      <c r="J68" s="78"/>
    </row>
    <row r="69" spans="2:10" x14ac:dyDescent="0.25">
      <c r="B69" t="s">
        <v>256</v>
      </c>
      <c r="E69" s="78">
        <v>1445</v>
      </c>
      <c r="F69" s="78">
        <v>1890</v>
      </c>
      <c r="G69" s="78">
        <v>2206</v>
      </c>
      <c r="H69" s="78">
        <v>2013</v>
      </c>
      <c r="I69" s="78">
        <v>2523</v>
      </c>
      <c r="J69" s="78">
        <v>3517</v>
      </c>
    </row>
    <row r="70" spans="2:10" x14ac:dyDescent="0.25">
      <c r="B70" t="s">
        <v>257</v>
      </c>
      <c r="E70" s="78">
        <v>25</v>
      </c>
      <c r="F70" s="78">
        <v>65</v>
      </c>
      <c r="G70" s="78">
        <v>120</v>
      </c>
      <c r="H70" s="78">
        <v>30</v>
      </c>
      <c r="I70" s="78">
        <v>38</v>
      </c>
      <c r="J70" s="78">
        <v>132</v>
      </c>
    </row>
    <row r="71" spans="2:10" x14ac:dyDescent="0.25">
      <c r="B71" t="s">
        <v>258</v>
      </c>
      <c r="E71" s="78">
        <v>22</v>
      </c>
      <c r="F71" s="78">
        <v>10</v>
      </c>
      <c r="G71" s="78">
        <v>9</v>
      </c>
      <c r="H71" s="78">
        <v>80</v>
      </c>
      <c r="I71" s="78">
        <v>82</v>
      </c>
      <c r="J71" s="78">
        <v>73</v>
      </c>
    </row>
    <row r="72" spans="2:10" x14ac:dyDescent="0.25">
      <c r="E72" s="79">
        <f t="shared" ref="E72:I72" si="5">SUM(E61:E71)</f>
        <v>4316</v>
      </c>
      <c r="F72" s="79">
        <f t="shared" si="5"/>
        <v>5462</v>
      </c>
      <c r="G72" s="79">
        <f t="shared" si="5"/>
        <v>5628</v>
      </c>
      <c r="H72" s="79">
        <f t="shared" si="5"/>
        <v>7714</v>
      </c>
      <c r="I72" s="79">
        <f t="shared" si="5"/>
        <v>10512</v>
      </c>
      <c r="J72" s="79">
        <f>SUM(J61:J71)</f>
        <v>13264</v>
      </c>
    </row>
    <row r="73" spans="2:10" ht="15.75" thickBot="1" x14ac:dyDescent="0.3">
      <c r="B73" s="53" t="s">
        <v>259</v>
      </c>
      <c r="C73" s="61"/>
      <c r="D73" s="61"/>
      <c r="E73" s="109">
        <f t="shared" ref="E73:J73" si="6">E47+E57+E72</f>
        <v>9524</v>
      </c>
      <c r="F73" s="109">
        <f t="shared" si="6"/>
        <v>11715</v>
      </c>
      <c r="G73" s="109">
        <f t="shared" si="6"/>
        <v>13551</v>
      </c>
      <c r="H73" s="109">
        <f t="shared" si="6"/>
        <v>16452</v>
      </c>
      <c r="I73" s="109">
        <f t="shared" si="6"/>
        <v>21194</v>
      </c>
      <c r="J73" s="109">
        <f t="shared" si="6"/>
        <v>27023</v>
      </c>
    </row>
    <row r="74" spans="2:10" x14ac:dyDescent="0.25">
      <c r="E74" s="78"/>
      <c r="F74" s="78"/>
      <c r="G74" s="78"/>
      <c r="H74" s="78"/>
      <c r="I74" s="78"/>
      <c r="J74" s="78"/>
    </row>
    <row r="75" spans="2:10" x14ac:dyDescent="0.25">
      <c r="B75" s="34" t="s">
        <v>300</v>
      </c>
      <c r="C75" s="34"/>
      <c r="D75" s="34"/>
      <c r="E75" s="131">
        <f>E73-E38</f>
        <v>0</v>
      </c>
      <c r="F75" s="131">
        <f>F73-F38</f>
        <v>0</v>
      </c>
      <c r="G75" s="131">
        <f>G73-G38</f>
        <v>0</v>
      </c>
      <c r="H75" s="131">
        <f>H73-H38</f>
        <v>0</v>
      </c>
      <c r="I75" s="131">
        <f>I73-I38</f>
        <v>0</v>
      </c>
      <c r="J75" s="131">
        <f>J73-J38</f>
        <v>0</v>
      </c>
    </row>
    <row r="76" spans="2:10" x14ac:dyDescent="0.25">
      <c r="E76" s="78"/>
      <c r="F76" s="78"/>
      <c r="G76" s="78"/>
      <c r="H76" s="78"/>
      <c r="I76" s="78"/>
      <c r="J76" s="78"/>
    </row>
    <row r="77" spans="2:10" x14ac:dyDescent="0.25">
      <c r="B77" s="142" t="s">
        <v>260</v>
      </c>
      <c r="C77" s="143"/>
      <c r="D77" s="143"/>
      <c r="E77" s="145"/>
      <c r="F77" s="145"/>
      <c r="G77" s="145"/>
      <c r="H77" s="145"/>
      <c r="I77" s="145"/>
      <c r="J77" s="145"/>
    </row>
    <row r="78" spans="2:10" x14ac:dyDescent="0.25">
      <c r="B78" s="28" t="s">
        <v>8</v>
      </c>
      <c r="C78" s="28"/>
      <c r="D78" s="28"/>
      <c r="E78" s="141">
        <f>IS!E17/BS!E27</f>
        <v>1.9783966244725739</v>
      </c>
      <c r="F78" s="141">
        <f>IS!F17/BS!F27</f>
        <v>2.0450348060804093</v>
      </c>
      <c r="G78" s="141">
        <f>IS!G17/BS!G27</f>
        <v>1.8702949524867334</v>
      </c>
      <c r="H78" s="141">
        <f>IS!H17/BS!H27</f>
        <v>1.9521883920076117</v>
      </c>
      <c r="I78" s="141">
        <f>IS!I17/BS!I27</f>
        <v>1.5901976633110442</v>
      </c>
      <c r="J78" s="141">
        <f>IS!J17/BS!J27</f>
        <v>1.8343606478124244</v>
      </c>
    </row>
    <row r="79" spans="2:10" x14ac:dyDescent="0.25">
      <c r="B79" s="28" t="s">
        <v>261</v>
      </c>
      <c r="C79" s="28"/>
      <c r="D79" s="28"/>
      <c r="E79" s="141">
        <f>IS!E7/BS!E30</f>
        <v>54.581081081081081</v>
      </c>
      <c r="F79" s="141">
        <f>IS!F7/BS!F30</f>
        <v>47.092857142857142</v>
      </c>
      <c r="G79" s="141">
        <f>IS!G7/BS!G30</f>
        <v>67.474358974358978</v>
      </c>
      <c r="H79" s="141">
        <f>IS!H7/BS!H30</f>
        <v>59.136612021857921</v>
      </c>
      <c r="I79" s="141">
        <f>IS!I7/BS!I30</f>
        <v>50.971681415929204</v>
      </c>
      <c r="J79" s="141">
        <f>IS!J7/BS!J30</f>
        <v>60.200296735905042</v>
      </c>
    </row>
    <row r="80" spans="2:10" x14ac:dyDescent="0.25">
      <c r="B80" s="28" t="s">
        <v>124</v>
      </c>
      <c r="C80" s="28"/>
      <c r="D80" s="28"/>
      <c r="E80" s="141">
        <f>IS!E17/SUM(BS!E65:E66)</f>
        <v>13.350797266514807</v>
      </c>
      <c r="F80" s="141">
        <f>IS!F17/SUM(BS!F65:F66)</f>
        <v>15.888520971302428</v>
      </c>
      <c r="G80" s="141">
        <f>IS!G17/SUM(BS!G65:G66)</f>
        <v>25.427852348993287</v>
      </c>
      <c r="H80" s="141">
        <f>IS!H17/SUM(BS!H65:H66)</f>
        <v>20.803548795944234</v>
      </c>
      <c r="I80" s="141">
        <f>IS!I17/SUM(BS!I65:I66)</f>
        <v>16.724111282843896</v>
      </c>
      <c r="J80" s="141">
        <f>IS!J17/SUM(BS!J65:J66)</f>
        <v>25.004118616144975</v>
      </c>
    </row>
    <row r="81" spans="2:10" x14ac:dyDescent="0.25">
      <c r="E81" s="77"/>
      <c r="F81" s="77"/>
      <c r="G81" s="77"/>
      <c r="H81" s="77"/>
      <c r="I81" s="77"/>
      <c r="J81" s="77"/>
    </row>
    <row r="82" spans="2:10" x14ac:dyDescent="0.25">
      <c r="B82" s="142" t="s">
        <v>281</v>
      </c>
      <c r="C82" s="143"/>
      <c r="D82" s="143"/>
      <c r="E82" s="144"/>
      <c r="F82" s="144"/>
      <c r="G82" s="144"/>
      <c r="H82" s="144"/>
      <c r="I82" s="144"/>
      <c r="J82" s="144"/>
    </row>
    <row r="83" spans="2:10" x14ac:dyDescent="0.25">
      <c r="B83" s="28" t="s">
        <v>8</v>
      </c>
      <c r="C83" s="28"/>
      <c r="D83" s="28"/>
      <c r="E83" s="141">
        <f>365/E78</f>
        <v>184.49283398737415</v>
      </c>
      <c r="F83" s="141">
        <f t="shared" ref="F83:J83" si="7">365/F78</f>
        <v>178.48106981590828</v>
      </c>
      <c r="G83" s="141">
        <f t="shared" si="7"/>
        <v>195.1563840316727</v>
      </c>
      <c r="H83" s="141">
        <f t="shared" si="7"/>
        <v>186.96966004630195</v>
      </c>
      <c r="I83" s="141">
        <f t="shared" si="7"/>
        <v>229.53121389954254</v>
      </c>
      <c r="J83" s="141">
        <f t="shared" si="7"/>
        <v>198.97941031131612</v>
      </c>
    </row>
    <row r="84" spans="2:10" x14ac:dyDescent="0.25">
      <c r="B84" s="28" t="s">
        <v>261</v>
      </c>
      <c r="C84" s="28"/>
      <c r="D84" s="28"/>
      <c r="E84" s="141">
        <f>365/E79</f>
        <v>6.6872988363456303</v>
      </c>
      <c r="F84" s="141">
        <f t="shared" ref="F84:J84" si="8">365/F79</f>
        <v>7.7506446230850905</v>
      </c>
      <c r="G84" s="141">
        <f t="shared" si="8"/>
        <v>5.4094622838685158</v>
      </c>
      <c r="H84" s="141">
        <f t="shared" si="8"/>
        <v>6.172149325448161</v>
      </c>
      <c r="I84" s="141">
        <f t="shared" si="8"/>
        <v>7.160838918017987</v>
      </c>
      <c r="J84" s="141">
        <f t="shared" si="8"/>
        <v>6.0630930375847196</v>
      </c>
    </row>
    <row r="85" spans="2:10" x14ac:dyDescent="0.25">
      <c r="B85" s="28" t="s">
        <v>124</v>
      </c>
      <c r="C85" s="28"/>
      <c r="D85" s="28"/>
      <c r="E85" s="141">
        <f>365/E80</f>
        <v>27.339191264289369</v>
      </c>
      <c r="F85" s="141">
        <f t="shared" ref="F85:J85" si="9">365/F80</f>
        <v>22.972559916637721</v>
      </c>
      <c r="G85" s="141">
        <f t="shared" si="9"/>
        <v>14.354338502144508</v>
      </c>
      <c r="H85" s="141">
        <f t="shared" si="9"/>
        <v>17.545083465334471</v>
      </c>
      <c r="I85" s="141">
        <f t="shared" si="9"/>
        <v>21.824777043574695</v>
      </c>
      <c r="J85" s="141">
        <f t="shared" si="9"/>
        <v>14.597595124361719</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0DDE-9881-4E29-9174-759B2C31610D}">
  <dimension ref="A1:J79"/>
  <sheetViews>
    <sheetView showGridLines="0" zoomScale="91" zoomScaleNormal="91" workbookViewId="0">
      <pane xSplit="1" ySplit="4" topLeftCell="B43" activePane="bottomRight" state="frozen"/>
      <selection pane="topRight" activeCell="B1" sqref="B1"/>
      <selection pane="bottomLeft" activeCell="A5" sqref="A5"/>
      <selection pane="bottomRight" activeCell="E48" sqref="E48"/>
    </sheetView>
  </sheetViews>
  <sheetFormatPr defaultRowHeight="15" x14ac:dyDescent="0.25"/>
  <cols>
    <col min="1" max="1" width="1.85546875" customWidth="1"/>
    <col min="2" max="2" width="60.7109375" bestFit="1" customWidth="1"/>
    <col min="3" max="4" width="1.85546875" customWidth="1"/>
    <col min="5" max="10" width="11.140625" bestFit="1" customWidth="1"/>
  </cols>
  <sheetData>
    <row r="1" spans="1:10" ht="47.25" customHeight="1" x14ac:dyDescent="0.3">
      <c r="B1" s="114" t="s">
        <v>10</v>
      </c>
    </row>
    <row r="2" spans="1:10" ht="30.75" customHeight="1" x14ac:dyDescent="0.25">
      <c r="B2" s="110" t="s">
        <v>329</v>
      </c>
    </row>
    <row r="3" spans="1:10" ht="4.5" customHeight="1" x14ac:dyDescent="0.25"/>
    <row r="4" spans="1:10" x14ac:dyDescent="0.25">
      <c r="B4" s="32" t="s">
        <v>68</v>
      </c>
      <c r="C4" s="32"/>
      <c r="D4" s="32"/>
      <c r="E4" s="111">
        <v>43190</v>
      </c>
      <c r="F4" s="111">
        <f>EDATE(E4,12)</f>
        <v>43555</v>
      </c>
      <c r="G4" s="111">
        <f t="shared" ref="G4:J4" si="0">EDATE(F4,12)</f>
        <v>43921</v>
      </c>
      <c r="H4" s="111">
        <f t="shared" si="0"/>
        <v>44286</v>
      </c>
      <c r="I4" s="111">
        <f t="shared" si="0"/>
        <v>44651</v>
      </c>
      <c r="J4" s="111">
        <f t="shared" si="0"/>
        <v>45016</v>
      </c>
    </row>
    <row r="5" spans="1:10" ht="15.75" thickBot="1" x14ac:dyDescent="0.3">
      <c r="B5" s="32" t="s">
        <v>48</v>
      </c>
      <c r="C5" s="32"/>
      <c r="D5" s="32"/>
      <c r="E5" s="112">
        <f>YEAR(E4)</f>
        <v>2018</v>
      </c>
      <c r="F5" s="112">
        <f t="shared" ref="F5:J5" si="1">YEAR(F4)</f>
        <v>2019</v>
      </c>
      <c r="G5" s="112">
        <f t="shared" si="1"/>
        <v>2020</v>
      </c>
      <c r="H5" s="112">
        <f t="shared" si="1"/>
        <v>2021</v>
      </c>
      <c r="I5" s="112">
        <f t="shared" si="1"/>
        <v>2022</v>
      </c>
      <c r="J5" s="112">
        <f t="shared" si="1"/>
        <v>2023</v>
      </c>
    </row>
    <row r="6" spans="1:10" ht="5.25" customHeight="1" x14ac:dyDescent="0.25"/>
    <row r="7" spans="1:10" x14ac:dyDescent="0.25">
      <c r="A7" t="s">
        <v>14</v>
      </c>
      <c r="B7" s="1" t="s">
        <v>156</v>
      </c>
    </row>
    <row r="8" spans="1:10" x14ac:dyDescent="0.25">
      <c r="B8" s="28" t="s">
        <v>157</v>
      </c>
      <c r="C8" s="28"/>
      <c r="D8" s="28"/>
      <c r="E8" s="115">
        <v>1529.78</v>
      </c>
      <c r="F8" s="115">
        <v>1957</v>
      </c>
      <c r="G8" s="115">
        <v>2102</v>
      </c>
      <c r="H8" s="115">
        <v>1327</v>
      </c>
      <c r="I8" s="115">
        <v>2904</v>
      </c>
      <c r="J8" s="115">
        <v>4447</v>
      </c>
    </row>
    <row r="9" spans="1:10" x14ac:dyDescent="0.25">
      <c r="B9" t="s">
        <v>158</v>
      </c>
      <c r="E9" s="59"/>
      <c r="F9" s="59"/>
      <c r="G9" s="59"/>
      <c r="H9" s="59"/>
      <c r="I9" s="59"/>
      <c r="J9" s="59"/>
    </row>
    <row r="10" spans="1:10" x14ac:dyDescent="0.25">
      <c r="B10" t="s">
        <v>159</v>
      </c>
      <c r="E10" s="59">
        <v>131</v>
      </c>
      <c r="F10" s="59">
        <v>163</v>
      </c>
      <c r="G10" s="59">
        <v>348</v>
      </c>
      <c r="H10" s="59">
        <v>376</v>
      </c>
      <c r="I10" s="59">
        <v>399</v>
      </c>
      <c r="J10" s="59">
        <v>441</v>
      </c>
    </row>
    <row r="11" spans="1:10" x14ac:dyDescent="0.25">
      <c r="B11" t="s">
        <v>160</v>
      </c>
      <c r="E11" s="59">
        <v>-1.26</v>
      </c>
      <c r="F11" s="59">
        <v>-1</v>
      </c>
      <c r="G11" s="59">
        <v>-1</v>
      </c>
      <c r="H11" s="59">
        <v>-2</v>
      </c>
      <c r="I11" s="59">
        <v>-3</v>
      </c>
      <c r="J11" s="59">
        <v>7</v>
      </c>
    </row>
    <row r="12" spans="1:10" x14ac:dyDescent="0.25">
      <c r="B12" t="s">
        <v>161</v>
      </c>
      <c r="E12" s="59">
        <v>2.77</v>
      </c>
      <c r="F12" s="59">
        <v>2</v>
      </c>
      <c r="G12" s="59">
        <v>4</v>
      </c>
      <c r="H12" s="59">
        <v>5</v>
      </c>
      <c r="I12" s="59">
        <v>0</v>
      </c>
      <c r="J12" s="59">
        <v>-1</v>
      </c>
    </row>
    <row r="13" spans="1:10" x14ac:dyDescent="0.25">
      <c r="B13" t="s">
        <v>162</v>
      </c>
      <c r="E13" s="59">
        <v>4.3099999999999996</v>
      </c>
      <c r="F13" s="59">
        <v>1</v>
      </c>
      <c r="G13" s="59">
        <v>0</v>
      </c>
      <c r="H13" s="59">
        <v>0</v>
      </c>
      <c r="I13" s="59">
        <v>2</v>
      </c>
      <c r="J13" s="59">
        <v>1</v>
      </c>
    </row>
    <row r="14" spans="1:10" x14ac:dyDescent="0.25">
      <c r="B14" t="s">
        <v>163</v>
      </c>
      <c r="E14" s="59">
        <v>2.2799999999999998</v>
      </c>
      <c r="F14" s="59">
        <v>4</v>
      </c>
      <c r="G14" s="59">
        <v>3</v>
      </c>
      <c r="H14" s="59">
        <v>6</v>
      </c>
      <c r="I14" s="59">
        <v>3</v>
      </c>
      <c r="J14" s="59">
        <v>3</v>
      </c>
    </row>
    <row r="15" spans="1:10" x14ac:dyDescent="0.25">
      <c r="B15" t="s">
        <v>164</v>
      </c>
      <c r="E15" s="59"/>
      <c r="F15" s="59"/>
      <c r="G15" s="59"/>
      <c r="H15" s="59"/>
      <c r="I15" s="59"/>
      <c r="J15" s="59"/>
    </row>
    <row r="16" spans="1:10" x14ac:dyDescent="0.25">
      <c r="B16" t="s">
        <v>165</v>
      </c>
      <c r="E16" s="59">
        <v>3.32</v>
      </c>
      <c r="F16" s="59">
        <v>7</v>
      </c>
      <c r="G16" s="59">
        <v>4</v>
      </c>
      <c r="H16" s="59">
        <v>35</v>
      </c>
      <c r="I16" s="59">
        <v>3</v>
      </c>
      <c r="J16" s="59">
        <v>4</v>
      </c>
    </row>
    <row r="17" spans="2:10" x14ac:dyDescent="0.25">
      <c r="B17" t="s">
        <v>166</v>
      </c>
      <c r="E17" s="59">
        <v>0</v>
      </c>
      <c r="F17" s="59">
        <v>0</v>
      </c>
      <c r="G17" s="59">
        <v>0</v>
      </c>
      <c r="H17" s="59">
        <v>31</v>
      </c>
      <c r="I17" s="59">
        <v>9</v>
      </c>
      <c r="J17" s="59">
        <v>0</v>
      </c>
    </row>
    <row r="18" spans="2:10" x14ac:dyDescent="0.25">
      <c r="B18" t="s">
        <v>167</v>
      </c>
      <c r="E18" s="59">
        <v>-64.22</v>
      </c>
      <c r="F18" s="59">
        <v>-104</v>
      </c>
      <c r="G18" s="59">
        <v>-98</v>
      </c>
      <c r="H18" s="59">
        <v>-61</v>
      </c>
      <c r="I18" s="59">
        <v>-96</v>
      </c>
      <c r="J18" s="59">
        <v>-143</v>
      </c>
    </row>
    <row r="19" spans="2:10" x14ac:dyDescent="0.25">
      <c r="E19" s="59"/>
      <c r="F19" s="59"/>
      <c r="G19" s="59"/>
      <c r="H19" s="59"/>
      <c r="I19" s="59"/>
      <c r="J19" s="59"/>
    </row>
    <row r="20" spans="2:10" x14ac:dyDescent="0.25">
      <c r="B20" t="s">
        <v>168</v>
      </c>
      <c r="E20" s="59">
        <v>-19.54</v>
      </c>
      <c r="F20" s="59">
        <v>-45</v>
      </c>
      <c r="G20" s="59">
        <v>-32</v>
      </c>
      <c r="H20" s="59">
        <v>-35</v>
      </c>
      <c r="I20" s="59">
        <v>-87</v>
      </c>
      <c r="J20" s="59">
        <v>-106</v>
      </c>
    </row>
    <row r="21" spans="2:10" x14ac:dyDescent="0.25">
      <c r="B21" t="s">
        <v>169</v>
      </c>
      <c r="E21" s="59">
        <v>0</v>
      </c>
      <c r="F21" s="59">
        <v>145</v>
      </c>
      <c r="G21" s="59">
        <v>0</v>
      </c>
      <c r="H21" s="59"/>
      <c r="I21" s="59"/>
      <c r="J21" s="59"/>
    </row>
    <row r="22" spans="2:10" x14ac:dyDescent="0.25">
      <c r="B22" t="s">
        <v>170</v>
      </c>
      <c r="E22" s="59">
        <v>0</v>
      </c>
      <c r="F22" s="59">
        <v>0</v>
      </c>
      <c r="G22" s="59">
        <v>0</v>
      </c>
      <c r="H22" s="59">
        <v>-22</v>
      </c>
      <c r="I22" s="59">
        <v>0</v>
      </c>
      <c r="J22" s="59"/>
    </row>
    <row r="23" spans="2:10" x14ac:dyDescent="0.25">
      <c r="B23" t="s">
        <v>171</v>
      </c>
      <c r="E23" s="59">
        <v>0</v>
      </c>
      <c r="F23" s="59">
        <v>0</v>
      </c>
      <c r="G23" s="59">
        <v>-9</v>
      </c>
      <c r="H23" s="59">
        <v>-13</v>
      </c>
      <c r="I23" s="59">
        <v>-20</v>
      </c>
      <c r="J23" s="59">
        <v>-14</v>
      </c>
    </row>
    <row r="24" spans="2:10" x14ac:dyDescent="0.25">
      <c r="B24" t="s">
        <v>172</v>
      </c>
      <c r="E24" s="59">
        <v>0</v>
      </c>
      <c r="F24" s="59">
        <v>0</v>
      </c>
      <c r="G24" s="59">
        <v>0</v>
      </c>
      <c r="H24" s="59">
        <v>-61</v>
      </c>
      <c r="I24" s="59">
        <v>-34</v>
      </c>
      <c r="J24" s="59">
        <v>-2</v>
      </c>
    </row>
    <row r="25" spans="2:10" x14ac:dyDescent="0.25">
      <c r="B25" t="s">
        <v>173</v>
      </c>
      <c r="E25" s="59">
        <v>52.92</v>
      </c>
      <c r="F25" s="59">
        <v>53</v>
      </c>
      <c r="G25" s="59">
        <v>166</v>
      </c>
      <c r="H25" s="59">
        <v>203</v>
      </c>
      <c r="I25" s="59">
        <v>218</v>
      </c>
      <c r="J25" s="59">
        <v>300</v>
      </c>
    </row>
    <row r="26" spans="2:10" x14ac:dyDescent="0.25">
      <c r="E26" s="59"/>
      <c r="F26" s="59"/>
      <c r="G26" s="59"/>
      <c r="H26" s="59"/>
      <c r="I26" s="59"/>
      <c r="J26" s="59"/>
    </row>
    <row r="27" spans="2:10" x14ac:dyDescent="0.25">
      <c r="B27" s="1" t="s">
        <v>174</v>
      </c>
      <c r="C27" s="1"/>
      <c r="D27" s="1"/>
      <c r="E27" s="60">
        <v>1643</v>
      </c>
      <c r="F27" s="60">
        <v>2183</v>
      </c>
      <c r="G27" s="60">
        <v>2482</v>
      </c>
      <c r="H27" s="60">
        <v>1789</v>
      </c>
      <c r="I27" s="60">
        <v>3298</v>
      </c>
      <c r="J27" s="60">
        <f>SUM(J8:J25)</f>
        <v>4937</v>
      </c>
    </row>
    <row r="28" spans="2:10" x14ac:dyDescent="0.25">
      <c r="B28" t="s">
        <v>158</v>
      </c>
      <c r="E28" s="59"/>
      <c r="F28" s="59"/>
      <c r="G28" s="59"/>
      <c r="H28" s="59"/>
      <c r="I28" s="59"/>
      <c r="J28" s="59"/>
    </row>
    <row r="29" spans="2:10" x14ac:dyDescent="0.25">
      <c r="B29" t="s">
        <v>175</v>
      </c>
      <c r="E29" s="59">
        <v>-90.32</v>
      </c>
      <c r="F29" s="59">
        <v>-139</v>
      </c>
      <c r="G29" s="59">
        <v>109</v>
      </c>
      <c r="H29" s="59">
        <v>-59</v>
      </c>
      <c r="I29" s="59">
        <v>-207</v>
      </c>
      <c r="J29" s="59">
        <v>-112</v>
      </c>
    </row>
    <row r="30" spans="2:10" x14ac:dyDescent="0.25">
      <c r="B30" t="s">
        <v>176</v>
      </c>
      <c r="E30" s="59">
        <v>-995.93</v>
      </c>
      <c r="F30" s="59">
        <v>-1120</v>
      </c>
      <c r="G30" s="59">
        <v>-1057</v>
      </c>
      <c r="H30" s="59">
        <v>-316</v>
      </c>
      <c r="I30" s="59">
        <v>-5199</v>
      </c>
      <c r="J30" s="59">
        <v>-2977</v>
      </c>
    </row>
    <row r="31" spans="2:10" x14ac:dyDescent="0.25">
      <c r="B31" t="s">
        <v>177</v>
      </c>
      <c r="E31" s="59">
        <v>0</v>
      </c>
      <c r="F31" s="59">
        <v>-24</v>
      </c>
      <c r="G31" s="59">
        <v>-20</v>
      </c>
      <c r="H31" s="59">
        <v>-8</v>
      </c>
      <c r="I31" s="59">
        <v>-3</v>
      </c>
      <c r="J31" s="59">
        <v>-18</v>
      </c>
    </row>
    <row r="32" spans="2:10" x14ac:dyDescent="0.25">
      <c r="B32" t="s">
        <v>178</v>
      </c>
      <c r="E32" s="59">
        <v>-11.91</v>
      </c>
      <c r="F32" s="59">
        <v>-12</v>
      </c>
      <c r="G32" s="59">
        <v>-336</v>
      </c>
      <c r="H32" s="59">
        <v>237</v>
      </c>
      <c r="I32" s="59">
        <v>-29</v>
      </c>
      <c r="J32" s="59">
        <v>74</v>
      </c>
    </row>
    <row r="33" spans="1:10" x14ac:dyDescent="0.25">
      <c r="B33" t="s">
        <v>179</v>
      </c>
      <c r="E33" s="59">
        <v>-14.01</v>
      </c>
      <c r="F33" s="59">
        <v>-276</v>
      </c>
      <c r="G33" s="59">
        <v>36</v>
      </c>
      <c r="H33" s="59">
        <v>-62</v>
      </c>
      <c r="I33" s="59">
        <v>-223</v>
      </c>
      <c r="J33" s="59">
        <v>-363</v>
      </c>
    </row>
    <row r="34" spans="1:10" x14ac:dyDescent="0.25">
      <c r="B34" t="s">
        <v>180</v>
      </c>
      <c r="E34" s="59">
        <v>-16.78</v>
      </c>
      <c r="F34" s="59">
        <v>0</v>
      </c>
      <c r="G34" s="59">
        <v>0</v>
      </c>
      <c r="H34" s="59">
        <v>0</v>
      </c>
      <c r="I34" s="59">
        <v>0</v>
      </c>
      <c r="J34" s="59"/>
    </row>
    <row r="35" spans="1:10" x14ac:dyDescent="0.25">
      <c r="B35" t="s">
        <v>181</v>
      </c>
      <c r="E35" s="59">
        <v>-256.14999999999998</v>
      </c>
      <c r="F35" s="59">
        <v>0</v>
      </c>
      <c r="G35" s="59">
        <v>0</v>
      </c>
      <c r="H35" s="59">
        <v>0</v>
      </c>
      <c r="I35" s="59">
        <v>0</v>
      </c>
      <c r="J35" s="59"/>
    </row>
    <row r="36" spans="1:10" x14ac:dyDescent="0.25">
      <c r="B36" t="s">
        <v>182</v>
      </c>
      <c r="E36" s="59">
        <v>0</v>
      </c>
      <c r="F36" s="59">
        <v>-4</v>
      </c>
      <c r="G36" s="59">
        <v>0</v>
      </c>
      <c r="H36" s="59">
        <v>0</v>
      </c>
      <c r="I36" s="59">
        <v>1</v>
      </c>
      <c r="J36" s="59"/>
    </row>
    <row r="37" spans="1:10" x14ac:dyDescent="0.25">
      <c r="B37" t="s">
        <v>183</v>
      </c>
      <c r="E37" s="59">
        <v>-270.41000000000003</v>
      </c>
      <c r="F37" s="59">
        <v>741</v>
      </c>
      <c r="G37" s="59">
        <v>-768</v>
      </c>
      <c r="H37" s="59">
        <v>2625</v>
      </c>
      <c r="I37" s="59">
        <v>1188</v>
      </c>
      <c r="J37" s="59">
        <v>-99</v>
      </c>
    </row>
    <row r="38" spans="1:10" x14ac:dyDescent="0.25">
      <c r="B38" t="s">
        <v>184</v>
      </c>
      <c r="E38" s="59">
        <v>94.82</v>
      </c>
      <c r="F38" s="59">
        <v>32</v>
      </c>
      <c r="G38" s="59">
        <v>-310</v>
      </c>
      <c r="H38" s="59">
        <v>195</v>
      </c>
      <c r="I38" s="59">
        <v>504</v>
      </c>
      <c r="J38" s="59">
        <v>-89</v>
      </c>
    </row>
    <row r="39" spans="1:10" x14ac:dyDescent="0.25">
      <c r="B39" t="s">
        <v>185</v>
      </c>
      <c r="E39" s="59">
        <v>-18.7</v>
      </c>
      <c r="F39" s="59">
        <v>21</v>
      </c>
      <c r="G39" s="59">
        <v>-280</v>
      </c>
      <c r="H39" s="59">
        <v>253</v>
      </c>
      <c r="I39" s="59">
        <v>179</v>
      </c>
      <c r="J39" s="59">
        <v>108</v>
      </c>
    </row>
    <row r="40" spans="1:10" x14ac:dyDescent="0.25">
      <c r="B40" t="s">
        <v>186</v>
      </c>
      <c r="E40" s="59">
        <v>343.06</v>
      </c>
      <c r="F40" s="59">
        <v>446</v>
      </c>
      <c r="G40" s="59">
        <v>316</v>
      </c>
      <c r="H40" s="59">
        <v>-192</v>
      </c>
      <c r="I40" s="59">
        <v>510</v>
      </c>
      <c r="J40" s="59">
        <v>994</v>
      </c>
    </row>
    <row r="41" spans="1:10" x14ac:dyDescent="0.25">
      <c r="B41" t="s">
        <v>187</v>
      </c>
      <c r="E41" s="59">
        <v>-0.1</v>
      </c>
      <c r="F41" s="59">
        <v>3</v>
      </c>
      <c r="G41" s="59">
        <v>38</v>
      </c>
      <c r="H41" s="59">
        <v>-52</v>
      </c>
      <c r="I41" s="59">
        <v>59</v>
      </c>
      <c r="J41" s="59">
        <v>69</v>
      </c>
    </row>
    <row r="42" spans="1:10" x14ac:dyDescent="0.25">
      <c r="B42" s="1" t="s">
        <v>188</v>
      </c>
      <c r="D42" s="1"/>
      <c r="E42" s="60">
        <v>405</v>
      </c>
      <c r="F42" s="60">
        <v>1879</v>
      </c>
      <c r="G42" s="60">
        <f>SUM(G27:G41)</f>
        <v>210</v>
      </c>
      <c r="H42" s="60">
        <f>SUM(H27:H41)</f>
        <v>4410</v>
      </c>
      <c r="I42" s="60">
        <f>SUM(I27:I41)</f>
        <v>78</v>
      </c>
      <c r="J42" s="60">
        <f>SUM(J27:J41)</f>
        <v>2524</v>
      </c>
    </row>
    <row r="43" spans="1:10" x14ac:dyDescent="0.25">
      <c r="B43" t="s">
        <v>189</v>
      </c>
      <c r="E43" s="59">
        <v>-456.08</v>
      </c>
      <c r="F43" s="59">
        <v>-636</v>
      </c>
      <c r="G43" s="59">
        <v>-558</v>
      </c>
      <c r="H43" s="59">
        <v>-271</v>
      </c>
      <c r="I43" s="59">
        <v>-802</v>
      </c>
      <c r="J43" s="59">
        <v>-1154</v>
      </c>
    </row>
    <row r="44" spans="1:10" ht="15.75" thickBot="1" x14ac:dyDescent="0.3">
      <c r="B44" s="53" t="s">
        <v>190</v>
      </c>
      <c r="C44" s="53"/>
      <c r="D44" s="53"/>
      <c r="E44" s="109">
        <f t="shared" ref="E44:J44" si="2">E42+E43</f>
        <v>-51.079999999999984</v>
      </c>
      <c r="F44" s="109">
        <f t="shared" si="2"/>
        <v>1243</v>
      </c>
      <c r="G44" s="109">
        <f t="shared" si="2"/>
        <v>-348</v>
      </c>
      <c r="H44" s="109">
        <f t="shared" si="2"/>
        <v>4139</v>
      </c>
      <c r="I44" s="109">
        <f t="shared" si="2"/>
        <v>-724</v>
      </c>
      <c r="J44" s="109">
        <f t="shared" si="2"/>
        <v>1370</v>
      </c>
    </row>
    <row r="45" spans="1:10" x14ac:dyDescent="0.25">
      <c r="E45" s="59"/>
      <c r="F45" s="59"/>
      <c r="G45" s="59"/>
      <c r="H45" s="59"/>
      <c r="I45" s="59"/>
      <c r="J45" s="59"/>
    </row>
    <row r="46" spans="1:10" x14ac:dyDescent="0.25">
      <c r="A46" t="s">
        <v>14</v>
      </c>
      <c r="B46" s="1" t="s">
        <v>218</v>
      </c>
      <c r="E46" s="59"/>
      <c r="F46" s="59"/>
      <c r="G46" s="59"/>
      <c r="H46" s="59"/>
      <c r="I46" s="59"/>
      <c r="J46" s="59"/>
    </row>
    <row r="47" spans="1:10" ht="5.25" customHeight="1" x14ac:dyDescent="0.25">
      <c r="E47" s="59"/>
      <c r="F47" s="59"/>
      <c r="G47" s="59"/>
      <c r="H47" s="59"/>
      <c r="I47" s="59"/>
      <c r="J47" s="59"/>
    </row>
    <row r="48" spans="1:10" ht="30" x14ac:dyDescent="0.25">
      <c r="B48" s="46" t="s">
        <v>191</v>
      </c>
      <c r="E48" s="59">
        <v>-304.85000000000002</v>
      </c>
      <c r="F48" s="59">
        <v>-265</v>
      </c>
      <c r="G48" s="59">
        <v>-355</v>
      </c>
      <c r="H48" s="59">
        <v>-146</v>
      </c>
      <c r="I48" s="59">
        <v>-224</v>
      </c>
      <c r="J48" s="59">
        <v>-432</v>
      </c>
    </row>
    <row r="49" spans="2:10" x14ac:dyDescent="0.25">
      <c r="B49" t="s">
        <v>192</v>
      </c>
      <c r="E49" s="59">
        <v>5.58</v>
      </c>
      <c r="F49" s="59">
        <v>1</v>
      </c>
      <c r="G49" s="59">
        <v>9</v>
      </c>
      <c r="H49" s="59">
        <v>7</v>
      </c>
      <c r="I49" s="59">
        <v>8</v>
      </c>
      <c r="J49" s="59">
        <v>12</v>
      </c>
    </row>
    <row r="50" spans="2:10" x14ac:dyDescent="0.25">
      <c r="B50" t="s">
        <v>193</v>
      </c>
      <c r="E50" s="59"/>
      <c r="F50" s="59"/>
      <c r="G50" s="59"/>
      <c r="H50" s="59">
        <v>-5</v>
      </c>
      <c r="I50" s="59">
        <v>-100</v>
      </c>
      <c r="J50" s="59">
        <v>-353</v>
      </c>
    </row>
    <row r="51" spans="2:10" x14ac:dyDescent="0.25">
      <c r="B51" t="s">
        <v>194</v>
      </c>
      <c r="E51" s="59">
        <v>-670</v>
      </c>
      <c r="F51" s="59">
        <v>-910</v>
      </c>
      <c r="G51" s="59">
        <v>-100</v>
      </c>
      <c r="H51" s="59">
        <v>-150</v>
      </c>
      <c r="I51" s="59">
        <v>-1094</v>
      </c>
      <c r="J51" s="59">
        <v>-570</v>
      </c>
    </row>
    <row r="52" spans="2:10" x14ac:dyDescent="0.25">
      <c r="B52" t="s">
        <v>195</v>
      </c>
      <c r="E52" s="59">
        <v>635</v>
      </c>
      <c r="F52" s="59">
        <v>795</v>
      </c>
      <c r="G52" s="59">
        <v>300</v>
      </c>
      <c r="H52" s="59">
        <v>100</v>
      </c>
      <c r="I52" s="59">
        <v>750</v>
      </c>
      <c r="J52" s="59">
        <v>864</v>
      </c>
    </row>
    <row r="53" spans="2:10" x14ac:dyDescent="0.25">
      <c r="B53" t="s">
        <v>196</v>
      </c>
      <c r="E53" s="59">
        <v>-44.93</v>
      </c>
      <c r="F53" s="59">
        <v>-487</v>
      </c>
      <c r="G53" s="59">
        <v>331</v>
      </c>
      <c r="H53" s="59">
        <v>-73</v>
      </c>
      <c r="I53" s="59">
        <v>-975</v>
      </c>
      <c r="J53" s="59">
        <v>243</v>
      </c>
    </row>
    <row r="54" spans="2:10" x14ac:dyDescent="0.25">
      <c r="B54" t="s">
        <v>197</v>
      </c>
      <c r="E54" s="59">
        <v>0</v>
      </c>
      <c r="F54" s="59">
        <v>0</v>
      </c>
      <c r="G54" s="59">
        <v>0</v>
      </c>
      <c r="H54" s="59">
        <v>43</v>
      </c>
      <c r="I54" s="59">
        <v>0</v>
      </c>
      <c r="J54" s="59"/>
    </row>
    <row r="55" spans="2:10" x14ac:dyDescent="0.25">
      <c r="B55" t="s">
        <v>198</v>
      </c>
      <c r="E55" s="59">
        <v>0</v>
      </c>
      <c r="F55" s="59">
        <v>0</v>
      </c>
      <c r="G55" s="59">
        <v>-39</v>
      </c>
      <c r="H55" s="59">
        <v>0</v>
      </c>
      <c r="I55" s="59">
        <v>-158</v>
      </c>
      <c r="J55" s="59">
        <v>-1</v>
      </c>
    </row>
    <row r="56" spans="2:10" x14ac:dyDescent="0.25">
      <c r="B56" t="s">
        <v>199</v>
      </c>
      <c r="E56" s="59">
        <v>0</v>
      </c>
      <c r="F56" s="59">
        <v>-36</v>
      </c>
      <c r="G56" s="59">
        <v>-13</v>
      </c>
      <c r="H56" s="59">
        <v>-2651</v>
      </c>
      <c r="I56" s="59">
        <v>2870</v>
      </c>
      <c r="J56" s="59">
        <v>-1750</v>
      </c>
    </row>
    <row r="57" spans="2:10" x14ac:dyDescent="0.25">
      <c r="B57" t="s">
        <v>200</v>
      </c>
      <c r="E57" s="59">
        <v>0</v>
      </c>
      <c r="F57" s="59">
        <v>0</v>
      </c>
      <c r="G57" s="59">
        <v>0</v>
      </c>
      <c r="H57" s="59">
        <v>-97</v>
      </c>
      <c r="I57" s="59">
        <v>-34</v>
      </c>
      <c r="J57" s="59"/>
    </row>
    <row r="58" spans="2:10" x14ac:dyDescent="0.25">
      <c r="B58" t="s">
        <v>201</v>
      </c>
      <c r="E58" s="59">
        <v>0</v>
      </c>
      <c r="F58" s="59">
        <v>0</v>
      </c>
      <c r="G58" s="59">
        <v>0</v>
      </c>
      <c r="H58" s="59">
        <v>94</v>
      </c>
      <c r="I58" s="59">
        <v>34</v>
      </c>
      <c r="J58" s="59">
        <v>3</v>
      </c>
    </row>
    <row r="59" spans="2:10" x14ac:dyDescent="0.25">
      <c r="B59" t="s">
        <v>202</v>
      </c>
      <c r="E59" s="59"/>
      <c r="F59" s="59"/>
      <c r="G59" s="59"/>
      <c r="H59" s="59"/>
      <c r="I59" s="59"/>
      <c r="J59" s="59"/>
    </row>
    <row r="60" spans="2:10" x14ac:dyDescent="0.25">
      <c r="B60" t="s">
        <v>203</v>
      </c>
      <c r="E60" s="59">
        <v>411.52</v>
      </c>
      <c r="F60" s="59">
        <v>18</v>
      </c>
      <c r="G60" s="59">
        <v>0</v>
      </c>
      <c r="H60" s="59">
        <v>0</v>
      </c>
      <c r="I60" s="59">
        <v>0</v>
      </c>
      <c r="J60" s="59"/>
    </row>
    <row r="61" spans="2:10" x14ac:dyDescent="0.25">
      <c r="E61" s="59"/>
      <c r="F61" s="59"/>
      <c r="G61" s="59"/>
      <c r="H61" s="59"/>
      <c r="I61" s="59"/>
      <c r="J61" s="59"/>
    </row>
    <row r="62" spans="2:10" x14ac:dyDescent="0.25">
      <c r="B62" t="s">
        <v>219</v>
      </c>
      <c r="E62" s="59"/>
      <c r="F62" s="59">
        <v>0</v>
      </c>
      <c r="G62" s="59">
        <v>28</v>
      </c>
      <c r="H62" s="59">
        <v>28</v>
      </c>
      <c r="I62" s="59">
        <v>26</v>
      </c>
      <c r="J62" s="59">
        <v>30</v>
      </c>
    </row>
    <row r="63" spans="2:10" x14ac:dyDescent="0.25">
      <c r="B63" t="s">
        <v>125</v>
      </c>
      <c r="E63" s="59">
        <v>63.63</v>
      </c>
      <c r="F63" s="59">
        <v>85</v>
      </c>
      <c r="G63" s="59">
        <v>73</v>
      </c>
      <c r="H63" s="59">
        <v>49</v>
      </c>
      <c r="I63" s="59">
        <v>56</v>
      </c>
      <c r="J63" s="59">
        <v>143</v>
      </c>
    </row>
    <row r="64" spans="2:10" x14ac:dyDescent="0.25">
      <c r="B64" t="s">
        <v>204</v>
      </c>
      <c r="E64" s="59"/>
      <c r="F64" s="59"/>
      <c r="G64" s="59"/>
      <c r="H64" s="59"/>
      <c r="I64" s="59"/>
      <c r="J64" s="59"/>
    </row>
    <row r="65" spans="1:10" x14ac:dyDescent="0.25">
      <c r="B65" s="30" t="s">
        <v>205</v>
      </c>
      <c r="C65" s="54"/>
      <c r="D65" s="54"/>
      <c r="E65" s="80">
        <v>96</v>
      </c>
      <c r="F65" s="80">
        <v>-798</v>
      </c>
      <c r="G65" s="80">
        <v>235</v>
      </c>
      <c r="H65" s="80">
        <v>-2801</v>
      </c>
      <c r="I65" s="80">
        <v>1164</v>
      </c>
      <c r="J65" s="80">
        <v>-1811</v>
      </c>
    </row>
    <row r="66" spans="1:10" x14ac:dyDescent="0.25">
      <c r="E66" s="59"/>
      <c r="F66" s="59"/>
      <c r="G66" s="59"/>
      <c r="H66" s="59"/>
      <c r="I66" s="59"/>
      <c r="J66" s="59"/>
    </row>
    <row r="67" spans="1:10" x14ac:dyDescent="0.25">
      <c r="A67" t="s">
        <v>14</v>
      </c>
      <c r="B67" s="1" t="s">
        <v>206</v>
      </c>
      <c r="E67" s="59"/>
      <c r="F67" s="59"/>
      <c r="G67" s="59"/>
      <c r="H67" s="59"/>
      <c r="I67" s="59"/>
      <c r="J67" s="59"/>
    </row>
    <row r="68" spans="1:10" x14ac:dyDescent="0.25">
      <c r="B68" t="s">
        <v>207</v>
      </c>
      <c r="E68" s="59">
        <v>78.989999999999995</v>
      </c>
      <c r="F68" s="59">
        <v>0</v>
      </c>
      <c r="G68" s="59">
        <v>0</v>
      </c>
      <c r="H68" s="59">
        <v>-12</v>
      </c>
      <c r="I68" s="59">
        <v>-7</v>
      </c>
      <c r="J68" s="59">
        <v>-7</v>
      </c>
    </row>
    <row r="69" spans="1:10" x14ac:dyDescent="0.25">
      <c r="B69" t="s">
        <v>208</v>
      </c>
      <c r="E69" s="59">
        <v>0</v>
      </c>
      <c r="F69" s="59">
        <v>-39</v>
      </c>
      <c r="G69" s="59">
        <v>693</v>
      </c>
      <c r="H69" s="59">
        <v>-550</v>
      </c>
      <c r="I69" s="59">
        <v>349</v>
      </c>
      <c r="J69" s="59">
        <v>1684</v>
      </c>
    </row>
    <row r="70" spans="1:10" x14ac:dyDescent="0.25">
      <c r="B70" t="s">
        <v>209</v>
      </c>
      <c r="E70" s="59">
        <v>-277.36</v>
      </c>
      <c r="F70" s="59">
        <v>-397</v>
      </c>
      <c r="G70" s="59">
        <v>-536</v>
      </c>
      <c r="H70" s="59">
        <v>-355</v>
      </c>
      <c r="I70" s="59">
        <v>-355</v>
      </c>
      <c r="J70" s="59">
        <v>-666</v>
      </c>
    </row>
    <row r="71" spans="1:10" x14ac:dyDescent="0.25">
      <c r="B71" t="s">
        <v>210</v>
      </c>
      <c r="E71" s="59">
        <v>0</v>
      </c>
      <c r="F71" s="59">
        <v>0</v>
      </c>
      <c r="G71" s="59">
        <v>233</v>
      </c>
      <c r="H71" s="59">
        <v>114</v>
      </c>
      <c r="I71" s="59">
        <v>-172</v>
      </c>
      <c r="J71" s="59">
        <v>-254</v>
      </c>
    </row>
    <row r="72" spans="1:10" x14ac:dyDescent="0.25">
      <c r="B72" t="s">
        <v>211</v>
      </c>
      <c r="E72" s="59">
        <v>-54.05</v>
      </c>
      <c r="F72" s="59">
        <v>-53</v>
      </c>
      <c r="G72" s="59">
        <v>-166</v>
      </c>
      <c r="H72" s="59">
        <v>-203</v>
      </c>
      <c r="I72" s="59">
        <v>-218</v>
      </c>
      <c r="J72" s="59">
        <v>-300</v>
      </c>
    </row>
    <row r="73" spans="1:10" x14ac:dyDescent="0.25">
      <c r="B73" s="30" t="s">
        <v>212</v>
      </c>
      <c r="C73" s="54"/>
      <c r="D73" s="54"/>
      <c r="E73" s="64">
        <f t="shared" ref="E73:J73" si="3">SUM(E68:E72)</f>
        <v>-252.42000000000002</v>
      </c>
      <c r="F73" s="64">
        <f t="shared" si="3"/>
        <v>-489</v>
      </c>
      <c r="G73" s="64">
        <f t="shared" si="3"/>
        <v>224</v>
      </c>
      <c r="H73" s="64">
        <f t="shared" si="3"/>
        <v>-1006</v>
      </c>
      <c r="I73" s="64">
        <f t="shared" si="3"/>
        <v>-403</v>
      </c>
      <c r="J73" s="64">
        <f t="shared" si="3"/>
        <v>457</v>
      </c>
    </row>
    <row r="74" spans="1:10" x14ac:dyDescent="0.25">
      <c r="E74" s="59"/>
      <c r="F74" s="59"/>
      <c r="G74" s="59"/>
      <c r="H74" s="59"/>
      <c r="I74" s="59"/>
      <c r="J74" s="59"/>
    </row>
    <row r="75" spans="1:10" x14ac:dyDescent="0.25">
      <c r="B75" t="s">
        <v>213</v>
      </c>
      <c r="E75" s="59">
        <v>-207</v>
      </c>
      <c r="F75" s="59">
        <v>-44</v>
      </c>
      <c r="G75" s="59">
        <v>-354</v>
      </c>
      <c r="H75" s="59">
        <v>104</v>
      </c>
      <c r="I75" s="59">
        <v>37</v>
      </c>
      <c r="J75" s="59">
        <v>16</v>
      </c>
    </row>
    <row r="76" spans="1:10" x14ac:dyDescent="0.25">
      <c r="B76" t="s">
        <v>214</v>
      </c>
      <c r="E76" s="59">
        <v>678</v>
      </c>
      <c r="F76" s="59">
        <v>472</v>
      </c>
      <c r="G76" s="59">
        <v>430</v>
      </c>
      <c r="H76" s="59">
        <v>75</v>
      </c>
      <c r="I76" s="59">
        <v>181</v>
      </c>
      <c r="J76" s="59">
        <v>219</v>
      </c>
    </row>
    <row r="77" spans="1:10" x14ac:dyDescent="0.25">
      <c r="B77" t="s">
        <v>215</v>
      </c>
      <c r="E77" s="59">
        <v>0</v>
      </c>
      <c r="F77" s="59">
        <v>0</v>
      </c>
      <c r="G77" s="59">
        <v>0</v>
      </c>
      <c r="H77" s="59">
        <v>0</v>
      </c>
      <c r="I77" s="59">
        <v>0</v>
      </c>
      <c r="J77" s="59"/>
    </row>
    <row r="78" spans="1:10" x14ac:dyDescent="0.25">
      <c r="B78" t="s">
        <v>216</v>
      </c>
      <c r="E78" s="59">
        <v>1.27</v>
      </c>
      <c r="F78" s="59">
        <v>2</v>
      </c>
      <c r="G78" s="59">
        <v>0</v>
      </c>
      <c r="H78" s="59">
        <v>2</v>
      </c>
      <c r="I78" s="59">
        <v>1</v>
      </c>
      <c r="J78" s="59">
        <v>-3</v>
      </c>
    </row>
    <row r="79" spans="1:10" ht="15.75" thickBot="1" x14ac:dyDescent="0.3">
      <c r="A79" t="s">
        <v>14</v>
      </c>
      <c r="B79" s="53" t="s">
        <v>217</v>
      </c>
      <c r="C79" s="61"/>
      <c r="D79" s="61"/>
      <c r="E79" s="109">
        <f t="shared" ref="E79:I79" si="4">SUM(E75:E78)</f>
        <v>472.27</v>
      </c>
      <c r="F79" s="109">
        <f t="shared" si="4"/>
        <v>430</v>
      </c>
      <c r="G79" s="109">
        <f t="shared" si="4"/>
        <v>76</v>
      </c>
      <c r="H79" s="109">
        <f t="shared" si="4"/>
        <v>181</v>
      </c>
      <c r="I79" s="109">
        <f t="shared" si="4"/>
        <v>219</v>
      </c>
      <c r="J79" s="109">
        <f>SUM(J75:J78)</f>
        <v>232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057A1-3558-4E0D-8F8D-5D3DEDA47C8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IS</vt:lpstr>
      <vt:lpstr>Revenue Drivers</vt:lpstr>
      <vt:lpstr>Cost Metrix</vt:lpstr>
      <vt:lpstr>DCF - Valuation</vt:lpstr>
      <vt:lpstr>Football Field Analysis</vt:lpstr>
      <vt:lpstr>WACC</vt:lpstr>
      <vt:lpstr>Ratios Analysis</vt:lpstr>
      <vt:lpstr>Common Size Statement</vt:lpstr>
      <vt:lpstr>Beta</vt:lpstr>
      <vt:lpstr>Rm</vt:lpstr>
      <vt:lpstr>BS</vt:lpstr>
      <vt:lpstr>CFS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Dell</cp:lastModifiedBy>
  <cp:lastPrinted>2024-01-27T11:59:04Z</cp:lastPrinted>
  <dcterms:created xsi:type="dcterms:W3CDTF">2012-08-17T09:55:37Z</dcterms:created>
  <dcterms:modified xsi:type="dcterms:W3CDTF">2024-02-08T11:24:11Z</dcterms:modified>
</cp:coreProperties>
</file>