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drawings/drawing2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ay/Downloads/GreatLearning_Projects/Excel/Insurance_Claim/"/>
    </mc:Choice>
  </mc:AlternateContent>
  <xr:revisionPtr revIDLastSave="0" documentId="13_ncr:1_{EDC6CA1B-24F1-A64C-88A3-64280E370A01}" xr6:coauthVersionLast="47" xr6:coauthVersionMax="47" xr10:uidLastSave="{00000000-0000-0000-0000-000000000000}"/>
  <bookViews>
    <workbookView xWindow="0" yWindow="0" windowWidth="28800" windowHeight="18000" activeTab="5" xr2:uid="{54BD834A-B605-43B6-8097-7EBFE0DCD6F2}"/>
  </bookViews>
  <sheets>
    <sheet name="Answers" sheetId="6" r:id="rId1"/>
    <sheet name="insurance" sheetId="1" r:id="rId2"/>
    <sheet name="Pivot_Analysis" sheetId="4" r:id="rId3"/>
    <sheet name="Statistics" sheetId="3" r:id="rId4"/>
    <sheet name="dataset" sheetId="8" r:id="rId5"/>
    <sheet name="regression" sheetId="9" r:id="rId6"/>
    <sheet name="Q3" sheetId="7" r:id="rId7"/>
  </sheets>
  <externalReferences>
    <externalReference r:id="rId8"/>
  </externalReferences>
  <definedNames>
    <definedName name="_xlchart.v1.0" hidden="1">insurance!$A$1</definedName>
    <definedName name="_xlchart.v1.1" hidden="1">insurance!$A$2:$A$1339</definedName>
    <definedName name="_xlchart.v1.10" hidden="1">insurance!$A$2:$A$1339</definedName>
    <definedName name="_xlchart.v1.11" hidden="1">insurance!$G$2:$G$1339</definedName>
    <definedName name="_xlchart.v1.12" hidden="1">insurance!$C$1</definedName>
    <definedName name="_xlchart.v1.13" hidden="1">insurance!$C$2:$C$1339</definedName>
    <definedName name="_xlchart.v1.14" hidden="1">insurance!$C$1</definedName>
    <definedName name="_xlchart.v1.15" hidden="1">insurance!$C$2:$C$1339</definedName>
    <definedName name="_xlchart.v1.16" hidden="1">insurance!$D$2:$D$1339</definedName>
    <definedName name="_xlchart.v1.2" hidden="1">insurance!$C$1</definedName>
    <definedName name="_xlchart.v1.3" hidden="1">insurance!$C$2:$C$1339</definedName>
    <definedName name="_xlchart.v1.4" hidden="1">insurance!$D$2:$D$1339</definedName>
    <definedName name="_xlchart.v1.5" hidden="1">insurance!$G$2:$G$1339</definedName>
    <definedName name="_xlchart.v1.6" hidden="1">insurance!$A$1</definedName>
    <definedName name="_xlchart.v1.7" hidden="1">insurance!$A$2:$A$1339</definedName>
    <definedName name="_xlchart.v1.8" hidden="1">insurance!$G$2:$G$1339</definedName>
    <definedName name="_xlchart.v1.9" hidden="1">insurance!$A$1</definedName>
  </definedNames>
  <calcPr calcId="191029"/>
  <pivotCaches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4" i="9" l="1"/>
  <c r="D124" i="7"/>
  <c r="E124" i="7"/>
  <c r="F124" i="7"/>
  <c r="G124" i="7"/>
  <c r="H124" i="7"/>
  <c r="I124" i="7"/>
  <c r="J124" i="7"/>
  <c r="D127" i="7"/>
  <c r="E127" i="7"/>
  <c r="F127" i="7"/>
  <c r="G127" i="7"/>
  <c r="H127" i="7"/>
  <c r="I127" i="7"/>
  <c r="J127" i="7"/>
  <c r="C127" i="7"/>
  <c r="C124" i="7"/>
  <c r="B127" i="7"/>
  <c r="B124" i="7"/>
  <c r="L102" i="7"/>
  <c r="K101" i="7"/>
  <c r="J100" i="7"/>
  <c r="I99" i="7"/>
  <c r="H98" i="7"/>
  <c r="G97" i="7"/>
  <c r="F96" i="7"/>
  <c r="E95" i="7"/>
  <c r="D94" i="7"/>
  <c r="C93" i="7"/>
  <c r="R87" i="7" l="1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E325" i="6"/>
  <c r="E324" i="6"/>
  <c r="E323" i="6"/>
  <c r="E322" i="6"/>
  <c r="E321" i="6"/>
  <c r="E320" i="6"/>
  <c r="I161" i="6"/>
  <c r="Q4" i="3"/>
  <c r="R4" i="3"/>
  <c r="I22" i="3"/>
  <c r="H21" i="3"/>
  <c r="G20" i="3"/>
  <c r="F19" i="3"/>
  <c r="E18" i="3"/>
  <c r="D17" i="3"/>
  <c r="C16" i="3"/>
  <c r="R10" i="3"/>
  <c r="Q10" i="3"/>
  <c r="O10" i="3"/>
  <c r="N10" i="3"/>
  <c r="M10" i="3"/>
  <c r="L10" i="3"/>
  <c r="K10" i="3"/>
  <c r="J10" i="3"/>
  <c r="I10" i="3"/>
  <c r="H10" i="3"/>
  <c r="G10" i="3"/>
  <c r="F10" i="3"/>
  <c r="E10" i="3"/>
  <c r="D10" i="3"/>
  <c r="R9" i="3"/>
  <c r="Q9" i="3"/>
  <c r="O9" i="3"/>
  <c r="N9" i="3"/>
  <c r="M9" i="3"/>
  <c r="L9" i="3"/>
  <c r="K9" i="3"/>
  <c r="J9" i="3"/>
  <c r="I9" i="3"/>
  <c r="H9" i="3"/>
  <c r="G9" i="3"/>
  <c r="F9" i="3"/>
  <c r="E9" i="3"/>
  <c r="D9" i="3"/>
  <c r="R8" i="3"/>
  <c r="Q8" i="3"/>
  <c r="O8" i="3"/>
  <c r="N8" i="3"/>
  <c r="M8" i="3"/>
  <c r="L8" i="3"/>
  <c r="K8" i="3"/>
  <c r="J8" i="3"/>
  <c r="I8" i="3"/>
  <c r="H8" i="3"/>
  <c r="G8" i="3"/>
  <c r="F8" i="3"/>
  <c r="E8" i="3"/>
  <c r="D8" i="3"/>
  <c r="R7" i="3"/>
  <c r="Q7" i="3"/>
  <c r="O7" i="3"/>
  <c r="N7" i="3"/>
  <c r="M7" i="3"/>
  <c r="L7" i="3"/>
  <c r="K7" i="3"/>
  <c r="J7" i="3"/>
  <c r="I7" i="3"/>
  <c r="H7" i="3"/>
  <c r="G7" i="3"/>
  <c r="F7" i="3"/>
  <c r="E7" i="3"/>
  <c r="D7" i="3"/>
  <c r="R6" i="3"/>
  <c r="Q6" i="3"/>
  <c r="O6" i="3"/>
  <c r="N6" i="3"/>
  <c r="M6" i="3"/>
  <c r="L6" i="3"/>
  <c r="K6" i="3"/>
  <c r="J6" i="3"/>
  <c r="I6" i="3"/>
  <c r="H6" i="3"/>
  <c r="G6" i="3"/>
  <c r="F6" i="3"/>
  <c r="E6" i="3"/>
  <c r="D6" i="3"/>
  <c r="R5" i="3"/>
  <c r="Q5" i="3"/>
  <c r="O5" i="3"/>
  <c r="N5" i="3"/>
  <c r="M5" i="3"/>
  <c r="L5" i="3"/>
  <c r="K5" i="3"/>
  <c r="J5" i="3"/>
  <c r="I5" i="3"/>
  <c r="H5" i="3"/>
  <c r="G5" i="3"/>
  <c r="F5" i="3"/>
  <c r="E5" i="3"/>
  <c r="D5" i="3"/>
  <c r="O4" i="3"/>
  <c r="N4" i="3"/>
  <c r="M4" i="3"/>
  <c r="L4" i="3"/>
  <c r="K4" i="3"/>
  <c r="J4" i="3"/>
  <c r="I4" i="3"/>
  <c r="H4" i="3"/>
  <c r="G4" i="3"/>
  <c r="F4" i="3"/>
  <c r="E4" i="3"/>
  <c r="D4" i="3"/>
  <c r="C5" i="3" a="1"/>
  <c r="C10" i="3" a="1"/>
  <c r="P4" i="3" a="1"/>
  <c r="P7" i="3" a="1"/>
  <c r="P6" i="3" a="1"/>
  <c r="C8" i="3" a="1"/>
  <c r="C6" i="3" a="1"/>
  <c r="P8" i="3" a="1"/>
  <c r="P10" i="3" a="1"/>
  <c r="C9" i="3" a="1"/>
  <c r="C7" i="3" a="1"/>
  <c r="C4" i="3" a="1"/>
  <c r="P5" i="3" a="1"/>
  <c r="P9" i="3" a="1"/>
  <c r="P4" i="3" l="1"/>
  <c r="P8" i="3"/>
  <c r="P9" i="3"/>
  <c r="P5" i="3"/>
  <c r="P6" i="3"/>
  <c r="P7" i="3"/>
  <c r="P10" i="3"/>
  <c r="C6" i="3"/>
  <c r="C7" i="3"/>
  <c r="C8" i="3"/>
  <c r="C9" i="3"/>
  <c r="C10" i="3"/>
  <c r="C4" i="3"/>
  <c r="C5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<sst xmlns="http://schemas.openxmlformats.org/spreadsheetml/2006/main" count="1026" uniqueCount="315">
  <si>
    <t>age</t>
  </si>
  <si>
    <t>sex</t>
  </si>
  <si>
    <t>bmi</t>
  </si>
  <si>
    <t>children</t>
  </si>
  <si>
    <t>smoker</t>
  </si>
  <si>
    <t>region</t>
  </si>
  <si>
    <t>female</t>
  </si>
  <si>
    <t>yes</t>
  </si>
  <si>
    <t>southwest</t>
  </si>
  <si>
    <t>male</t>
  </si>
  <si>
    <t>no</t>
  </si>
  <si>
    <t>southeast</t>
  </si>
  <si>
    <t>northwest</t>
  </si>
  <si>
    <t>northeast</t>
  </si>
  <si>
    <t>Grand Total</t>
  </si>
  <si>
    <t>Descriptive Analysis (Summarize)</t>
  </si>
  <si>
    <t>charges</t>
  </si>
  <si>
    <t>mean</t>
  </si>
  <si>
    <t xml:space="preserve">median </t>
  </si>
  <si>
    <t>Distributions</t>
  </si>
  <si>
    <t>Analysis</t>
  </si>
  <si>
    <t>mode</t>
  </si>
  <si>
    <t>sum</t>
  </si>
  <si>
    <t>count</t>
  </si>
  <si>
    <t>variance</t>
  </si>
  <si>
    <t>standard_deviation</t>
  </si>
  <si>
    <t>minimum</t>
  </si>
  <si>
    <t>maximum</t>
  </si>
  <si>
    <t>range</t>
  </si>
  <si>
    <t>quartiles</t>
  </si>
  <si>
    <t>skewness</t>
  </si>
  <si>
    <t>kurtosis</t>
  </si>
  <si>
    <t>covariance table</t>
  </si>
  <si>
    <t>correlation table</t>
  </si>
  <si>
    <t>Histogram</t>
  </si>
  <si>
    <t>Barplot</t>
  </si>
  <si>
    <t>Linechart</t>
  </si>
  <si>
    <t>Boxplot</t>
  </si>
  <si>
    <t>Scatterplot</t>
  </si>
  <si>
    <t/>
  </si>
  <si>
    <t>Descriptive analysis</t>
  </si>
  <si>
    <t>Diagnostic analysis</t>
  </si>
  <si>
    <t>Predictive analysis</t>
  </si>
  <si>
    <t>prescriptive analysis</t>
  </si>
  <si>
    <t>Q1</t>
  </si>
  <si>
    <t>Q2</t>
  </si>
  <si>
    <t>Q3</t>
  </si>
  <si>
    <t>IQR</t>
  </si>
  <si>
    <t>Bin</t>
  </si>
  <si>
    <t>More</t>
  </si>
  <si>
    <t>Frequency</t>
  </si>
  <si>
    <t>Count of smoker</t>
  </si>
  <si>
    <t>Sum of charges($)</t>
  </si>
  <si>
    <t>Questions</t>
  </si>
  <si>
    <t>Sum of bmi</t>
  </si>
  <si>
    <t>Calculating age interms of charges who smoked?</t>
  </si>
  <si>
    <t>no of charges in a particular age?</t>
  </si>
  <si>
    <t>sum of bmi of a particular age?</t>
  </si>
  <si>
    <t>sum of charges of a particular sex?</t>
  </si>
  <si>
    <t>sum of charges of a particular smoker?</t>
  </si>
  <si>
    <t>sum of charges in a particular region?</t>
  </si>
  <si>
    <t>sum of bmi in a particular region</t>
  </si>
  <si>
    <t>sum of charges in a particular children?</t>
  </si>
  <si>
    <t>sum of bmi in a particular children?</t>
  </si>
  <si>
    <t>sum of bmi of a particular sex?</t>
  </si>
  <si>
    <t>sum of bmi of a particular smoker?</t>
  </si>
  <si>
    <t>calulating age interms of charges who smoked?</t>
  </si>
  <si>
    <t>sum of bmi of a particular bmi?</t>
  </si>
  <si>
    <t>sum of bmi in a particular region?</t>
  </si>
  <si>
    <t>Q. 1</t>
  </si>
  <si>
    <t xml:space="preserve">Numeric </t>
  </si>
  <si>
    <t>Categorical</t>
  </si>
  <si>
    <t>a</t>
  </si>
  <si>
    <t>b</t>
  </si>
  <si>
    <t>c</t>
  </si>
  <si>
    <t xml:space="preserve">Make Histograms and box plots for continuous variables, do a correlation analysis. </t>
  </si>
  <si>
    <t xml:space="preserve">Identify the categorical and continuous variables </t>
  </si>
  <si>
    <t xml:space="preserve">Make relevant Pivot tables and charts for : </t>
  </si>
  <si>
    <t xml:space="preserve">i. Male/Female ratio and which gender has more smokers </t>
  </si>
  <si>
    <t xml:space="preserve">ii. Charges vs Age </t>
  </si>
  <si>
    <t xml:space="preserve">iii. Charges vs BMI </t>
  </si>
  <si>
    <t xml:space="preserve">iv. Charges for Smokers vs Non-smoker </t>
  </si>
  <si>
    <t xml:space="preserve">v. Region-wise Smokers vs non-smokers analysis with one or more pivot table and charts </t>
  </si>
  <si>
    <t xml:space="preserve">vi. Region-wise charges for smokers vs non-smokers </t>
  </si>
  <si>
    <t xml:space="preserve">vii. Has charges got something to do with no. of dependants ? </t>
  </si>
  <si>
    <t xml:space="preserve">viii. Do a similar dependants-charges analysis, Region-wise </t>
  </si>
  <si>
    <t xml:space="preserve">ix. Do atleast one more pivot table and chart of your own choice, if needed </t>
  </si>
  <si>
    <t>percentage of sex</t>
  </si>
  <si>
    <t xml:space="preserve">Results =&gt; </t>
  </si>
  <si>
    <t>smoke quitters : females are high compared to males in the ratio of 51:49</t>
  </si>
  <si>
    <t>In the market, the no of people who doesn't smoke and who does smoke in the ratio of 80:20</t>
  </si>
  <si>
    <t>smoke consumers : males are high compared to females in the ratio of 42:58</t>
  </si>
  <si>
    <t>we can conclude that males are not able to control cigrette habit while females are good at controlling cigrette habit</t>
  </si>
  <si>
    <t>by the data, the males are the starting point of smoke and females are the ending point of quitting smoke</t>
  </si>
  <si>
    <t>Count of charges($)</t>
  </si>
  <si>
    <t>there are 47 unique ages which are categorized in the form of sum of charges and counts of age</t>
  </si>
  <si>
    <t>we can say that,</t>
  </si>
  <si>
    <t>21th age having the least sum of charges of 132453.0012</t>
  </si>
  <si>
    <t>19th age having the highest sum of charges of 662857.8348</t>
  </si>
  <si>
    <t>the least frequency occurred at the age of 64 of 22 counts</t>
  </si>
  <si>
    <t>the highest frequency occur at the age of 18 of 69 counts</t>
  </si>
  <si>
    <t>Average of charges($)</t>
  </si>
  <si>
    <t>on an average, the age from 18 - 39 can charge upto $13270.42</t>
  </si>
  <si>
    <t>counts below average</t>
  </si>
  <si>
    <t>the most of the observation are lies in the region of  27 - 51</t>
  </si>
  <si>
    <t>the skewness is nearer to zero and kurtosis is negative (which is platokurtic)</t>
  </si>
  <si>
    <t>BMI_Categories</t>
  </si>
  <si>
    <t>Sum of the charges</t>
  </si>
  <si>
    <t>Max. of charges($)</t>
  </si>
  <si>
    <t>Min. of charges($)</t>
  </si>
  <si>
    <t>StdDev of charges($)</t>
  </si>
  <si>
    <t>Sex</t>
  </si>
  <si>
    <t>Smoker</t>
  </si>
  <si>
    <t>Region</t>
  </si>
  <si>
    <t>Age</t>
  </si>
  <si>
    <t>Bmi</t>
  </si>
  <si>
    <t>Children</t>
  </si>
  <si>
    <t>Charges</t>
  </si>
  <si>
    <t xml:space="preserve">Total </t>
  </si>
  <si>
    <t xml:space="preserve">Insights =&gt; </t>
  </si>
  <si>
    <t>There are high dependency of smoker and charges, we can say there is high chance of smokers can increase the charges</t>
  </si>
  <si>
    <t>and we can think of age as a factor which is somewhat correlated to smoker have higher chance of charges</t>
  </si>
  <si>
    <t xml:space="preserve"> </t>
  </si>
  <si>
    <t>Continuous</t>
  </si>
  <si>
    <t>Discrete</t>
  </si>
  <si>
    <t xml:space="preserve">3. Do a descriptive summary analysis for the edited data. </t>
  </si>
  <si>
    <t xml:space="preserve">Perform a Multiple Linear Regression analysis to identify which variables decide the insurance charges/billed insurance claim. </t>
  </si>
  <si>
    <t xml:space="preserve">Give your interpretation for the above anslysis, do another set of regression analysis by dropping insignificant variables, if needed. </t>
  </si>
  <si>
    <t>Regions</t>
  </si>
  <si>
    <t>NorthEast</t>
  </si>
  <si>
    <t>NorthWest</t>
  </si>
  <si>
    <t>SouthEast</t>
  </si>
  <si>
    <t>SouthWest</t>
  </si>
  <si>
    <t>NorthEast (1)</t>
  </si>
  <si>
    <t>SouthEast (2)</t>
  </si>
  <si>
    <t>NorthWest (3)</t>
  </si>
  <si>
    <t>SouthWest (4)</t>
  </si>
  <si>
    <t>Learning</t>
  </si>
  <si>
    <t>Research</t>
  </si>
  <si>
    <t>Practice</t>
  </si>
  <si>
    <t xml:space="preserve">R2 </t>
  </si>
  <si>
    <t>Adjusted R square</t>
  </si>
  <si>
    <t>Coefficient</t>
  </si>
  <si>
    <t>Constant</t>
  </si>
  <si>
    <t>Error</t>
  </si>
  <si>
    <t>Bias</t>
  </si>
  <si>
    <t>Bias / Unbiased</t>
  </si>
  <si>
    <t>Variance</t>
  </si>
  <si>
    <t>Random</t>
  </si>
  <si>
    <t xml:space="preserve">GreatLearning </t>
  </si>
  <si>
    <t>Week2 - Simple Linear Regression</t>
  </si>
  <si>
    <t>Additional material on linear regression (Self-study) only</t>
  </si>
  <si>
    <t>Descriptive Analysis</t>
  </si>
  <si>
    <t>Mean</t>
  </si>
  <si>
    <t>Underfit</t>
  </si>
  <si>
    <t>Overfit</t>
  </si>
  <si>
    <t>features/ functions</t>
  </si>
  <si>
    <t>Median</t>
  </si>
  <si>
    <t>x1 = age (independent) &amp; m1 = y / x1</t>
  </si>
  <si>
    <t>x2 = sex  (independent) &amp; m2 = y / x2</t>
  </si>
  <si>
    <t>x3 =  bmi  (independent) &amp; m3 = y / x3</t>
  </si>
  <si>
    <t>x4 = children  (independent) &amp; m4 = y / x4</t>
  </si>
  <si>
    <t>x5 = smoker  (independent) &amp; m5 = y / x5</t>
  </si>
  <si>
    <t>x6 = NorthEast  (independent) &amp; m6 = y / x6</t>
  </si>
  <si>
    <t>x7 = NorthWest  (independent) &amp; m7 = y / x7</t>
  </si>
  <si>
    <t>x8 = SouthEast  (independent) &amp; m8 = y / x8</t>
  </si>
  <si>
    <t>x9 = SouthWest (independent) &amp; m9 = y / x9</t>
  </si>
  <si>
    <t xml:space="preserve">Y  = </t>
  </si>
  <si>
    <t>M1X1 +</t>
  </si>
  <si>
    <t>M2X2 +</t>
  </si>
  <si>
    <t>M3X3 +</t>
  </si>
  <si>
    <t>M4X4 +</t>
  </si>
  <si>
    <t>M5X5 +</t>
  </si>
  <si>
    <t>M6X6 +</t>
  </si>
  <si>
    <t xml:space="preserve">M7X7 + </t>
  </si>
  <si>
    <t>M8X8 +</t>
  </si>
  <si>
    <t xml:space="preserve">M9X9 + </t>
  </si>
  <si>
    <t xml:space="preserve">C + </t>
  </si>
  <si>
    <t>Bestfit</t>
  </si>
  <si>
    <t>Week3 - Multiple Linear Regression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</si>
  <si>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</si>
  <si>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</si>
  <si>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</si>
  <si>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</si>
  <si>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</si>
  <si>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</si>
  <si>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</si>
  <si>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</si>
  <si>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</si>
  <si>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</si>
  <si>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</si>
  <si>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</si>
  <si>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</si>
  <si>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</si>
  <si>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</si>
  <si>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</si>
  <si>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</si>
  <si>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</si>
  <si>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</si>
  <si>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</si>
  <si>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</si>
  <si>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</si>
  <si>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RESIDUAL OUTPUT</t>
  </si>
  <si>
    <t>Observation</t>
  </si>
  <si>
    <t>Predicted charges</t>
  </si>
  <si>
    <t>Residuals</t>
  </si>
  <si>
    <t>Regression Analysis</t>
  </si>
  <si>
    <t>OVERALL FIT</t>
  </si>
  <si>
    <t>AIC</t>
  </si>
  <si>
    <t>AICc</t>
  </si>
  <si>
    <t>SBC</t>
  </si>
  <si>
    <t>Alpha</t>
  </si>
  <si>
    <t>p-value</t>
  </si>
  <si>
    <t>sig</t>
  </si>
  <si>
    <t>coeff</t>
  </si>
  <si>
    <t>std err</t>
  </si>
  <si>
    <t>t stat</t>
  </si>
  <si>
    <t>lower</t>
  </si>
  <si>
    <t>upper</t>
  </si>
  <si>
    <t>vif</t>
  </si>
  <si>
    <t>Stepwise Regression</t>
  </si>
  <si>
    <t>Step</t>
  </si>
  <si>
    <t>min p</t>
  </si>
  <si>
    <t>var #</t>
  </si>
  <si>
    <t>1a</t>
  </si>
  <si>
    <t>1b</t>
  </si>
  <si>
    <t>2a</t>
  </si>
  <si>
    <t>2b</t>
  </si>
  <si>
    <t>3a</t>
  </si>
  <si>
    <t>3b</t>
  </si>
  <si>
    <t>4a</t>
  </si>
  <si>
    <t>4b</t>
  </si>
  <si>
    <t>5a</t>
  </si>
  <si>
    <t>5b</t>
  </si>
  <si>
    <t>6a</t>
  </si>
  <si>
    <t>x</t>
  </si>
  <si>
    <t>PROBABILITY OUTPUT</t>
  </si>
  <si>
    <t>Percentile</t>
  </si>
  <si>
    <t>y = charges (dependent / Predictor)</t>
  </si>
  <si>
    <t xml:space="preserve">e </t>
  </si>
  <si>
    <t>What is the difference between simple linear &amp; multi linear regression</t>
  </si>
  <si>
    <t>Multiple linear regression is a broader class of regressions that encompasses linear and non-linear regressions with multiple explanatory variables</t>
  </si>
  <si>
    <t>Whereas linear regression only has one independent and one dependent variable impacting the slope of the relationship</t>
  </si>
  <si>
    <t>What is overfit</t>
  </si>
  <si>
    <t>What is underfit</t>
  </si>
  <si>
    <t>What is bestfit</t>
  </si>
  <si>
    <t>What is constant / y-intercept</t>
  </si>
  <si>
    <t>What is error and what are the categories?</t>
  </si>
  <si>
    <t>How can we relate whether correlation and regression?</t>
  </si>
  <si>
    <t>Equation</t>
  </si>
  <si>
    <t>What is residual</t>
  </si>
  <si>
    <t>what is adjusted r-squared</t>
  </si>
  <si>
    <t>what is standard error</t>
  </si>
  <si>
    <t>what is degree of freedom</t>
  </si>
  <si>
    <t>what is sum of squares</t>
  </si>
  <si>
    <t>what is mean sum of squares</t>
  </si>
  <si>
    <t>what is f-statistics</t>
  </si>
  <si>
    <t>what is significance level</t>
  </si>
  <si>
    <t>what is coefficient</t>
  </si>
  <si>
    <t>what is p-value</t>
  </si>
  <si>
    <t>what is t-statistics</t>
  </si>
  <si>
    <t>what is confidence interval</t>
  </si>
  <si>
    <t>what are the four assumptions of multiple regression</t>
  </si>
  <si>
    <t>linearity</t>
  </si>
  <si>
    <t>reliability of measurement</t>
  </si>
  <si>
    <t>homoscedasticity</t>
  </si>
  <si>
    <t>normality</t>
  </si>
  <si>
    <t>is a statistical measure that represents the proportion of the variance for a dependent variable that's explained by an independent variable or variables in a regression model</t>
  </si>
  <si>
    <t>What is r-squared (coefficient of determinant)</t>
  </si>
  <si>
    <t>to explain how much variability of one factor can be caused by its relationship to another factor. This coefficient is commonly known as R-squared (or R2), and is sometimes referred to as the "goodness of fit."</t>
  </si>
  <si>
    <t>the R-squared may need to be above 0.95 for a regression model to be considered reliable</t>
  </si>
  <si>
    <t>if the r squared is closely to 1 means it is a good fit line</t>
  </si>
  <si>
    <t>The  Covariance and Correlation gives us a notion of cause &amp; effect which is later termed as regression analysis</t>
  </si>
  <si>
    <t>Each independent coefficient value having an influence towards y (predictor)</t>
  </si>
  <si>
    <t xml:space="preserve">if we give one variable we wish to get predicted value </t>
  </si>
  <si>
    <t>Covariance - table</t>
  </si>
  <si>
    <t>Correlation - table</t>
  </si>
  <si>
    <t>m1</t>
  </si>
  <si>
    <t>m2</t>
  </si>
  <si>
    <t>c1</t>
  </si>
  <si>
    <t>c2</t>
  </si>
  <si>
    <t>m3</t>
  </si>
  <si>
    <t>m4</t>
  </si>
  <si>
    <t>m5</t>
  </si>
  <si>
    <t>m6</t>
  </si>
  <si>
    <t>m7</t>
  </si>
  <si>
    <t>m8</t>
  </si>
  <si>
    <t>m9</t>
  </si>
  <si>
    <t>c3</t>
  </si>
  <si>
    <t>c4</t>
  </si>
  <si>
    <t>c5</t>
  </si>
  <si>
    <t>c6</t>
  </si>
  <si>
    <t>c7</t>
  </si>
  <si>
    <t>c8</t>
  </si>
  <si>
    <t>c9</t>
  </si>
  <si>
    <t>Interpretation</t>
  </si>
  <si>
    <t>n &gt; 30</t>
  </si>
  <si>
    <t>good model</t>
  </si>
  <si>
    <t>𝜎/ √n</t>
  </si>
  <si>
    <t>the best fit line of the smoker and charges is Y = 23615.96353X + 8434.268298</t>
  </si>
  <si>
    <t>Quartiles</t>
  </si>
  <si>
    <t>the best fit line of the bmi and charges is Y = 393.8730308X + 1192.937209</t>
  </si>
  <si>
    <t>the best fit line of the age and charges is Y = 257.7226187X + 3165.885006</t>
  </si>
  <si>
    <t>the weight of insignificant independent variable which decreases by Nothwest(-1219.765824) and Southwest(-1126.465094)</t>
  </si>
  <si>
    <t>the highest weight of independent variable is smoker which boost upto 23615.96353</t>
  </si>
  <si>
    <t xml:space="preserve">the model explains the 75% variation in the insurance claims </t>
  </si>
  <si>
    <t xml:space="preserve">the uncover part which is residual of 25% </t>
  </si>
  <si>
    <t>we can reject the null hypothesis(h0)</t>
  </si>
  <si>
    <t>After dropping the northwest and southeast features we get</t>
  </si>
  <si>
    <t>we can drop insignificant variables which are nothwest and southwest features in our model</t>
  </si>
  <si>
    <t xml:space="preserve">After dropping the nothwest and southwest features </t>
  </si>
  <si>
    <t xml:space="preserve">After dropping the southeast and southwest features </t>
  </si>
  <si>
    <t>After dropping the northwest feature</t>
  </si>
  <si>
    <t>No dropped features list</t>
  </si>
  <si>
    <t>what is heteroskedicity and homoskedicity?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</si>
</sst>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0"/>
    <numFmt numFmtId="166" formatCode="0.00000E+00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rgb="FFFA7D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2" fillId="2" borderId="0" applyNumberFormat="0" applyBorder="0" applyAlignment="0" applyProtection="0"/>
    <xf numFmtId="9" fontId="8" fillId="0" borderId="0" applyFont="0" applyFill="0" applyBorder="0" applyAlignment="0" applyProtection="0"/>
    <xf numFmtId="0" fontId="9" fillId="9" borderId="0" applyNumberFormat="0" applyBorder="0" applyAlignment="0" applyProtection="0"/>
    <xf numFmtId="0" fontId="10" fillId="10" borderId="7" applyNumberFormat="0" applyAlignment="0" applyProtection="0"/>
    <xf numFmtId="0" fontId="1" fillId="11" borderId="0" applyNumberFormat="0" applyBorder="0" applyAlignment="0" applyProtection="0"/>
  </cellStyleXfs>
  <cellXfs count="79">
    <xf numFmtId="0" fontId="0" fillId="0" borderId="0" xfId="0"/>
    <xf numFmtId="0" fontId="0" fillId="0" borderId="0" xfId="0" pivotButton="1"/>
    <xf numFmtId="0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2" fillId="2" borderId="3" xfId="3" applyBorder="1" applyAlignment="1">
      <alignment horizontal="center"/>
    </xf>
    <xf numFmtId="0" fontId="0" fillId="0" borderId="0" xfId="0" applyFill="1" applyBorder="1" applyAlignment="1"/>
    <xf numFmtId="0" fontId="0" fillId="0" borderId="5" xfId="0" applyFill="1" applyBorder="1" applyAlignment="1"/>
    <xf numFmtId="0" fontId="7" fillId="0" borderId="6" xfId="0" applyFont="1" applyFill="1" applyBorder="1" applyAlignment="1">
      <alignment horizontal="center"/>
    </xf>
    <xf numFmtId="0" fontId="4" fillId="0" borderId="2" xfId="2"/>
    <xf numFmtId="0" fontId="7" fillId="0" borderId="4" xfId="0" applyFont="1" applyFill="1" applyBorder="1" applyAlignment="1">
      <alignment horizontal="center"/>
    </xf>
    <xf numFmtId="0" fontId="2" fillId="2" borderId="3" xfId="3" applyBorder="1" applyAlignment="1"/>
    <xf numFmtId="0" fontId="0" fillId="3" borderId="5" xfId="0" applyFill="1" applyBorder="1" applyAlignment="1"/>
    <xf numFmtId="0" fontId="0" fillId="5" borderId="0" xfId="0" applyFill="1"/>
    <xf numFmtId="10" fontId="0" fillId="0" borderId="0" xfId="0" applyNumberFormat="1"/>
    <xf numFmtId="9" fontId="0" fillId="0" borderId="0" xfId="0" applyNumberFormat="1"/>
    <xf numFmtId="0" fontId="0" fillId="7" borderId="0" xfId="0" applyFill="1"/>
    <xf numFmtId="0" fontId="0" fillId="6" borderId="0" xfId="0" applyFill="1"/>
    <xf numFmtId="164" fontId="0" fillId="0" borderId="0" xfId="0" applyNumberFormat="1"/>
    <xf numFmtId="0" fontId="0" fillId="8" borderId="0" xfId="0" applyNumberFormat="1" applyFill="1"/>
    <xf numFmtId="0" fontId="0" fillId="0" borderId="0" xfId="0" applyNumberFormat="1" applyFont="1" applyFill="1" applyBorder="1" applyAlignment="1" applyProtection="1"/>
    <xf numFmtId="0" fontId="0" fillId="8" borderId="0" xfId="0" applyFill="1"/>
    <xf numFmtId="2" fontId="0" fillId="0" borderId="0" xfId="0" applyNumberFormat="1" applyFont="1" applyFill="1" applyBorder="1" applyAlignment="1" applyProtection="1"/>
    <xf numFmtId="0" fontId="0" fillId="0" borderId="0" xfId="0"/>
    <xf numFmtId="0" fontId="4" fillId="0" borderId="2" xfId="2"/>
    <xf numFmtId="0" fontId="2" fillId="2" borderId="3" xfId="3" applyBorder="1" applyAlignment="1">
      <alignment horizontal="center"/>
    </xf>
    <xf numFmtId="0" fontId="3" fillId="0" borderId="1" xfId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/>
    <xf numFmtId="0" fontId="0" fillId="12" borderId="0" xfId="0" applyFill="1"/>
    <xf numFmtId="10" fontId="0" fillId="8" borderId="0" xfId="0" applyNumberFormat="1" applyFill="1"/>
    <xf numFmtId="10" fontId="0" fillId="0" borderId="0" xfId="0" applyNumberFormat="1" applyFont="1" applyFill="1" applyBorder="1" applyAlignment="1" applyProtection="1"/>
    <xf numFmtId="9" fontId="0" fillId="0" borderId="0" xfId="0" applyNumberFormat="1" applyFont="1" applyFill="1" applyBorder="1" applyAlignment="1" applyProtection="1"/>
    <xf numFmtId="9" fontId="0" fillId="0" borderId="0" xfId="4" applyFont="1"/>
    <xf numFmtId="0" fontId="0" fillId="13" borderId="0" xfId="0" applyFill="1"/>
    <xf numFmtId="0" fontId="9" fillId="9" borderId="0" xfId="5"/>
    <xf numFmtId="0" fontId="2" fillId="2" borderId="3" xfId="3" applyBorder="1"/>
    <xf numFmtId="0" fontId="10" fillId="10" borderId="7" xfId="6"/>
    <xf numFmtId="0" fontId="3" fillId="0" borderId="1" xfId="1"/>
    <xf numFmtId="0" fontId="1" fillId="2" borderId="3" xfId="3" applyFont="1" applyBorder="1" applyAlignment="1">
      <alignment horizontal="center"/>
    </xf>
    <xf numFmtId="0" fontId="0" fillId="0" borderId="0" xfId="0" applyAlignment="1">
      <alignment horizontal="centerContinuous" vertical="justify" shrinkToFit="1"/>
    </xf>
    <xf numFmtId="0" fontId="0" fillId="0" borderId="0" xfId="0" applyAlignment="1">
      <alignment horizontal="left"/>
    </xf>
    <xf numFmtId="0" fontId="1" fillId="11" borderId="0" xfId="7"/>
    <xf numFmtId="0" fontId="7" fillId="0" borderId="6" xfId="0" applyFont="1" applyFill="1" applyBorder="1" applyAlignment="1">
      <alignment horizontal="centerContinuous"/>
    </xf>
    <xf numFmtId="0" fontId="0" fillId="0" borderId="9" xfId="0" applyBorder="1"/>
    <xf numFmtId="0" fontId="0" fillId="0" borderId="10" xfId="0" applyBorder="1"/>
    <xf numFmtId="0" fontId="7" fillId="0" borderId="11" xfId="0" applyFont="1" applyBorder="1" applyAlignment="1">
      <alignment horizontal="center"/>
    </xf>
    <xf numFmtId="2" fontId="0" fillId="0" borderId="0" xfId="0" applyNumberFormat="1" applyFill="1" applyBorder="1" applyAlignment="1"/>
    <xf numFmtId="0" fontId="0" fillId="0" borderId="0" xfId="0" applyBorder="1"/>
    <xf numFmtId="0" fontId="7" fillId="0" borderId="0" xfId="0" applyFont="1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9" fillId="9" borderId="5" xfId="5" applyBorder="1" applyAlignment="1"/>
    <xf numFmtId="1" fontId="0" fillId="0" borderId="0" xfId="0" applyNumberFormat="1" applyFill="1" applyBorder="1" applyAlignment="1"/>
    <xf numFmtId="0" fontId="10" fillId="10" borderId="7" xfId="6" applyAlignment="1">
      <alignment horizontal="center"/>
    </xf>
    <xf numFmtId="0" fontId="3" fillId="0" borderId="1" xfId="1" applyAlignment="1"/>
    <xf numFmtId="165" fontId="9" fillId="9" borderId="0" xfId="5" applyNumberFormat="1" applyBorder="1" applyAlignment="1"/>
    <xf numFmtId="166" fontId="0" fillId="0" borderId="5" xfId="0" applyNumberFormat="1" applyFill="1" applyBorder="1" applyAlignment="1"/>
    <xf numFmtId="0" fontId="0" fillId="0" borderId="0" xfId="4" applyNumberFormat="1" applyFont="1" applyFill="1" applyBorder="1" applyAlignment="1"/>
    <xf numFmtId="0" fontId="0" fillId="0" borderId="0" xfId="0" applyAlignment="1">
      <alignment horizontal="right"/>
    </xf>
    <xf numFmtId="0" fontId="0" fillId="6" borderId="0" xfId="0" applyFill="1"/>
    <xf numFmtId="0" fontId="0" fillId="5" borderId="0" xfId="0" applyFill="1"/>
    <xf numFmtId="0" fontId="0" fillId="0" borderId="0" xfId="0" applyAlignment="1">
      <alignment horizontal="center"/>
    </xf>
    <xf numFmtId="0" fontId="0" fillId="0" borderId="0" xfId="0"/>
    <xf numFmtId="0" fontId="4" fillId="0" borderId="2" xfId="2"/>
    <xf numFmtId="0" fontId="0" fillId="4" borderId="0" xfId="0" applyFill="1"/>
    <xf numFmtId="0" fontId="2" fillId="2" borderId="3" xfId="3" applyBorder="1" applyAlignment="1">
      <alignment horizontal="center"/>
    </xf>
    <xf numFmtId="0" fontId="3" fillId="0" borderId="1" xfId="1" applyAlignment="1">
      <alignment horizontal="center"/>
    </xf>
    <xf numFmtId="0" fontId="5" fillId="0" borderId="2" xfId="2" applyFont="1"/>
    <xf numFmtId="0" fontId="1" fillId="2" borderId="19" xfId="3" applyFont="1" applyBorder="1" applyAlignment="1">
      <alignment horizontal="center"/>
    </xf>
    <xf numFmtId="0" fontId="2" fillId="2" borderId="8" xfId="3" applyBorder="1" applyAlignment="1">
      <alignment horizontal="center"/>
    </xf>
    <xf numFmtId="0" fontId="2" fillId="2" borderId="20" xfId="3" applyBorder="1" applyAlignment="1">
      <alignment horizontal="center"/>
    </xf>
  </cellXfs>
  <cellStyles count="8">
    <cellStyle name="20% - Accent1" xfId="3" builtinId="30"/>
    <cellStyle name="20% - Accent3" xfId="7" builtinId="38"/>
    <cellStyle name="Calculation" xfId="6" builtinId="22"/>
    <cellStyle name="Good" xfId="5" builtinId="26"/>
    <cellStyle name="Heading 1" xfId="1" builtinId="16"/>
    <cellStyle name="Heading 2" xfId="2" builtinId="17"/>
    <cellStyle name="Normal" xfId="0" builtinId="0"/>
    <cellStyle name="Per cent" xfId="4" builtinId="5"/>
  </cellStyles>
  <dxfs count="98"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numFmt numFmtId="14" formatCode="0.00%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numFmt numFmtId="14" formatCode="0.00%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numFmt numFmtId="14" formatCode="0.00%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numFmt numFmtId="13" formatCode="0%"/>
    </dxf>
    <dxf>
      <numFmt numFmtId="14" formatCode="0.00%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numFmt numFmtId="14" formatCode="0.00%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4" formatCode="0.00%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numFmt numFmtId="14" formatCode="0.00%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AD38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3.8396602710272579E-2"/>
                  <c:y val="-0.50052978527181335"/>
                </c:manualLayout>
              </c:layout>
              <c:numFmt formatCode="General" sourceLinked="0"/>
            </c:trendlineLbl>
          </c:trendline>
          <c:xVal>
            <c:numRef>
              <c:f>dataset!$A$2:$A$1339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'regression'!$C$85:$C$1422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-1723.0505343093266</c:v>
                </c:pt>
                <c:pt idx="2">
                  <c:v>-2257.5264907007249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1167.2107246777352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-1948.0251288517716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8409.53043363693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90.280275573416247</c:v>
                </c:pt>
                <c:pt idx="193">
                  <c:v>453.84232230288762</c:v>
                </c:pt>
                <c:pt idx="194">
                  <c:v>-2059.5002685433487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818.12068803133775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-7978.0069787632383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-4621.2308313426656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-1946.0411746461202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-1701.5545533276572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-7161.8120830556518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635.38719212444994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-9973.3992398241535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661.79476958114356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15.082534213536064</c:v>
                </c:pt>
                <c:pt idx="577">
                  <c:v>25301.456425142518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-3160.1473048212079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-1799.391609263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1790.6750034735226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21.036321367764913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-610.32345255284372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7251.8234631206215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620.52133460319669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8638.7219690408674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-4003.349791794295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954.37713344781673</c:v>
                </c:pt>
                <c:pt idx="939">
                  <c:v>-1020.2905119768657</c:v>
                </c:pt>
                <c:pt idx="940">
                  <c:v>1730.6544809702771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1501.8530506362547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5683.5924839613799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6462.9584896575179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-439.97982264443999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-9115.8567373554615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-803.57987308346856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1275.7679938823458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6822.32322631641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-3409.4700117318253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6684.670768753007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-1687.9164695714244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-459.66561780478582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1353.5564233582329</c:v>
                </c:pt>
                <c:pt idx="1293">
                  <c:v>-249.71893038952294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CE-D64E-A0C9-294BD1038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658479"/>
        <c:axId val="902374191"/>
      </c:scatterChart>
      <c:valAx>
        <c:axId val="461658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374191"/>
        <c:crosses val="autoZero"/>
        <c:crossBetween val="midCat"/>
      </c:valAx>
      <c:valAx>
        <c:axId val="9023741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65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sex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dataset!$B$2:$B$1339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dataset!$J$2:$J$1339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D0-3D48-960A-FAF7A977D1EA}"/>
            </c:ext>
          </c:extLst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dataset!$B$2:$B$1339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'regression'!$B$85:$B$1422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3448.6028343093267</c:v>
                </c:pt>
                <c:pt idx="2">
                  <c:v>6706.9884907007254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670.02627532226484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3085.0361288517715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-142.74199045436927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-614.51984677593919</c:v>
                </c:pt>
                <c:pt idx="36">
                  <c:v>16241.605215452462</c:v>
                </c:pt>
                <c:pt idx="37">
                  <c:v>703.58507421337481</c:v>
                </c:pt>
                <c:pt idx="38">
                  <c:v>33682.37843421632</c:v>
                </c:pt>
                <c:pt idx="39">
                  <c:v>39763.830566363067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2047.3733244265838</c:v>
                </c:pt>
                <c:pt idx="193">
                  <c:v>11590.499677697113</c:v>
                </c:pt>
                <c:pt idx="194">
                  <c:v>3196.9699685433488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1665.6153119686621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37501.172578763239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39004.925480865022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1956.1516384216309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400.92799970838439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9288.8384813426655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36052.948329997169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3337.5698746461203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2810.8893493424275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5776.0082533276573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11848.200783055652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996.64905787555017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32191.514139824154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3185.8792304188564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1649.917065786464</c:v>
                </c:pt>
                <c:pt idx="577">
                  <c:v>33269.618054857485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6526.8170048212078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2935.791009263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-163.39255347352264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33630.002466120503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1794.8395786322351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1741.8300525528437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248.9966562876325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39003.289036879381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1601.0431153968032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40034.836830959131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8676.7419917942952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1349.6250665521832</c:v>
                </c:pt>
                <c:pt idx="939">
                  <c:v>10507.934711976866</c:v>
                </c:pt>
                <c:pt idx="940">
                  <c:v>-608.78058097027701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126.61784936374534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33314.953516038622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35536.561510342479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7958.0051726444399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-95.968755923952813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-167.11524230108444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34425.345737355463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14778.035423083469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15920.828508891054</c:v>
                </c:pt>
                <c:pt idx="1080">
                  <c:v>-142.82612933551343</c:v>
                </c:pt>
                <c:pt idx="1081">
                  <c:v>5713.5367726150407</c:v>
                </c:pt>
                <c:pt idx="1082">
                  <c:v>4580.1345061176544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37818.874173683587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8080.1100117318256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34976.931231246992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2823.8571695714245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2180.0193178047857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161.78847664176715</c:v>
                </c:pt>
                <c:pt idx="1293">
                  <c:v>9551.6124803895236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D0-3D48-960A-FAF7A977D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574575"/>
        <c:axId val="407836847"/>
      </c:scatterChart>
      <c:valAx>
        <c:axId val="407574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7836847"/>
        <c:crosses val="autoZero"/>
        <c:crossBetween val="midCat"/>
      </c:valAx>
      <c:valAx>
        <c:axId val="4078368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757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bmi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dataset!$C$2:$C$1339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dataset!$J$2:$J$1339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10-AE46-8E99-9C340973FF5A}"/>
            </c:ext>
          </c:extLst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dataset!$C$2:$C$1339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'regression'!$B$85:$B$1422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3448.6028343093267</c:v>
                </c:pt>
                <c:pt idx="2">
                  <c:v>6706.9884907007254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670.02627532226484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3085.0361288517715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-142.74199045436927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-614.51984677593919</c:v>
                </c:pt>
                <c:pt idx="36">
                  <c:v>16241.605215452462</c:v>
                </c:pt>
                <c:pt idx="37">
                  <c:v>703.58507421337481</c:v>
                </c:pt>
                <c:pt idx="38">
                  <c:v>33682.37843421632</c:v>
                </c:pt>
                <c:pt idx="39">
                  <c:v>39763.830566363067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2047.3733244265838</c:v>
                </c:pt>
                <c:pt idx="193">
                  <c:v>11590.499677697113</c:v>
                </c:pt>
                <c:pt idx="194">
                  <c:v>3196.9699685433488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1665.6153119686621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37501.172578763239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39004.925480865022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1956.1516384216309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400.92799970838439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9288.8384813426655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36052.948329997169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3337.5698746461203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2810.8893493424275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5776.0082533276573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11848.200783055652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996.64905787555017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32191.514139824154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3185.8792304188564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1649.917065786464</c:v>
                </c:pt>
                <c:pt idx="577">
                  <c:v>33269.618054857485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6526.8170048212078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2935.791009263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-163.39255347352264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33630.002466120503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1794.8395786322351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1741.8300525528437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248.9966562876325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39003.289036879381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1601.0431153968032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40034.836830959131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8676.7419917942952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1349.6250665521832</c:v>
                </c:pt>
                <c:pt idx="939">
                  <c:v>10507.934711976866</c:v>
                </c:pt>
                <c:pt idx="940">
                  <c:v>-608.78058097027701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126.61784936374534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33314.953516038622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35536.561510342479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7958.0051726444399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-95.968755923952813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-167.11524230108444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34425.345737355463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14778.035423083469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15920.828508891054</c:v>
                </c:pt>
                <c:pt idx="1080">
                  <c:v>-142.82612933551343</c:v>
                </c:pt>
                <c:pt idx="1081">
                  <c:v>5713.5367726150407</c:v>
                </c:pt>
                <c:pt idx="1082">
                  <c:v>4580.1345061176544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37818.874173683587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8080.1100117318256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34976.931231246992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2823.8571695714245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2180.0193178047857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161.78847664176715</c:v>
                </c:pt>
                <c:pt idx="1293">
                  <c:v>9551.6124803895236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10-AE46-8E99-9C340973F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359503"/>
        <c:axId val="508361151"/>
      </c:scatterChart>
      <c:valAx>
        <c:axId val="508359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361151"/>
        <c:crosses val="autoZero"/>
        <c:crossBetween val="midCat"/>
      </c:valAx>
      <c:valAx>
        <c:axId val="5083611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359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children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dataset!$D$2:$D$1339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dataset!$J$2:$J$1339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C4-5D4C-BB54-59FE767800CD}"/>
            </c:ext>
          </c:extLst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dataset!$D$2:$D$1339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'regression'!$B$85:$B$1422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3448.6028343093267</c:v>
                </c:pt>
                <c:pt idx="2">
                  <c:v>6706.9884907007254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670.02627532226484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3085.0361288517715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-142.74199045436927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-614.51984677593919</c:v>
                </c:pt>
                <c:pt idx="36">
                  <c:v>16241.605215452462</c:v>
                </c:pt>
                <c:pt idx="37">
                  <c:v>703.58507421337481</c:v>
                </c:pt>
                <c:pt idx="38">
                  <c:v>33682.37843421632</c:v>
                </c:pt>
                <c:pt idx="39">
                  <c:v>39763.830566363067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2047.3733244265838</c:v>
                </c:pt>
                <c:pt idx="193">
                  <c:v>11590.499677697113</c:v>
                </c:pt>
                <c:pt idx="194">
                  <c:v>3196.9699685433488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1665.6153119686621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37501.172578763239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39004.925480865022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1956.1516384216309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400.92799970838439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9288.8384813426655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36052.948329997169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3337.5698746461203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2810.8893493424275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5776.0082533276573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11848.200783055652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996.64905787555017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32191.514139824154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3185.8792304188564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1649.917065786464</c:v>
                </c:pt>
                <c:pt idx="577">
                  <c:v>33269.618054857485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6526.8170048212078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2935.791009263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-163.39255347352264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33630.002466120503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1794.8395786322351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1741.8300525528437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248.9966562876325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39003.289036879381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1601.0431153968032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40034.836830959131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8676.7419917942952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1349.6250665521832</c:v>
                </c:pt>
                <c:pt idx="939">
                  <c:v>10507.934711976866</c:v>
                </c:pt>
                <c:pt idx="940">
                  <c:v>-608.78058097027701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126.61784936374534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33314.953516038622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35536.561510342479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7958.0051726444399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-95.968755923952813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-167.11524230108444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34425.345737355463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14778.035423083469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15920.828508891054</c:v>
                </c:pt>
                <c:pt idx="1080">
                  <c:v>-142.82612933551343</c:v>
                </c:pt>
                <c:pt idx="1081">
                  <c:v>5713.5367726150407</c:v>
                </c:pt>
                <c:pt idx="1082">
                  <c:v>4580.1345061176544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37818.874173683587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8080.1100117318256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34976.931231246992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2823.8571695714245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2180.0193178047857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161.78847664176715</c:v>
                </c:pt>
                <c:pt idx="1293">
                  <c:v>9551.6124803895236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C4-5D4C-BB54-59FE76780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587215"/>
        <c:axId val="579648623"/>
      </c:scatterChart>
      <c:valAx>
        <c:axId val="579587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648623"/>
        <c:crosses val="autoZero"/>
        <c:crossBetween val="midCat"/>
      </c:valAx>
      <c:valAx>
        <c:axId val="5796486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58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smoker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dataset!$E$2:$E$1339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dataset!$J$2:$J$1339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D4-7841-ABB7-FB3E5C9767FD}"/>
            </c:ext>
          </c:extLst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dataset!$E$2:$E$1339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'regression'!$B$85:$B$1422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3448.6028343093267</c:v>
                </c:pt>
                <c:pt idx="2">
                  <c:v>6706.9884907007254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670.02627532226484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3085.0361288517715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-142.74199045436927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-614.51984677593919</c:v>
                </c:pt>
                <c:pt idx="36">
                  <c:v>16241.605215452462</c:v>
                </c:pt>
                <c:pt idx="37">
                  <c:v>703.58507421337481</c:v>
                </c:pt>
                <c:pt idx="38">
                  <c:v>33682.37843421632</c:v>
                </c:pt>
                <c:pt idx="39">
                  <c:v>39763.830566363067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2047.3733244265838</c:v>
                </c:pt>
                <c:pt idx="193">
                  <c:v>11590.499677697113</c:v>
                </c:pt>
                <c:pt idx="194">
                  <c:v>3196.9699685433488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1665.6153119686621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37501.172578763239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39004.925480865022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1956.1516384216309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400.92799970838439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9288.8384813426655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36052.948329997169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3337.5698746461203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2810.8893493424275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5776.0082533276573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11848.200783055652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996.64905787555017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32191.514139824154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3185.8792304188564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1649.917065786464</c:v>
                </c:pt>
                <c:pt idx="577">
                  <c:v>33269.618054857485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6526.8170048212078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2935.791009263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-163.39255347352264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33630.002466120503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1794.8395786322351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1741.8300525528437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248.9966562876325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39003.289036879381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1601.0431153968032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40034.836830959131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8676.7419917942952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1349.6250665521832</c:v>
                </c:pt>
                <c:pt idx="939">
                  <c:v>10507.934711976866</c:v>
                </c:pt>
                <c:pt idx="940">
                  <c:v>-608.78058097027701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126.61784936374534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33314.953516038622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35536.561510342479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7958.0051726444399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-95.968755923952813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-167.11524230108444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34425.345737355463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14778.035423083469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15920.828508891054</c:v>
                </c:pt>
                <c:pt idx="1080">
                  <c:v>-142.82612933551343</c:v>
                </c:pt>
                <c:pt idx="1081">
                  <c:v>5713.5367726150407</c:v>
                </c:pt>
                <c:pt idx="1082">
                  <c:v>4580.1345061176544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37818.874173683587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8080.1100117318256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34976.931231246992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2823.8571695714245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2180.0193178047857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161.78847664176715</c:v>
                </c:pt>
                <c:pt idx="1293">
                  <c:v>9551.6124803895236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D4-7841-ABB7-FB3E5C976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766943"/>
        <c:axId val="579768591"/>
      </c:scatterChart>
      <c:valAx>
        <c:axId val="579766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68591"/>
        <c:crosses val="autoZero"/>
        <c:crossBetween val="midCat"/>
      </c:valAx>
      <c:valAx>
        <c:axId val="5797685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66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NorthEast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dataset!$F$2:$F$1339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dataset!$J$2:$J$1339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37B-EC49-B196-03730B6318E2}"/>
            </c:ext>
          </c:extLst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dataset!$F$2:$F$1339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'regression'!$B$85:$B$1422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3448.6028343093267</c:v>
                </c:pt>
                <c:pt idx="2">
                  <c:v>6706.9884907007254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670.02627532226484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3085.0361288517715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-142.74199045436927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-614.51984677593919</c:v>
                </c:pt>
                <c:pt idx="36">
                  <c:v>16241.605215452462</c:v>
                </c:pt>
                <c:pt idx="37">
                  <c:v>703.58507421337481</c:v>
                </c:pt>
                <c:pt idx="38">
                  <c:v>33682.37843421632</c:v>
                </c:pt>
                <c:pt idx="39">
                  <c:v>39763.830566363067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2047.3733244265838</c:v>
                </c:pt>
                <c:pt idx="193">
                  <c:v>11590.499677697113</c:v>
                </c:pt>
                <c:pt idx="194">
                  <c:v>3196.9699685433488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1665.6153119686621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37501.172578763239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39004.925480865022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1956.1516384216309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400.92799970838439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9288.8384813426655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36052.948329997169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3337.5698746461203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2810.8893493424275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5776.0082533276573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11848.200783055652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996.64905787555017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32191.514139824154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3185.8792304188564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1649.917065786464</c:v>
                </c:pt>
                <c:pt idx="577">
                  <c:v>33269.618054857485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6526.8170048212078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2935.791009263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-163.39255347352264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33630.002466120503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1794.8395786322351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1741.8300525528437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248.9966562876325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39003.289036879381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1601.0431153968032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40034.836830959131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8676.7419917942952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1349.6250665521832</c:v>
                </c:pt>
                <c:pt idx="939">
                  <c:v>10507.934711976866</c:v>
                </c:pt>
                <c:pt idx="940">
                  <c:v>-608.78058097027701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126.61784936374534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33314.953516038622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35536.561510342479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7958.0051726444399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-95.968755923952813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-167.11524230108444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34425.345737355463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14778.035423083469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15920.828508891054</c:v>
                </c:pt>
                <c:pt idx="1080">
                  <c:v>-142.82612933551343</c:v>
                </c:pt>
                <c:pt idx="1081">
                  <c:v>5713.5367726150407</c:v>
                </c:pt>
                <c:pt idx="1082">
                  <c:v>4580.1345061176544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37818.874173683587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8080.1100117318256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34976.931231246992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2823.8571695714245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2180.0193178047857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161.78847664176715</c:v>
                </c:pt>
                <c:pt idx="1293">
                  <c:v>9551.6124803895236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7B-EC49-B196-03730B631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516415"/>
        <c:axId val="579518063"/>
      </c:scatterChart>
      <c:valAx>
        <c:axId val="579516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NorthEast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518063"/>
        <c:crosses val="autoZero"/>
        <c:crossBetween val="midCat"/>
      </c:valAx>
      <c:valAx>
        <c:axId val="5795180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516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sex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1028498921927049"/>
                  <c:y val="-0.51763872546188838"/>
                </c:manualLayout>
              </c:layout>
              <c:numFmt formatCode="General" sourceLinked="0"/>
            </c:trendlineLbl>
          </c:trendline>
          <c:xVal>
            <c:numRef>
              <c:f>dataset!$B$2:$B$1339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'regression'!$C$85:$C$1422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-1723.0505343093266</c:v>
                </c:pt>
                <c:pt idx="2">
                  <c:v>-2257.5264907007249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1167.2107246777352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-1948.0251288517716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8409.53043363693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90.280275573416247</c:v>
                </c:pt>
                <c:pt idx="193">
                  <c:v>453.84232230288762</c:v>
                </c:pt>
                <c:pt idx="194">
                  <c:v>-2059.5002685433487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818.12068803133775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-7978.0069787632383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-4621.2308313426656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-1946.0411746461202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-1701.5545533276572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-7161.8120830556518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635.38719212444994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-9973.3992398241535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661.79476958114356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15.082534213536064</c:v>
                </c:pt>
                <c:pt idx="577">
                  <c:v>25301.456425142518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-3160.1473048212079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-1799.391609263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1790.6750034735226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21.036321367764913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-610.32345255284372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7251.8234631206215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620.52133460319669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8638.7219690408674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-4003.349791794295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954.37713344781673</c:v>
                </c:pt>
                <c:pt idx="939">
                  <c:v>-1020.2905119768657</c:v>
                </c:pt>
                <c:pt idx="940">
                  <c:v>1730.6544809702771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1501.8530506362547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5683.5924839613799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6462.9584896575179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-439.97982264443999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-9115.8567373554615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-803.57987308346856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1275.7679938823458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6822.32322631641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-3409.4700117318253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6684.670768753007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-1687.9164695714244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-459.66561780478582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1353.5564233582329</c:v>
                </c:pt>
                <c:pt idx="1293">
                  <c:v>-249.71893038952294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20-9A47-B1F6-59EED707F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732559"/>
        <c:axId val="579734207"/>
      </c:scatterChart>
      <c:valAx>
        <c:axId val="5797325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34207"/>
        <c:crosses val="autoZero"/>
        <c:crossBetween val="midCat"/>
      </c:valAx>
      <c:valAx>
        <c:axId val="5797342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3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bmi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7.9489976697766807E-2"/>
                  <c:y val="-0.51966051875379349"/>
                </c:manualLayout>
              </c:layout>
              <c:numFmt formatCode="General" sourceLinked="0"/>
            </c:trendlineLbl>
          </c:trendline>
          <c:xVal>
            <c:numRef>
              <c:f>dataset!$C$2:$C$1339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'regression'!$C$85:$C$1422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-1723.0505343093266</c:v>
                </c:pt>
                <c:pt idx="2">
                  <c:v>-2257.5264907007249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1167.2107246777352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-1948.0251288517716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8409.53043363693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90.280275573416247</c:v>
                </c:pt>
                <c:pt idx="193">
                  <c:v>453.84232230288762</c:v>
                </c:pt>
                <c:pt idx="194">
                  <c:v>-2059.5002685433487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818.12068803133775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-7978.0069787632383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-4621.2308313426656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-1946.0411746461202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-1701.5545533276572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-7161.8120830556518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635.38719212444994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-9973.3992398241535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661.79476958114356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15.082534213536064</c:v>
                </c:pt>
                <c:pt idx="577">
                  <c:v>25301.456425142518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-3160.1473048212079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-1799.391609263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1790.6750034735226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21.036321367764913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-610.32345255284372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7251.8234631206215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620.52133460319669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8638.7219690408674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-4003.349791794295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954.37713344781673</c:v>
                </c:pt>
                <c:pt idx="939">
                  <c:v>-1020.2905119768657</c:v>
                </c:pt>
                <c:pt idx="940">
                  <c:v>1730.6544809702771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1501.8530506362547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5683.5924839613799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6462.9584896575179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-439.97982264443999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-9115.8567373554615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-803.57987308346856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1275.7679938823458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6822.32322631641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-3409.4700117318253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6684.670768753007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-1687.9164695714244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-459.66561780478582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1353.5564233582329</c:v>
                </c:pt>
                <c:pt idx="1293">
                  <c:v>-249.71893038952294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F8-794B-8AD2-AD429F6F4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872383"/>
        <c:axId val="407595167"/>
      </c:scatterChart>
      <c:valAx>
        <c:axId val="840872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7595167"/>
        <c:crosses val="autoZero"/>
        <c:crossBetween val="midCat"/>
      </c:valAx>
      <c:valAx>
        <c:axId val="4075951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87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children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4161865338749885"/>
                  <c:y val="-0.52263721088987092"/>
                </c:manualLayout>
              </c:layout>
              <c:numFmt formatCode="General" sourceLinked="0"/>
            </c:trendlineLbl>
          </c:trendline>
          <c:xVal>
            <c:numRef>
              <c:f>dataset!$D$2:$D$1339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'regression'!$C$85:$C$1422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-1723.0505343093266</c:v>
                </c:pt>
                <c:pt idx="2">
                  <c:v>-2257.5264907007249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1167.2107246777352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-1948.0251288517716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8409.53043363693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90.280275573416247</c:v>
                </c:pt>
                <c:pt idx="193">
                  <c:v>453.84232230288762</c:v>
                </c:pt>
                <c:pt idx="194">
                  <c:v>-2059.5002685433487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818.12068803133775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-7978.0069787632383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-4621.2308313426656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-1946.0411746461202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-1701.5545533276572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-7161.8120830556518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635.38719212444994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-9973.3992398241535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661.79476958114356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15.082534213536064</c:v>
                </c:pt>
                <c:pt idx="577">
                  <c:v>25301.456425142518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-3160.1473048212079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-1799.391609263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1790.6750034735226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21.036321367764913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-610.32345255284372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7251.8234631206215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620.52133460319669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8638.7219690408674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-4003.349791794295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954.37713344781673</c:v>
                </c:pt>
                <c:pt idx="939">
                  <c:v>-1020.2905119768657</c:v>
                </c:pt>
                <c:pt idx="940">
                  <c:v>1730.6544809702771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1501.8530506362547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5683.5924839613799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6462.9584896575179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-439.97982264443999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-9115.8567373554615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-803.57987308346856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1275.7679938823458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6822.32322631641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-3409.4700117318253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6684.670768753007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-1687.9164695714244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-459.66561780478582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1353.5564233582329</c:v>
                </c:pt>
                <c:pt idx="1293">
                  <c:v>-249.71893038952294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4D-9E4A-B2FD-F791F3D58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604079"/>
        <c:axId val="585606431"/>
      </c:scatterChart>
      <c:valAx>
        <c:axId val="585604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606431"/>
        <c:crosses val="autoZero"/>
        <c:crossBetween val="midCat"/>
      </c:valAx>
      <c:valAx>
        <c:axId val="5856064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60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smoker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5122395832284002"/>
                  <c:y val="-0.47206516253837422"/>
                </c:manualLayout>
              </c:layout>
              <c:numFmt formatCode="General" sourceLinked="0"/>
            </c:trendlineLbl>
          </c:trendline>
          <c:xVal>
            <c:numRef>
              <c:f>dataset!$E$2:$E$1339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'regression'!$C$85:$C$1422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-1723.0505343093266</c:v>
                </c:pt>
                <c:pt idx="2">
                  <c:v>-2257.5264907007249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1167.2107246777352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-1948.0251288517716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8409.53043363693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90.280275573416247</c:v>
                </c:pt>
                <c:pt idx="193">
                  <c:v>453.84232230288762</c:v>
                </c:pt>
                <c:pt idx="194">
                  <c:v>-2059.5002685433487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818.12068803133775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-7978.0069787632383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-4621.2308313426656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-1946.0411746461202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-1701.5545533276572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-7161.8120830556518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635.38719212444994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-9973.3992398241535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661.79476958114356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15.082534213536064</c:v>
                </c:pt>
                <c:pt idx="577">
                  <c:v>25301.456425142518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-3160.1473048212079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-1799.391609263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1790.6750034735226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21.036321367764913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-610.32345255284372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7251.8234631206215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620.52133460319669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8638.7219690408674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-4003.349791794295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954.37713344781673</c:v>
                </c:pt>
                <c:pt idx="939">
                  <c:v>-1020.2905119768657</c:v>
                </c:pt>
                <c:pt idx="940">
                  <c:v>1730.6544809702771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1501.8530506362547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5683.5924839613799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6462.9584896575179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-439.97982264443999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-9115.8567373554615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-803.57987308346856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1275.7679938823458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6822.32322631641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-3409.4700117318253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6684.670768753007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-1687.9164695714244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-459.66561780478582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1353.5564233582329</c:v>
                </c:pt>
                <c:pt idx="1293">
                  <c:v>-249.71893038952294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B0-7C4B-A103-49DB8F512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466815"/>
        <c:axId val="399806111"/>
      </c:scatterChart>
      <c:valAx>
        <c:axId val="400466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806111"/>
        <c:crosses val="autoZero"/>
        <c:crossBetween val="midCat"/>
      </c:valAx>
      <c:valAx>
        <c:axId val="3998061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46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NorthEast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4610658718489383"/>
                  <c:y val="-0.49092039669351512"/>
                </c:manualLayout>
              </c:layout>
              <c:numFmt formatCode="General" sourceLinked="0"/>
            </c:trendlineLbl>
          </c:trendline>
          <c:xVal>
            <c:numRef>
              <c:f>dataset!$F$2:$F$1339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'regression'!$C$85:$C$1422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-1723.0505343093266</c:v>
                </c:pt>
                <c:pt idx="2">
                  <c:v>-2257.5264907007249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1167.2107246777352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-1948.0251288517716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8409.53043363693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90.280275573416247</c:v>
                </c:pt>
                <c:pt idx="193">
                  <c:v>453.84232230288762</c:v>
                </c:pt>
                <c:pt idx="194">
                  <c:v>-2059.5002685433487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818.12068803133775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-7978.0069787632383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-4621.2308313426656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-1946.0411746461202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-1701.5545533276572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-7161.8120830556518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635.38719212444994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-9973.3992398241535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661.79476958114356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15.082534213536064</c:v>
                </c:pt>
                <c:pt idx="577">
                  <c:v>25301.456425142518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-3160.1473048212079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-1799.391609263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1790.6750034735226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21.036321367764913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-610.32345255284372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7251.8234631206215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620.52133460319669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8638.7219690408674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-4003.349791794295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954.37713344781673</c:v>
                </c:pt>
                <c:pt idx="939">
                  <c:v>-1020.2905119768657</c:v>
                </c:pt>
                <c:pt idx="940">
                  <c:v>1730.6544809702771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1501.8530506362547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5683.5924839613799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6462.9584896575179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-439.97982264443999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-9115.8567373554615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-803.57987308346856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1275.7679938823458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6822.32322631641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-3409.4700117318253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6684.670768753007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-1687.9164695714244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-459.66561780478582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1353.5564233582329</c:v>
                </c:pt>
                <c:pt idx="1293">
                  <c:v>-249.71893038952294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17-7A4B-BDE5-880974D98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188703"/>
        <c:axId val="508191263"/>
      </c:scatterChart>
      <c:valAx>
        <c:axId val="508188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NorthEast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191263"/>
        <c:crosses val="autoZero"/>
        <c:crossBetween val="midCat"/>
      </c:valAx>
      <c:valAx>
        <c:axId val="5081912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18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NorthWest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401738616770553"/>
                  <c:y val="-0.51378871002634918"/>
                </c:manualLayout>
              </c:layout>
              <c:numFmt formatCode="General" sourceLinked="0"/>
            </c:trendlineLbl>
          </c:trendline>
          <c:xVal>
            <c:numRef>
              <c:f>dataset!$I$2:$I$1339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'regression'!$C$85:$C$1422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-1723.0505343093266</c:v>
                </c:pt>
                <c:pt idx="2">
                  <c:v>-2257.5264907007249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1167.2107246777352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-1948.0251288517716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8409.53043363693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90.280275573416247</c:v>
                </c:pt>
                <c:pt idx="193">
                  <c:v>453.84232230288762</c:v>
                </c:pt>
                <c:pt idx="194">
                  <c:v>-2059.5002685433487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818.12068803133775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-7978.0069787632383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-4621.2308313426656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-1946.0411746461202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-1701.5545533276572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-7161.8120830556518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635.38719212444994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-9973.3992398241535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661.79476958114356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15.082534213536064</c:v>
                </c:pt>
                <c:pt idx="577">
                  <c:v>25301.456425142518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-3160.1473048212079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-1799.391609263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1790.6750034735226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21.036321367764913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-610.32345255284372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7251.8234631206215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620.52133460319669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8638.7219690408674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-4003.349791794295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954.37713344781673</c:v>
                </c:pt>
                <c:pt idx="939">
                  <c:v>-1020.2905119768657</c:v>
                </c:pt>
                <c:pt idx="940">
                  <c:v>1730.6544809702771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1501.8530506362547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5683.5924839613799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6462.9584896575179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-439.97982264443999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-9115.8567373554615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-803.57987308346856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1275.7679938823458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6822.32322631641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-3409.4700117318253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6684.670768753007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-1687.9164695714244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-459.66561780478582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1353.5564233582329</c:v>
                </c:pt>
                <c:pt idx="1293">
                  <c:v>-249.71893038952294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D0-5948-BD06-3EA8B0101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673823"/>
        <c:axId val="585675471"/>
      </c:scatterChart>
      <c:valAx>
        <c:axId val="585673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NorthWest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675471"/>
        <c:crosses val="autoZero"/>
        <c:crossBetween val="midCat"/>
      </c:valAx>
      <c:valAx>
        <c:axId val="5856754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67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SouthEast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5393616502595153"/>
                  <c:y val="-0.48973104873942419"/>
                </c:manualLayout>
              </c:layout>
              <c:numFmt formatCode="General" sourceLinked="0"/>
            </c:trendlineLbl>
          </c:trendline>
          <c:xVal>
            <c:numRef>
              <c:f>dataset!$G$2:$G$1339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'regression'!$C$85:$C$1422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-1723.0505343093266</c:v>
                </c:pt>
                <c:pt idx="2">
                  <c:v>-2257.5264907007249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1167.2107246777352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-1948.0251288517716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8409.53043363693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90.280275573416247</c:v>
                </c:pt>
                <c:pt idx="193">
                  <c:v>453.84232230288762</c:v>
                </c:pt>
                <c:pt idx="194">
                  <c:v>-2059.5002685433487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818.12068803133775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-7978.0069787632383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-4621.2308313426656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-1946.0411746461202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-1701.5545533276572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-7161.8120830556518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635.38719212444994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-9973.3992398241535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661.79476958114356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15.082534213536064</c:v>
                </c:pt>
                <c:pt idx="577">
                  <c:v>25301.456425142518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-3160.1473048212079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-1799.391609263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1790.6750034735226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21.036321367764913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-610.32345255284372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7251.8234631206215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620.52133460319669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8638.7219690408674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-4003.349791794295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954.37713344781673</c:v>
                </c:pt>
                <c:pt idx="939">
                  <c:v>-1020.2905119768657</c:v>
                </c:pt>
                <c:pt idx="940">
                  <c:v>1730.6544809702771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1501.8530506362547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5683.5924839613799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6462.9584896575179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-439.97982264443999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-9115.8567373554615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-803.57987308346856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1275.7679938823458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6822.32322631641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-3409.4700117318253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6684.670768753007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-1687.9164695714244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-459.66561780478582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1353.5564233582329</c:v>
                </c:pt>
                <c:pt idx="1293">
                  <c:v>-249.71893038952294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B7-1446-87C0-6D40537C5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180767"/>
        <c:axId val="508218639"/>
      </c:scatterChart>
      <c:valAx>
        <c:axId val="508180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218639"/>
        <c:crosses val="autoZero"/>
        <c:crossBetween val="midCat"/>
      </c:valAx>
      <c:valAx>
        <c:axId val="5082186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18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SouthWest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5905353616389772"/>
                  <c:y val="-0.48973104873942419"/>
                </c:manualLayout>
              </c:layout>
              <c:numFmt formatCode="General" sourceLinked="0"/>
            </c:trendlineLbl>
          </c:trendline>
          <c:xVal>
            <c:numRef>
              <c:f>dataset!$H$2:$H$1339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'regression'!$C$85:$C$1422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-1723.0505343093266</c:v>
                </c:pt>
                <c:pt idx="2">
                  <c:v>-2257.5264907007249</c:v>
                </c:pt>
                <c:pt idx="3">
                  <c:v>18229.640447020352</c:v>
                </c:pt>
                <c:pt idx="4">
                  <c:v>-1725.6381864892364</c:v>
                </c:pt>
                <c:pt idx="5">
                  <c:v>36.795800954221249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-2096.5632198291787</c:v>
                </c:pt>
                <c:pt idx="9">
                  <c:v>17038.499402046866</c:v>
                </c:pt>
                <c:pt idx="10">
                  <c:v>-523.88743154760732</c:v>
                </c:pt>
                <c:pt idx="11">
                  <c:v>-7908.7385691023483</c:v>
                </c:pt>
                <c:pt idx="12">
                  <c:v>-2719.2039857087557</c:v>
                </c:pt>
                <c:pt idx="13">
                  <c:v>-3826.3606393201062</c:v>
                </c:pt>
                <c:pt idx="14">
                  <c:v>7642.7564239042331</c:v>
                </c:pt>
                <c:pt idx="15">
                  <c:v>1167.2107246777352</c:v>
                </c:pt>
                <c:pt idx="16">
                  <c:v>-1536.5306030656739</c:v>
                </c:pt>
                <c:pt idx="17">
                  <c:v>469.26047585283413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-2456.6559233319658</c:v>
                </c:pt>
                <c:pt idx="21">
                  <c:v>-2122.7334507927508</c:v>
                </c:pt>
                <c:pt idx="22">
                  <c:v>-1948.0251288517716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2917.9341404543693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587.4383487256905</c:v>
                </c:pt>
                <c:pt idx="32">
                  <c:v>627.68037024273644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2239.9535967759393</c:v>
                </c:pt>
                <c:pt idx="36">
                  <c:v>-629.41186545246273</c:v>
                </c:pt>
                <c:pt idx="37">
                  <c:v>1598.7149257866254</c:v>
                </c:pt>
                <c:pt idx="38">
                  <c:v>6091.8978657836778</c:v>
                </c:pt>
                <c:pt idx="39">
                  <c:v>8409.53043363693</c:v>
                </c:pt>
                <c:pt idx="40">
                  <c:v>-202.49775077748745</c:v>
                </c:pt>
                <c:pt idx="41">
                  <c:v>-3414.8848991660925</c:v>
                </c:pt>
                <c:pt idx="42">
                  <c:v>983.10776612564314</c:v>
                </c:pt>
                <c:pt idx="43">
                  <c:v>-1614.5248798389821</c:v>
                </c:pt>
                <c:pt idx="44">
                  <c:v>-4653.6349622876605</c:v>
                </c:pt>
                <c:pt idx="45">
                  <c:v>6881.1722276246765</c:v>
                </c:pt>
                <c:pt idx="46">
                  <c:v>-3357.4353936664484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6303.57763944209</c:v>
                </c:pt>
                <c:pt idx="50">
                  <c:v>-2557.5118043912303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-1097.593872462221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-4066.8785415369593</c:v>
                </c:pt>
                <c:pt idx="60">
                  <c:v>-1075.5873497836255</c:v>
                </c:pt>
                <c:pt idx="61">
                  <c:v>-2131.1252576209663</c:v>
                </c:pt>
                <c:pt idx="62">
                  <c:v>17297.049593259813</c:v>
                </c:pt>
                <c:pt idx="63">
                  <c:v>-39.316510000160633</c:v>
                </c:pt>
                <c:pt idx="64">
                  <c:v>-9587.1325470229604</c:v>
                </c:pt>
                <c:pt idx="65">
                  <c:v>-41.157940094850801</c:v>
                </c:pt>
                <c:pt idx="66">
                  <c:v>-2748.0410637923014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-1137.7521467500746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-1040.0953355219485</c:v>
                </c:pt>
                <c:pt idx="77">
                  <c:v>-2808.1821251273172</c:v>
                </c:pt>
                <c:pt idx="78">
                  <c:v>-4458.8756506339323</c:v>
                </c:pt>
                <c:pt idx="79">
                  <c:v>-2850.0958267207589</c:v>
                </c:pt>
                <c:pt idx="80">
                  <c:v>-1046.1973885720372</c:v>
                </c:pt>
                <c:pt idx="81">
                  <c:v>-4670.7275095044579</c:v>
                </c:pt>
                <c:pt idx="82">
                  <c:v>7534.7062172267324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</c:v>
                </c:pt>
                <c:pt idx="86">
                  <c:v>6811.8272245364205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-3788.1981608213523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-3687.4917154796472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-626.61356949011042</c:v>
                </c:pt>
                <c:pt idx="102">
                  <c:v>18445.160075004496</c:v>
                </c:pt>
                <c:pt idx="103">
                  <c:v>-7176.1893886197504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241.24324156143757</c:v>
                </c:pt>
                <c:pt idx="107">
                  <c:v>-1801.743051517039</c:v>
                </c:pt>
                <c:pt idx="108">
                  <c:v>-953.90473251982439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-2148.5872553642766</c:v>
                </c:pt>
                <c:pt idx="115">
                  <c:v>17219.230537319469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1096.2185666326031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-1118.0110019918684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609.13623850836484</c:v>
                </c:pt>
                <c:pt idx="131">
                  <c:v>2410.8359538060686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-505.06088676778018</c:v>
                </c:pt>
                <c:pt idx="135">
                  <c:v>-35.974004050688109</c:v>
                </c:pt>
                <c:pt idx="136">
                  <c:v>-2155.4215394761127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22156.923409039187</c:v>
                </c:pt>
                <c:pt idx="141">
                  <c:v>-2613.7589833740567</c:v>
                </c:pt>
                <c:pt idx="142">
                  <c:v>-10036.876009885029</c:v>
                </c:pt>
                <c:pt idx="143">
                  <c:v>12094.940177987275</c:v>
                </c:pt>
                <c:pt idx="144">
                  <c:v>-9543.3810025886996</c:v>
                </c:pt>
                <c:pt idx="145">
                  <c:v>-3934.4003371843773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-116.442399043455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-3972.363624849977</c:v>
                </c:pt>
                <c:pt idx="153">
                  <c:v>-10660.167483199559</c:v>
                </c:pt>
                <c:pt idx="154">
                  <c:v>-369.89199940782873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8151.8164724104936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-1067.6552579194195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2123.6824910935934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3727.7074702610471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-2726.7440177788558</c:v>
                </c:pt>
                <c:pt idx="180">
                  <c:v>-438.20936818119299</c:v>
                </c:pt>
                <c:pt idx="181">
                  <c:v>-3002.3579243401909</c:v>
                </c:pt>
                <c:pt idx="182">
                  <c:v>2231.0246447570062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-822.39696275061715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90.280275573416247</c:v>
                </c:pt>
                <c:pt idx="193">
                  <c:v>453.84232230288762</c:v>
                </c:pt>
                <c:pt idx="194">
                  <c:v>-2059.5002685433487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797.60269462340511</c:v>
                </c:pt>
                <c:pt idx="205">
                  <c:v>-1187.1115803087259</c:v>
                </c:pt>
                <c:pt idx="206">
                  <c:v>738.94200992043261</c:v>
                </c:pt>
                <c:pt idx="207">
                  <c:v>-10144.78783862065</c:v>
                </c:pt>
                <c:pt idx="208">
                  <c:v>-188.76346720959555</c:v>
                </c:pt>
                <c:pt idx="209">
                  <c:v>-6054.7381034556665</c:v>
                </c:pt>
                <c:pt idx="210">
                  <c:v>-1796.0376381906683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-298.91422088168838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818.12068803133775</c:v>
                </c:pt>
                <c:pt idx="218">
                  <c:v>-935.8964176014847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-2388.1459408726623</c:v>
                </c:pt>
                <c:pt idx="222">
                  <c:v>-1809.6353609932603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-1953.4320483866577</c:v>
                </c:pt>
                <c:pt idx="226">
                  <c:v>-4307.3103305241793</c:v>
                </c:pt>
                <c:pt idx="227">
                  <c:v>8087.6317775585467</c:v>
                </c:pt>
                <c:pt idx="228">
                  <c:v>-2440.281677992115</c:v>
                </c:pt>
                <c:pt idx="229">
                  <c:v>-364.00565292328974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3708.4603949854736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-10192.841847382835</c:v>
                </c:pt>
                <c:pt idx="236">
                  <c:v>899.27196486501271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-4429.3365162708769</c:v>
                </c:pt>
                <c:pt idx="240">
                  <c:v>7304.7111916876129</c:v>
                </c:pt>
                <c:pt idx="241">
                  <c:v>832.80595160964913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-7978.0069787632383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-3236.2213224309389</c:v>
                </c:pt>
                <c:pt idx="248">
                  <c:v>2417.0835030378448</c:v>
                </c:pt>
                <c:pt idx="249">
                  <c:v>-1642.0539015439972</c:v>
                </c:pt>
                <c:pt idx="250">
                  <c:v>-10388.296755252457</c:v>
                </c:pt>
                <c:pt idx="251">
                  <c:v>8300.3795191349782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828.62795032671784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-1040.0277387068818</c:v>
                </c:pt>
                <c:pt idx="268">
                  <c:v>-1806.7217815140139</c:v>
                </c:pt>
                <c:pt idx="269">
                  <c:v>-473.88712522097012</c:v>
                </c:pt>
                <c:pt idx="270">
                  <c:v>-236.7153384216308</c:v>
                </c:pt>
                <c:pt idx="271">
                  <c:v>6643.9725542939341</c:v>
                </c:pt>
                <c:pt idx="272">
                  <c:v>-4360.7096656241947</c:v>
                </c:pt>
                <c:pt idx="273">
                  <c:v>-943.35905533982441</c:v>
                </c:pt>
                <c:pt idx="274">
                  <c:v>-820.2021254253832</c:v>
                </c:pt>
                <c:pt idx="275">
                  <c:v>-391.41594943475502</c:v>
                </c:pt>
                <c:pt idx="276">
                  <c:v>2402.7698502916155</c:v>
                </c:pt>
                <c:pt idx="277">
                  <c:v>1155.81788890297</c:v>
                </c:pt>
                <c:pt idx="278">
                  <c:v>-854.8196953402603</c:v>
                </c:pt>
                <c:pt idx="279">
                  <c:v>1940.5066411514417</c:v>
                </c:pt>
                <c:pt idx="280">
                  <c:v>-9866.3037279254822</c:v>
                </c:pt>
                <c:pt idx="281">
                  <c:v>7714.3696254615861</c:v>
                </c:pt>
                <c:pt idx="282">
                  <c:v>-1251.2146607789264</c:v>
                </c:pt>
                <c:pt idx="283">
                  <c:v>-1773.1292382592255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14369.631711804794</c:v>
                </c:pt>
                <c:pt idx="292">
                  <c:v>8549.2962618676975</c:v>
                </c:pt>
                <c:pt idx="293">
                  <c:v>-296.08266333103529</c:v>
                </c:pt>
                <c:pt idx="294">
                  <c:v>-2.2640787884638485</c:v>
                </c:pt>
                <c:pt idx="295">
                  <c:v>1352.949191376842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6266.7259592921619</c:v>
                </c:pt>
                <c:pt idx="299">
                  <c:v>-1059.5147316310449</c:v>
                </c:pt>
                <c:pt idx="300">
                  <c:v>-1201.5145382082483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-2013.3403049466988</c:v>
                </c:pt>
                <c:pt idx="304">
                  <c:v>-2936.3678546709834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-2361.91960456384</c:v>
                </c:pt>
                <c:pt idx="308">
                  <c:v>-2709.2009217458035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1377.6165650706782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-2842.0902289402075</c:v>
                </c:pt>
                <c:pt idx="316">
                  <c:v>-2508.4610154175407</c:v>
                </c:pt>
                <c:pt idx="317">
                  <c:v>-2482.3902935497536</c:v>
                </c:pt>
                <c:pt idx="318">
                  <c:v>-965.98551112312998</c:v>
                </c:pt>
                <c:pt idx="319">
                  <c:v>-4621.2308313426656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-4892.9345671623632</c:v>
                </c:pt>
                <c:pt idx="324">
                  <c:v>-778.90123493479496</c:v>
                </c:pt>
                <c:pt idx="325">
                  <c:v>-3647.888496478432</c:v>
                </c:pt>
                <c:pt idx="326">
                  <c:v>1252.1474035899055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-550.72157811230682</c:v>
                </c:pt>
                <c:pt idx="334">
                  <c:v>6971.3006837837747</c:v>
                </c:pt>
                <c:pt idx="335">
                  <c:v>-1288.2737851011043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5866.1486700028327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399.47227694768844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-926.55804881537915</c:v>
                </c:pt>
                <c:pt idx="346">
                  <c:v>-3558.5522056681421</c:v>
                </c:pt>
                <c:pt idx="347">
                  <c:v>-3196.9879869582819</c:v>
                </c:pt>
                <c:pt idx="348">
                  <c:v>-1419.3999429749638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-648.55667367267006</c:v>
                </c:pt>
                <c:pt idx="353">
                  <c:v>4043.5991293157786</c:v>
                </c:pt>
                <c:pt idx="354">
                  <c:v>9498.8586256598082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-5181.1368642391708</c:v>
                </c:pt>
                <c:pt idx="359">
                  <c:v>2905.8244793134036</c:v>
                </c:pt>
                <c:pt idx="360">
                  <c:v>-2254.2669875538904</c:v>
                </c:pt>
                <c:pt idx="361">
                  <c:v>-2029.8992922237867</c:v>
                </c:pt>
                <c:pt idx="362">
                  <c:v>-9346.207616009624</c:v>
                </c:pt>
                <c:pt idx="363">
                  <c:v>672.17744370842047</c:v>
                </c:pt>
                <c:pt idx="364">
                  <c:v>2384.1415324311693</c:v>
                </c:pt>
                <c:pt idx="365">
                  <c:v>-1784.9505454536284</c:v>
                </c:pt>
                <c:pt idx="366">
                  <c:v>-1397.6023530018065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-809.67603532688054</c:v>
                </c:pt>
                <c:pt idx="370">
                  <c:v>2884.7131341610093</c:v>
                </c:pt>
                <c:pt idx="371">
                  <c:v>1786.742707769401</c:v>
                </c:pt>
                <c:pt idx="372">
                  <c:v>-2931.4702800179393</c:v>
                </c:pt>
                <c:pt idx="373">
                  <c:v>6477.8575048843704</c:v>
                </c:pt>
                <c:pt idx="374">
                  <c:v>-1946.0411746461202</c:v>
                </c:pt>
                <c:pt idx="375">
                  <c:v>-9033.3269464028526</c:v>
                </c:pt>
                <c:pt idx="376">
                  <c:v>-10136.490310523386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-10879.757584134904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611.66088794479765</c:v>
                </c:pt>
                <c:pt idx="385">
                  <c:v>-2256.7625755593635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-3508.1502017130915</c:v>
                </c:pt>
                <c:pt idx="391">
                  <c:v>-3146.7084912715036</c:v>
                </c:pt>
                <c:pt idx="392">
                  <c:v>-2436.6301301723834</c:v>
                </c:pt>
                <c:pt idx="393">
                  <c:v>-2335.1841546166997</c:v>
                </c:pt>
                <c:pt idx="394">
                  <c:v>-2372.7982824791943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13775.608360657572</c:v>
                </c:pt>
                <c:pt idx="398">
                  <c:v>1945.175861737107</c:v>
                </c:pt>
                <c:pt idx="399">
                  <c:v>-2965.1995444429986</c:v>
                </c:pt>
                <c:pt idx="400">
                  <c:v>2076.3274436799875</c:v>
                </c:pt>
                <c:pt idx="401">
                  <c:v>-7477.4272450414701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</c:v>
                </c:pt>
                <c:pt idx="405">
                  <c:v>-3990.3373956571922</c:v>
                </c:pt>
                <c:pt idx="406">
                  <c:v>436.606034543026</c:v>
                </c:pt>
                <c:pt idx="407">
                  <c:v>885.54594784772598</c:v>
                </c:pt>
                <c:pt idx="408">
                  <c:v>1406.5950128225759</c:v>
                </c:pt>
                <c:pt idx="409">
                  <c:v>-1701.5545533276572</c:v>
                </c:pt>
                <c:pt idx="410">
                  <c:v>3234.7847676598635</c:v>
                </c:pt>
                <c:pt idx="411">
                  <c:v>-10955.945906353401</c:v>
                </c:pt>
                <c:pt idx="412">
                  <c:v>-10916.049606853316</c:v>
                </c:pt>
                <c:pt idx="413">
                  <c:v>1204.3648463847062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-10205.284807692562</c:v>
                </c:pt>
                <c:pt idx="418">
                  <c:v>-2673.9673659897599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-2000.088523826978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-990.5425281006992</c:v>
                </c:pt>
                <c:pt idx="427">
                  <c:v>4746.2819749347973</c:v>
                </c:pt>
                <c:pt idx="428">
                  <c:v>3532.9725552674945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-2088.7984033312932</c:v>
                </c:pt>
                <c:pt idx="437">
                  <c:v>-1262.4148567447064</c:v>
                </c:pt>
                <c:pt idx="438">
                  <c:v>-6025.2318884394972</c:v>
                </c:pt>
                <c:pt idx="439">
                  <c:v>-1700.3359392479692</c:v>
                </c:pt>
                <c:pt idx="440">
                  <c:v>-2493.1188622173195</c:v>
                </c:pt>
                <c:pt idx="441">
                  <c:v>6290.1866958595965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-664.22258170385976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897.83865147313736</c:v>
                </c:pt>
                <c:pt idx="453">
                  <c:v>-1030.6959088783287</c:v>
                </c:pt>
                <c:pt idx="454">
                  <c:v>-7161.8120830556518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54.332624073695115</c:v>
                </c:pt>
                <c:pt idx="464">
                  <c:v>635.38719212444994</c:v>
                </c:pt>
                <c:pt idx="465">
                  <c:v>-9160.507051102999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1904.5725372484985</c:v>
                </c:pt>
                <c:pt idx="470">
                  <c:v>-2414.6583630244013</c:v>
                </c:pt>
                <c:pt idx="471">
                  <c:v>-696.21477499550019</c:v>
                </c:pt>
                <c:pt idx="472">
                  <c:v>-345.18104834460678</c:v>
                </c:pt>
                <c:pt idx="473">
                  <c:v>9434.6687262583946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-3254.0826838936264</c:v>
                </c:pt>
                <c:pt idx="479">
                  <c:v>-2022.6745729778174</c:v>
                </c:pt>
                <c:pt idx="480">
                  <c:v>-3647.6157307813282</c:v>
                </c:pt>
                <c:pt idx="481">
                  <c:v>-3850.5319246207855</c:v>
                </c:pt>
                <c:pt idx="482">
                  <c:v>-661.37999081706789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-2214.0296389113219</c:v>
                </c:pt>
                <c:pt idx="486">
                  <c:v>2187.6256541029288</c:v>
                </c:pt>
                <c:pt idx="487">
                  <c:v>-331.28288997757522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-1392.3717545382115</c:v>
                </c:pt>
                <c:pt idx="491">
                  <c:v>13311.442564216937</c:v>
                </c:pt>
                <c:pt idx="492">
                  <c:v>1004.6256139350785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-573.92457453540328</c:v>
                </c:pt>
                <c:pt idx="496">
                  <c:v>911.72304329616099</c:v>
                </c:pt>
                <c:pt idx="497">
                  <c:v>-1186.5171462468852</c:v>
                </c:pt>
                <c:pt idx="498">
                  <c:v>798.12120602551295</c:v>
                </c:pt>
                <c:pt idx="499">
                  <c:v>-2852.027671392465</c:v>
                </c:pt>
                <c:pt idx="500">
                  <c:v>6261.9793571543378</c:v>
                </c:pt>
                <c:pt idx="501">
                  <c:v>-966.80712103381211</c:v>
                </c:pt>
                <c:pt idx="502">
                  <c:v>-9973.3992398241535</c:v>
                </c:pt>
                <c:pt idx="503">
                  <c:v>6663.8082730997958</c:v>
                </c:pt>
                <c:pt idx="504">
                  <c:v>-1100.963228974927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246.78084252492999</c:v>
                </c:pt>
                <c:pt idx="509">
                  <c:v>-21.794645791904259</c:v>
                </c:pt>
                <c:pt idx="510">
                  <c:v>-1918.1042471223755</c:v>
                </c:pt>
                <c:pt idx="511">
                  <c:v>-2749.0837820991314</c:v>
                </c:pt>
                <c:pt idx="512">
                  <c:v>726.78852620253747</c:v>
                </c:pt>
                <c:pt idx="513">
                  <c:v>-905.54876111600288</c:v>
                </c:pt>
                <c:pt idx="514">
                  <c:v>-9828.5436463421502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-2507.5326233301548</c:v>
                </c:pt>
                <c:pt idx="520">
                  <c:v>15471.963318507231</c:v>
                </c:pt>
                <c:pt idx="521">
                  <c:v>-6250.7993743114512</c:v>
                </c:pt>
                <c:pt idx="522">
                  <c:v>-2798.5765324491767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-5250.8329849121892</c:v>
                </c:pt>
                <c:pt idx="529">
                  <c:v>518.57466095806558</c:v>
                </c:pt>
                <c:pt idx="530">
                  <c:v>8525.3253026346501</c:v>
                </c:pt>
                <c:pt idx="531">
                  <c:v>-705.68686422031897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-1604.9587934498295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-841.13930577879819</c:v>
                </c:pt>
                <c:pt idx="542">
                  <c:v>-1633.9079503713838</c:v>
                </c:pt>
                <c:pt idx="543">
                  <c:v>22944.049420935495</c:v>
                </c:pt>
                <c:pt idx="544">
                  <c:v>-1462.960535613307</c:v>
                </c:pt>
                <c:pt idx="545">
                  <c:v>-9920.1983128582833</c:v>
                </c:pt>
                <c:pt idx="546">
                  <c:v>-3872.5983141835445</c:v>
                </c:pt>
                <c:pt idx="547">
                  <c:v>-6224.5678434732454</c:v>
                </c:pt>
                <c:pt idx="548">
                  <c:v>-968.48499326846013</c:v>
                </c:pt>
                <c:pt idx="549">
                  <c:v>8272.6703677154364</c:v>
                </c:pt>
                <c:pt idx="550">
                  <c:v>-208.64565420364852</c:v>
                </c:pt>
                <c:pt idx="551">
                  <c:v>-1085.7845686017058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9378.8609722655419</c:v>
                </c:pt>
                <c:pt idx="555">
                  <c:v>661.79476958114356</c:v>
                </c:pt>
                <c:pt idx="556">
                  <c:v>-3229.0793150513109</c:v>
                </c:pt>
                <c:pt idx="557">
                  <c:v>-3296.8691493465312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-2092.6133248518327</c:v>
                </c:pt>
                <c:pt idx="562">
                  <c:v>-1756.5959267758726</c:v>
                </c:pt>
                <c:pt idx="563">
                  <c:v>-6340.4038052237029</c:v>
                </c:pt>
                <c:pt idx="564">
                  <c:v>-694.48974039567975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-1332.2416027934723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-2554.4330504145901</c:v>
                </c:pt>
                <c:pt idx="572">
                  <c:v>-5555.5159605630961</c:v>
                </c:pt>
                <c:pt idx="573">
                  <c:v>14655.274533606938</c:v>
                </c:pt>
                <c:pt idx="574">
                  <c:v>-2061.8570503436495</c:v>
                </c:pt>
                <c:pt idx="575">
                  <c:v>400.84619381914672</c:v>
                </c:pt>
                <c:pt idx="576">
                  <c:v>15.082534213536064</c:v>
                </c:pt>
                <c:pt idx="577">
                  <c:v>25301.456425142518</c:v>
                </c:pt>
                <c:pt idx="578">
                  <c:v>-1321.2392492754498</c:v>
                </c:pt>
                <c:pt idx="579">
                  <c:v>764.44672375514938</c:v>
                </c:pt>
                <c:pt idx="580">
                  <c:v>717.95466177766684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2371.1447389091454</c:v>
                </c:pt>
                <c:pt idx="585">
                  <c:v>-787.59618690503248</c:v>
                </c:pt>
                <c:pt idx="586">
                  <c:v>2246.998013015264</c:v>
                </c:pt>
                <c:pt idx="587">
                  <c:v>12931.19326867659</c:v>
                </c:pt>
                <c:pt idx="588">
                  <c:v>-2274.4979477762809</c:v>
                </c:pt>
                <c:pt idx="589">
                  <c:v>-1695.4973073300052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-975.87466700053665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-2967.6676587255097</c:v>
                </c:pt>
                <c:pt idx="596">
                  <c:v>-1124.5210837594132</c:v>
                </c:pt>
                <c:pt idx="597">
                  <c:v>-2953.4147878121848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-3299.6249635177292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22.842113005917781</c:v>
                </c:pt>
                <c:pt idx="607">
                  <c:v>-9056.3995611889222</c:v>
                </c:pt>
                <c:pt idx="608">
                  <c:v>-789.4712042021556</c:v>
                </c:pt>
                <c:pt idx="609">
                  <c:v>6944.6071720418695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-1723.1372739724552</c:v>
                </c:pt>
                <c:pt idx="613">
                  <c:v>2087.2833358440193</c:v>
                </c:pt>
                <c:pt idx="614">
                  <c:v>-1476.8803943496503</c:v>
                </c:pt>
                <c:pt idx="615">
                  <c:v>7122.4734634726556</c:v>
                </c:pt>
                <c:pt idx="616">
                  <c:v>-486.53892192624699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-1650.7931315106662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-1095.2017248308202</c:v>
                </c:pt>
                <c:pt idx="632">
                  <c:v>-3160.1473048212079</c:v>
                </c:pt>
                <c:pt idx="633">
                  <c:v>316.57032953601265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1331.2115842314176</c:v>
                </c:pt>
                <c:pt idx="637">
                  <c:v>13991.036791756815</c:v>
                </c:pt>
                <c:pt idx="638">
                  <c:v>-10604.85556516936</c:v>
                </c:pt>
                <c:pt idx="639">
                  <c:v>-1649.1791862787522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-1958.2656984275491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-1984.9919238194379</c:v>
                </c:pt>
                <c:pt idx="646">
                  <c:v>-840.16501279496788</c:v>
                </c:pt>
                <c:pt idx="647">
                  <c:v>563.11612834056177</c:v>
                </c:pt>
                <c:pt idx="648">
                  <c:v>-508.34783801888784</c:v>
                </c:pt>
                <c:pt idx="649">
                  <c:v>-1709.6887192803151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-2650.552278287103</c:v>
                </c:pt>
                <c:pt idx="658">
                  <c:v>13345.756480060109</c:v>
                </c:pt>
                <c:pt idx="659">
                  <c:v>26.438888753815263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-2305.9741770629525</c:v>
                </c:pt>
                <c:pt idx="663">
                  <c:v>-1799.391609263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-1387.3149732271613</c:v>
                </c:pt>
                <c:pt idx="670">
                  <c:v>-1898.0722571119186</c:v>
                </c:pt>
                <c:pt idx="671">
                  <c:v>-2135.9682619296555</c:v>
                </c:pt>
                <c:pt idx="672">
                  <c:v>-1816.2682786363366</c:v>
                </c:pt>
                <c:pt idx="673">
                  <c:v>-1894.0099594844933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3712.4085262059816</c:v>
                </c:pt>
                <c:pt idx="681">
                  <c:v>2506.2661203534808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2437.7724967858817</c:v>
                </c:pt>
                <c:pt idx="685">
                  <c:v>-208.25704907767431</c:v>
                </c:pt>
                <c:pt idx="686">
                  <c:v>-800.89818688775813</c:v>
                </c:pt>
                <c:pt idx="687">
                  <c:v>-5871.6050975796998</c:v>
                </c:pt>
                <c:pt idx="688">
                  <c:v>18412.858191042302</c:v>
                </c:pt>
                <c:pt idx="689">
                  <c:v>6093.0938684743414</c:v>
                </c:pt>
                <c:pt idx="690">
                  <c:v>-500.34995851457279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-4816.0064737308039</c:v>
                </c:pt>
                <c:pt idx="696">
                  <c:v>15604.684609759373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-3704.6511963999283</c:v>
                </c:pt>
                <c:pt idx="700">
                  <c:v>-2227.5462051392678</c:v>
                </c:pt>
                <c:pt idx="701">
                  <c:v>-6539.7945825172246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-1680.9833058005406</c:v>
                </c:pt>
                <c:pt idx="709">
                  <c:v>-1248.5099183420198</c:v>
                </c:pt>
                <c:pt idx="710">
                  <c:v>-2206.1094729728284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-4809.9798828153389</c:v>
                </c:pt>
                <c:pt idx="714">
                  <c:v>1525.7670549667009</c:v>
                </c:pt>
                <c:pt idx="715">
                  <c:v>-37.197034731008898</c:v>
                </c:pt>
                <c:pt idx="716">
                  <c:v>1127.8675699715768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-5077.0608270542925</c:v>
                </c:pt>
                <c:pt idx="721">
                  <c:v>-3159.9237952204403</c:v>
                </c:pt>
                <c:pt idx="722">
                  <c:v>-2601.6670954978435</c:v>
                </c:pt>
                <c:pt idx="723">
                  <c:v>-2594.5660291702034</c:v>
                </c:pt>
                <c:pt idx="724">
                  <c:v>-457.30810236281468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-4129.9868809496902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-666.92605347417884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846.08382001692371</c:v>
                </c:pt>
                <c:pt idx="738">
                  <c:v>6313.614066771137</c:v>
                </c:pt>
                <c:pt idx="739">
                  <c:v>13325.622337884146</c:v>
                </c:pt>
                <c:pt idx="740">
                  <c:v>12.284973546853507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-260.47123822331832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1790.6750034735226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-9794.1231355658419</c:v>
                </c:pt>
                <c:pt idx="751">
                  <c:v>-892.93863667144001</c:v>
                </c:pt>
                <c:pt idx="752">
                  <c:v>-2662.5816365222036</c:v>
                </c:pt>
                <c:pt idx="753">
                  <c:v>2186.2395396700231</c:v>
                </c:pt>
                <c:pt idx="754">
                  <c:v>9724.6485291368845</c:v>
                </c:pt>
                <c:pt idx="755">
                  <c:v>-1189.4285584654062</c:v>
                </c:pt>
                <c:pt idx="756">
                  <c:v>746.84344943608903</c:v>
                </c:pt>
                <c:pt idx="757">
                  <c:v>-9321.5555996028233</c:v>
                </c:pt>
                <c:pt idx="758">
                  <c:v>-4329.6225446592625</c:v>
                </c:pt>
                <c:pt idx="759">
                  <c:v>7993.7102730392908</c:v>
                </c:pt>
                <c:pt idx="760">
                  <c:v>-2466.8536958155582</c:v>
                </c:pt>
                <c:pt idx="761">
                  <c:v>-2875.9472937465616</c:v>
                </c:pt>
                <c:pt idx="762">
                  <c:v>-9921.6573867850566</c:v>
                </c:pt>
                <c:pt idx="763">
                  <c:v>-623.66548043624471</c:v>
                </c:pt>
                <c:pt idx="764">
                  <c:v>-15.12532296460995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-2687.1661032725842</c:v>
                </c:pt>
                <c:pt idx="769">
                  <c:v>1907.4097298032539</c:v>
                </c:pt>
                <c:pt idx="770">
                  <c:v>11631.568691286197</c:v>
                </c:pt>
                <c:pt idx="771">
                  <c:v>428.51658128090457</c:v>
                </c:pt>
                <c:pt idx="772">
                  <c:v>1060.2914968004552</c:v>
                </c:pt>
                <c:pt idx="773">
                  <c:v>-8484.7035048116413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-5541.8743995978275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-4326.1614422720859</c:v>
                </c:pt>
                <c:pt idx="782">
                  <c:v>-3284.9267659856559</c:v>
                </c:pt>
                <c:pt idx="783">
                  <c:v>-9109.7384661205033</c:v>
                </c:pt>
                <c:pt idx="784">
                  <c:v>-1038.772900905069</c:v>
                </c:pt>
                <c:pt idx="785">
                  <c:v>-499.36507180680564</c:v>
                </c:pt>
                <c:pt idx="786">
                  <c:v>-3135.2548448671532</c:v>
                </c:pt>
                <c:pt idx="787">
                  <c:v>-3556.5188683929118</c:v>
                </c:pt>
                <c:pt idx="788">
                  <c:v>767.15531848376486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40.30090899434731</c:v>
                </c:pt>
                <c:pt idx="792">
                  <c:v>1157.1067656462833</c:v>
                </c:pt>
                <c:pt idx="793">
                  <c:v>-10250.371421908676</c:v>
                </c:pt>
                <c:pt idx="794">
                  <c:v>-2294.4596029209988</c:v>
                </c:pt>
                <c:pt idx="795">
                  <c:v>-9717.1106533431994</c:v>
                </c:pt>
                <c:pt idx="796">
                  <c:v>-6284.7854001399128</c:v>
                </c:pt>
                <c:pt idx="797">
                  <c:v>711.03738447745582</c:v>
                </c:pt>
                <c:pt idx="798">
                  <c:v>-1378.2411942169492</c:v>
                </c:pt>
                <c:pt idx="799">
                  <c:v>-10760.715872363766</c:v>
                </c:pt>
                <c:pt idx="800">
                  <c:v>-123.26914169450902</c:v>
                </c:pt>
                <c:pt idx="801">
                  <c:v>-1352.1881632171553</c:v>
                </c:pt>
                <c:pt idx="802">
                  <c:v>1699.4859629079722</c:v>
                </c:pt>
                <c:pt idx="803">
                  <c:v>8966.7658574480593</c:v>
                </c:pt>
                <c:pt idx="804">
                  <c:v>21.036321367764913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-610.32345255284372</c:v>
                </c:pt>
                <c:pt idx="809">
                  <c:v>-282.02266432462102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718.82121617024541</c:v>
                </c:pt>
                <c:pt idx="814">
                  <c:v>-3187.0797045138761</c:v>
                </c:pt>
                <c:pt idx="815">
                  <c:v>-956.66307578895612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23050.566983153403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-587.06323102268288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-177.01598768630902</c:v>
                </c:pt>
                <c:pt idx="826">
                  <c:v>6952.2898203589648</c:v>
                </c:pt>
                <c:pt idx="827">
                  <c:v>-10233.279630287954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780.19216289736278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-390.26493764715815</c:v>
                </c:pt>
                <c:pt idx="838">
                  <c:v>440.68210808340609</c:v>
                </c:pt>
                <c:pt idx="839">
                  <c:v>-874.5575948115129</c:v>
                </c:pt>
                <c:pt idx="840">
                  <c:v>-1386.6838837182881</c:v>
                </c:pt>
                <c:pt idx="841">
                  <c:v>861.18583167104043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-1815.1830667796894</c:v>
                </c:pt>
                <c:pt idx="845">
                  <c:v>7715.7728617295652</c:v>
                </c:pt>
                <c:pt idx="846">
                  <c:v>-2404.3000705765717</c:v>
                </c:pt>
                <c:pt idx="847">
                  <c:v>-7928.8326614721218</c:v>
                </c:pt>
                <c:pt idx="848">
                  <c:v>763.0318169383977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1047.9857781320534</c:v>
                </c:pt>
                <c:pt idx="854">
                  <c:v>-9903.6142268735348</c:v>
                </c:pt>
                <c:pt idx="855">
                  <c:v>-403.31971015978752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1415.070313379455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-3025.6181458703504</c:v>
                </c:pt>
                <c:pt idx="867">
                  <c:v>-5333.0326357085341</c:v>
                </c:pt>
                <c:pt idx="868">
                  <c:v>1507.5977356196709</c:v>
                </c:pt>
                <c:pt idx="869">
                  <c:v>1199.9301958435281</c:v>
                </c:pt>
                <c:pt idx="870">
                  <c:v>-3633.8987207166629</c:v>
                </c:pt>
                <c:pt idx="871">
                  <c:v>-787.26289801271287</c:v>
                </c:pt>
                <c:pt idx="872">
                  <c:v>-148.55367838395978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-2437.7278632744983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1622.3587272069576</c:v>
                </c:pt>
                <c:pt idx="883">
                  <c:v>7251.8234631206215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-4336.4802465866924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-781.63453924481928</c:v>
                </c:pt>
                <c:pt idx="892">
                  <c:v>470.01189100898773</c:v>
                </c:pt>
                <c:pt idx="893">
                  <c:v>7227.5512998775885</c:v>
                </c:pt>
                <c:pt idx="894">
                  <c:v>-1191.7378171973287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620.52133460319669</c:v>
                </c:pt>
                <c:pt idx="898">
                  <c:v>-3671.2087624896531</c:v>
                </c:pt>
                <c:pt idx="899">
                  <c:v>1891.6300193341767</c:v>
                </c:pt>
                <c:pt idx="900">
                  <c:v>535.80990318420481</c:v>
                </c:pt>
                <c:pt idx="901">
                  <c:v>8638.7219690408674</c:v>
                </c:pt>
                <c:pt idx="902">
                  <c:v>-621.73702855568081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-1083.5600608483119</c:v>
                </c:pt>
                <c:pt idx="906">
                  <c:v>-2497.4687543026994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6567.9824649052753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-2246.8432235737746</c:v>
                </c:pt>
                <c:pt idx="916">
                  <c:v>-9946.7490757543674</c:v>
                </c:pt>
                <c:pt idx="917">
                  <c:v>3966.3229290486524</c:v>
                </c:pt>
                <c:pt idx="918">
                  <c:v>707.01767086412292</c:v>
                </c:pt>
                <c:pt idx="919">
                  <c:v>-2850.4934064281188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</c:v>
                </c:pt>
                <c:pt idx="926">
                  <c:v>2043.7599644665047</c:v>
                </c:pt>
                <c:pt idx="927">
                  <c:v>2996.8145101121845</c:v>
                </c:pt>
                <c:pt idx="928">
                  <c:v>-2763.5444751610357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-4003.349791794295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645.43633716701697</c:v>
                </c:pt>
                <c:pt idx="938">
                  <c:v>954.37713344781673</c:v>
                </c:pt>
                <c:pt idx="939">
                  <c:v>-1020.2905119768657</c:v>
                </c:pt>
                <c:pt idx="940">
                  <c:v>1730.6544809702771</c:v>
                </c:pt>
                <c:pt idx="941">
                  <c:v>-6428.6187233851215</c:v>
                </c:pt>
                <c:pt idx="942">
                  <c:v>-4097.8955528566612</c:v>
                </c:pt>
                <c:pt idx="943">
                  <c:v>1501.8530506362547</c:v>
                </c:pt>
                <c:pt idx="944">
                  <c:v>-3381.3387750462771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-8807.1286361727216</c:v>
                </c:pt>
                <c:pt idx="950">
                  <c:v>2744.8015189787311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5683.5924839613799</c:v>
                </c:pt>
                <c:pt idx="954">
                  <c:v>-10066.150369602557</c:v>
                </c:pt>
                <c:pt idx="955">
                  <c:v>-4852.1878719488577</c:v>
                </c:pt>
                <c:pt idx="956">
                  <c:v>6462.9584896575179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17.928895364190794</c:v>
                </c:pt>
                <c:pt idx="962">
                  <c:v>-1148.8246965485941</c:v>
                </c:pt>
                <c:pt idx="963">
                  <c:v>-81.769548883865355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-9919.3114089096525</c:v>
                </c:pt>
                <c:pt idx="967">
                  <c:v>-439.97982264443999</c:v>
                </c:pt>
                <c:pt idx="968">
                  <c:v>272.20152876866678</c:v>
                </c:pt>
                <c:pt idx="969">
                  <c:v>-2465.631377071235</c:v>
                </c:pt>
                <c:pt idx="970">
                  <c:v>-144.80389044102049</c:v>
                </c:pt>
                <c:pt idx="971">
                  <c:v>206.40122282598804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-3265.000507916865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-1033.4733989260285</c:v>
                </c:pt>
                <c:pt idx="978">
                  <c:v>-4907.8730506263928</c:v>
                </c:pt>
                <c:pt idx="979">
                  <c:v>-1532.8993978258313</c:v>
                </c:pt>
                <c:pt idx="980">
                  <c:v>14605.357654464407</c:v>
                </c:pt>
                <c:pt idx="981">
                  <c:v>586.81612836078102</c:v>
                </c:pt>
                <c:pt idx="982">
                  <c:v>-9792.8456276756151</c:v>
                </c:pt>
                <c:pt idx="983">
                  <c:v>10948.400706554088</c:v>
                </c:pt>
                <c:pt idx="984">
                  <c:v>-744.52784642075221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-3905.9698046633912</c:v>
                </c:pt>
                <c:pt idx="989">
                  <c:v>-10462.907294736398</c:v>
                </c:pt>
                <c:pt idx="990">
                  <c:v>2407.7034748532251</c:v>
                </c:pt>
                <c:pt idx="991">
                  <c:v>-1069.5910418080102</c:v>
                </c:pt>
                <c:pt idx="992">
                  <c:v>-1495.3182838001703</c:v>
                </c:pt>
                <c:pt idx="993">
                  <c:v>-1235.6985901966636</c:v>
                </c:pt>
                <c:pt idx="994">
                  <c:v>-10297.29344790605</c:v>
                </c:pt>
                <c:pt idx="995">
                  <c:v>586.38680897094218</c:v>
                </c:pt>
                <c:pt idx="996">
                  <c:v>-2693.2845850655749</c:v>
                </c:pt>
                <c:pt idx="997">
                  <c:v>-1819.6998498573485</c:v>
                </c:pt>
                <c:pt idx="998">
                  <c:v>-3721.8030245500549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87.110362807119373</c:v>
                </c:pt>
                <c:pt idx="1003">
                  <c:v>11892.855038189578</c:v>
                </c:pt>
                <c:pt idx="1004">
                  <c:v>1640.5225463658098</c:v>
                </c:pt>
                <c:pt idx="1005">
                  <c:v>-2306.239061966352</c:v>
                </c:pt>
                <c:pt idx="1006">
                  <c:v>-1559.6630784348717</c:v>
                </c:pt>
                <c:pt idx="1007">
                  <c:v>-9579.5903552584605</c:v>
                </c:pt>
                <c:pt idx="1008">
                  <c:v>19464.169123363514</c:v>
                </c:pt>
                <c:pt idx="1009">
                  <c:v>-956.82639215626295</c:v>
                </c:pt>
                <c:pt idx="1010">
                  <c:v>1104.9179033481814</c:v>
                </c:pt>
                <c:pt idx="1011">
                  <c:v>-10799.710327553115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1299.1202561383886</c:v>
                </c:pt>
                <c:pt idx="1017">
                  <c:v>-2343.1668022920053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1806.9955559239529</c:v>
                </c:pt>
                <c:pt idx="1024">
                  <c:v>-6376.5740064927286</c:v>
                </c:pt>
                <c:pt idx="1025">
                  <c:v>-2211.3103307513375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-1708.4202442561891</c:v>
                </c:pt>
                <c:pt idx="1029">
                  <c:v>2497.1777290556465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-1103.30245930399</c:v>
                </c:pt>
                <c:pt idx="1033">
                  <c:v>-9968.9304291405333</c:v>
                </c:pt>
                <c:pt idx="1034">
                  <c:v>-3313.594219375309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-1126.058560540398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1320.8578632838119</c:v>
                </c:pt>
                <c:pt idx="1042">
                  <c:v>6151.8573688539145</c:v>
                </c:pt>
                <c:pt idx="1043">
                  <c:v>116.87459326262069</c:v>
                </c:pt>
                <c:pt idx="1044">
                  <c:v>-3093.5547216550094</c:v>
                </c:pt>
                <c:pt idx="1045">
                  <c:v>-10050.114619912943</c:v>
                </c:pt>
                <c:pt idx="1046">
                  <c:v>-288.20819949862107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1067.5051633097628</c:v>
                </c:pt>
                <c:pt idx="1052">
                  <c:v>-1821.7229051282211</c:v>
                </c:pt>
                <c:pt idx="1053">
                  <c:v>-9115.8567373554615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-3280.8877924759181</c:v>
                </c:pt>
                <c:pt idx="1060">
                  <c:v>-1935.6780260292037</c:v>
                </c:pt>
                <c:pt idx="1061">
                  <c:v>65.720851285299432</c:v>
                </c:pt>
                <c:pt idx="1062">
                  <c:v>8642.144016634702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-6658.4281271646341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-803.57987308346856</c:v>
                </c:pt>
                <c:pt idx="1072">
                  <c:v>-1663.1305109041546</c:v>
                </c:pt>
                <c:pt idx="1073">
                  <c:v>-581.96129142890459</c:v>
                </c:pt>
                <c:pt idx="1074">
                  <c:v>3512.3311019715802</c:v>
                </c:pt>
                <c:pt idx="1075">
                  <c:v>-1195.2353931339931</c:v>
                </c:pt>
                <c:pt idx="1076">
                  <c:v>-1952.0030624833307</c:v>
                </c:pt>
                <c:pt idx="1077">
                  <c:v>-51.071365212157161</c:v>
                </c:pt>
                <c:pt idx="1078">
                  <c:v>5990.8611616001617</c:v>
                </c:pt>
                <c:pt idx="1079">
                  <c:v>-759.29410889105384</c:v>
                </c:pt>
                <c:pt idx="1080">
                  <c:v>12026.874709335514</c:v>
                </c:pt>
                <c:pt idx="1081">
                  <c:v>-1259.1341226150407</c:v>
                </c:pt>
                <c:pt idx="1082">
                  <c:v>1275.7679938823458</c:v>
                </c:pt>
                <c:pt idx="1083">
                  <c:v>-2273.0966882225853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-1089.0265223659117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-1020.1628345982863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-659.40422080141889</c:v>
                </c:pt>
                <c:pt idx="1096">
                  <c:v>6822.32322631641</c:v>
                </c:pt>
                <c:pt idx="1097">
                  <c:v>-2325.8953993095856</c:v>
                </c:pt>
                <c:pt idx="1098">
                  <c:v>11154.976523990428</c:v>
                </c:pt>
                <c:pt idx="1099">
                  <c:v>-2225.4131212602547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-4556.2432673881967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1822.6122043414871</c:v>
                </c:pt>
                <c:pt idx="1110">
                  <c:v>-1850.7485576288436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244.62117920162427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6703.1864304560586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12443.235992786516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3438.2176320968015</c:v>
                </c:pt>
                <c:pt idx="1130">
                  <c:v>1064.4147131620448</c:v>
                </c:pt>
                <c:pt idx="1131">
                  <c:v>-6731.770202681073</c:v>
                </c:pt>
                <c:pt idx="1132">
                  <c:v>4475.3488694888456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-1927.6321205102554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-760.39743118156048</c:v>
                </c:pt>
                <c:pt idx="1151">
                  <c:v>-2744.1039592977741</c:v>
                </c:pt>
                <c:pt idx="1152">
                  <c:v>6550.8478395198981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985.3768036993406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-1114.7961205353454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-54.388213134905982</c:v>
                </c:pt>
                <c:pt idx="1164">
                  <c:v>-1164.1212953114291</c:v>
                </c:pt>
                <c:pt idx="1165">
                  <c:v>-684.87398822316391</c:v>
                </c:pt>
                <c:pt idx="1166">
                  <c:v>-4246.6755319483091</c:v>
                </c:pt>
                <c:pt idx="1167">
                  <c:v>684.07229476001658</c:v>
                </c:pt>
                <c:pt idx="1168">
                  <c:v>-3409.4700117318253</c:v>
                </c:pt>
                <c:pt idx="1169">
                  <c:v>-3143.5228988368544</c:v>
                </c:pt>
                <c:pt idx="1170">
                  <c:v>-8979.2469879644814</c:v>
                </c:pt>
                <c:pt idx="1171">
                  <c:v>-9523.634435258442</c:v>
                </c:pt>
                <c:pt idx="1172">
                  <c:v>-4532.3698573667607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209.96821879261779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-2895.6479423337332</c:v>
                </c:pt>
                <c:pt idx="1179">
                  <c:v>-9467.1944377596083</c:v>
                </c:pt>
                <c:pt idx="1180">
                  <c:v>-5691.3244960185039</c:v>
                </c:pt>
                <c:pt idx="1181">
                  <c:v>-1172.7303346088884</c:v>
                </c:pt>
                <c:pt idx="1182">
                  <c:v>-1167.3888903741149</c:v>
                </c:pt>
                <c:pt idx="1183">
                  <c:v>-699.01738156720785</c:v>
                </c:pt>
                <c:pt idx="1184">
                  <c:v>-8593.5539632387554</c:v>
                </c:pt>
                <c:pt idx="1185">
                  <c:v>172.74161401200217</c:v>
                </c:pt>
                <c:pt idx="1186">
                  <c:v>7392.2305719936048</c:v>
                </c:pt>
                <c:pt idx="1187">
                  <c:v>-873.63624572597291</c:v>
                </c:pt>
                <c:pt idx="1188">
                  <c:v>-10230.395942746636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7278.2458336829868</c:v>
                </c:pt>
                <c:pt idx="1192">
                  <c:v>-1403.6412958712681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6687.6605580719988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-2497.2101406216934</c:v>
                </c:pt>
                <c:pt idx="1204">
                  <c:v>-7954.6361119811663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1866.4104408653188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7060.4644655617749</c:v>
                </c:pt>
                <c:pt idx="1216">
                  <c:v>-260.689733103648</c:v>
                </c:pt>
                <c:pt idx="1217">
                  <c:v>-3885.3681140794424</c:v>
                </c:pt>
                <c:pt idx="1218">
                  <c:v>6684.670768753007</c:v>
                </c:pt>
                <c:pt idx="1219">
                  <c:v>-1605.4108898582472</c:v>
                </c:pt>
                <c:pt idx="1220">
                  <c:v>1031.9506654077541</c:v>
                </c:pt>
                <c:pt idx="1221">
                  <c:v>3.4675564952804052</c:v>
                </c:pt>
                <c:pt idx="1222">
                  <c:v>123.12998172848711</c:v>
                </c:pt>
                <c:pt idx="1223">
                  <c:v>1830.4696657185414</c:v>
                </c:pt>
                <c:pt idx="1224">
                  <c:v>-198.56974306159191</c:v>
                </c:pt>
                <c:pt idx="1225">
                  <c:v>-4689.2260761102361</c:v>
                </c:pt>
                <c:pt idx="1226">
                  <c:v>2295.3173763785544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-1168.8171732803694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2859.5125611034928</c:v>
                </c:pt>
                <c:pt idx="1237">
                  <c:v>47.841584795818562</c:v>
                </c:pt>
                <c:pt idx="1238">
                  <c:v>423.78584199892339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2292.3955914841231</c:v>
                </c:pt>
                <c:pt idx="1243">
                  <c:v>-2277.4975945456267</c:v>
                </c:pt>
                <c:pt idx="1244">
                  <c:v>-1687.9164695714244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-1261.4724236245647</c:v>
                </c:pt>
                <c:pt idx="1248">
                  <c:v>-3522.5752429008835</c:v>
                </c:pt>
                <c:pt idx="1249">
                  <c:v>5726.8664223726773</c:v>
                </c:pt>
                <c:pt idx="1250">
                  <c:v>-9412.9530884582127</c:v>
                </c:pt>
                <c:pt idx="1251">
                  <c:v>2675.1678471589012</c:v>
                </c:pt>
                <c:pt idx="1252">
                  <c:v>-8982.891949372568</c:v>
                </c:pt>
                <c:pt idx="1253">
                  <c:v>6612.7868245799764</c:v>
                </c:pt>
                <c:pt idx="1254">
                  <c:v>-746.83909480728562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917.27618952584271</c:v>
                </c:pt>
                <c:pt idx="1260">
                  <c:v>1303.1204268776382</c:v>
                </c:pt>
                <c:pt idx="1261">
                  <c:v>-3944.4906182938976</c:v>
                </c:pt>
                <c:pt idx="1262">
                  <c:v>-777.2342474094321</c:v>
                </c:pt>
                <c:pt idx="1263">
                  <c:v>-1425.8703997511748</c:v>
                </c:pt>
                <c:pt idx="1264">
                  <c:v>-2537.9169491145658</c:v>
                </c:pt>
                <c:pt idx="1265">
                  <c:v>-8315.1881771465123</c:v>
                </c:pt>
                <c:pt idx="1266">
                  <c:v>-869.44015721672258</c:v>
                </c:pt>
                <c:pt idx="1267">
                  <c:v>5773.7746463324002</c:v>
                </c:pt>
                <c:pt idx="1268">
                  <c:v>-1653.1924885198937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5504.6623139498734</c:v>
                </c:pt>
                <c:pt idx="1273">
                  <c:v>-978.67625320146635</c:v>
                </c:pt>
                <c:pt idx="1274">
                  <c:v>-9557.1581776430576</c:v>
                </c:pt>
                <c:pt idx="1275">
                  <c:v>1309.5369816574021</c:v>
                </c:pt>
                <c:pt idx="1276">
                  <c:v>-1281.8341694239812</c:v>
                </c:pt>
                <c:pt idx="1277">
                  <c:v>-1656.774498721612</c:v>
                </c:pt>
                <c:pt idx="1278">
                  <c:v>-9959.9002497605943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-459.66561780478582</c:v>
                </c:pt>
                <c:pt idx="1284">
                  <c:v>8128.7889689494696</c:v>
                </c:pt>
                <c:pt idx="1285">
                  <c:v>151.77701509622602</c:v>
                </c:pt>
                <c:pt idx="1286">
                  <c:v>2614.5309921900434</c:v>
                </c:pt>
                <c:pt idx="1287">
                  <c:v>-136.40111754637746</c:v>
                </c:pt>
                <c:pt idx="1288">
                  <c:v>8073.5851716380021</c:v>
                </c:pt>
                <c:pt idx="1289">
                  <c:v>-3165.9515997663348</c:v>
                </c:pt>
                <c:pt idx="1290">
                  <c:v>1593.9891899134636</c:v>
                </c:pt>
                <c:pt idx="1291">
                  <c:v>7291.9011557223967</c:v>
                </c:pt>
                <c:pt idx="1292">
                  <c:v>1353.5564233582329</c:v>
                </c:pt>
                <c:pt idx="1293">
                  <c:v>-249.71893038952294</c:v>
                </c:pt>
                <c:pt idx="1294">
                  <c:v>564.11454374323876</c:v>
                </c:pt>
                <c:pt idx="1295">
                  <c:v>1919.8003515285723</c:v>
                </c:pt>
                <c:pt idx="1296">
                  <c:v>293.93536430685776</c:v>
                </c:pt>
                <c:pt idx="1297">
                  <c:v>179.00410898765222</c:v>
                </c:pt>
                <c:pt idx="1298">
                  <c:v>-1055.5307079294007</c:v>
                </c:pt>
                <c:pt idx="1299">
                  <c:v>914.02431902202966</c:v>
                </c:pt>
                <c:pt idx="1300">
                  <c:v>29992.764417231556</c:v>
                </c:pt>
                <c:pt idx="1301">
                  <c:v>7468.2521700764773</c:v>
                </c:pt>
                <c:pt idx="1302">
                  <c:v>2155.2433737797337</c:v>
                </c:pt>
                <c:pt idx="1303">
                  <c:v>6536.6924154630069</c:v>
                </c:pt>
                <c:pt idx="1304">
                  <c:v>-10604.126479312104</c:v>
                </c:pt>
                <c:pt idx="1305">
                  <c:v>-128.81556943380565</c:v>
                </c:pt>
                <c:pt idx="1306">
                  <c:v>-10654.902650725557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8640.7027630180382</c:v>
                </c:pt>
                <c:pt idx="1316">
                  <c:v>2762.6107248751214</c:v>
                </c:pt>
                <c:pt idx="1317">
                  <c:v>-8376.42485106606</c:v>
                </c:pt>
                <c:pt idx="1318">
                  <c:v>7205.2255432721522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-3009.7549760743532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-1829.9003860554294</c:v>
                </c:pt>
                <c:pt idx="1326">
                  <c:v>-2948.6957505897153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-5634.704776326007</c:v>
                </c:pt>
                <c:pt idx="1333">
                  <c:v>-1750.7753856555519</c:v>
                </c:pt>
                <c:pt idx="1334">
                  <c:v>-1305.950008763069</c:v>
                </c:pt>
                <c:pt idx="1335">
                  <c:v>-2519.2989856766899</c:v>
                </c:pt>
                <c:pt idx="1336">
                  <c:v>761.36006102405622</c:v>
                </c:pt>
                <c:pt idx="1337">
                  <c:v>-7944.2629675663193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6D-4941-A9C9-135B0300D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770079"/>
        <c:axId val="407408511"/>
      </c:scatterChart>
      <c:valAx>
        <c:axId val="407770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SouthWest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7408511"/>
        <c:crosses val="autoZero"/>
        <c:crossBetween val="midCat"/>
      </c:valAx>
      <c:valAx>
        <c:axId val="4074085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777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dataset!$A$2:$A$1339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dataset!$J$2:$J$1339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4E-E64C-AE7D-FBE7DC22308E}"/>
            </c:ext>
          </c:extLst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dataset!$A$2:$A$1339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'regression'!$B$85:$B$1422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3448.6028343093267</c:v>
                </c:pt>
                <c:pt idx="2">
                  <c:v>6706.9884907007254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670.02627532226484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3085.0361288517715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-142.74199045436927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-614.51984677593919</c:v>
                </c:pt>
                <c:pt idx="36">
                  <c:v>16241.605215452462</c:v>
                </c:pt>
                <c:pt idx="37">
                  <c:v>703.58507421337481</c:v>
                </c:pt>
                <c:pt idx="38">
                  <c:v>33682.37843421632</c:v>
                </c:pt>
                <c:pt idx="39">
                  <c:v>39763.830566363067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2047.3733244265838</c:v>
                </c:pt>
                <c:pt idx="193">
                  <c:v>11590.499677697113</c:v>
                </c:pt>
                <c:pt idx="194">
                  <c:v>3196.9699685433488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1665.6153119686621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37501.172578763239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39004.925480865022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1956.1516384216309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400.92799970838439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9288.8384813426655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36052.948329997169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3337.5698746461203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2810.8893493424275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5776.0082533276573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11848.200783055652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996.64905787555017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32191.514139824154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3185.8792304188564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1649.917065786464</c:v>
                </c:pt>
                <c:pt idx="577">
                  <c:v>33269.618054857485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6526.8170048212078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2935.791009263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-163.39255347352264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33630.002466120503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1794.8395786322351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1741.8300525528437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248.9966562876325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39003.289036879381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1601.0431153968032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40034.836830959131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8676.7419917942952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1349.6250665521832</c:v>
                </c:pt>
                <c:pt idx="939">
                  <c:v>10507.934711976866</c:v>
                </c:pt>
                <c:pt idx="940">
                  <c:v>-608.78058097027701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126.61784936374534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33314.953516038622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35536.561510342479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7958.0051726444399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-95.968755923952813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-167.11524230108444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34425.345737355463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14778.035423083469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15920.828508891054</c:v>
                </c:pt>
                <c:pt idx="1080">
                  <c:v>-142.82612933551343</c:v>
                </c:pt>
                <c:pt idx="1081">
                  <c:v>5713.5367726150407</c:v>
                </c:pt>
                <c:pt idx="1082">
                  <c:v>4580.1345061176544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37818.874173683587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8080.1100117318256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34976.931231246992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2823.8571695714245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2180.0193178047857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161.78847664176715</c:v>
                </c:pt>
                <c:pt idx="1293">
                  <c:v>9551.6124803895236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4E-E64C-AE7D-FBE7DC223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603215"/>
        <c:axId val="579604863"/>
      </c:scatterChart>
      <c:valAx>
        <c:axId val="579603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604863"/>
        <c:crosses val="autoZero"/>
        <c:crossBetween val="midCat"/>
      </c:valAx>
      <c:valAx>
        <c:axId val="5796048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60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NorthWest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dataset!$I$2:$I$1339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dataset!$J$2:$J$1339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EA-054C-9603-CBD465125C93}"/>
            </c:ext>
          </c:extLst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dataset!$I$2:$I$1339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'regression'!$B$85:$B$1422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3448.6028343093267</c:v>
                </c:pt>
                <c:pt idx="2">
                  <c:v>6706.9884907007254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670.02627532226484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3085.0361288517715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-142.74199045436927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-614.51984677593919</c:v>
                </c:pt>
                <c:pt idx="36">
                  <c:v>16241.605215452462</c:v>
                </c:pt>
                <c:pt idx="37">
                  <c:v>703.58507421337481</c:v>
                </c:pt>
                <c:pt idx="38">
                  <c:v>33682.37843421632</c:v>
                </c:pt>
                <c:pt idx="39">
                  <c:v>39763.830566363067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2047.3733244265838</c:v>
                </c:pt>
                <c:pt idx="193">
                  <c:v>11590.499677697113</c:v>
                </c:pt>
                <c:pt idx="194">
                  <c:v>3196.9699685433488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1665.6153119686621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37501.172578763239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39004.925480865022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1956.1516384216309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400.92799970838439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9288.8384813426655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36052.948329997169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3337.5698746461203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2810.8893493424275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5776.0082533276573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11848.200783055652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996.64905787555017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32191.514139824154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3185.8792304188564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1649.917065786464</c:v>
                </c:pt>
                <c:pt idx="577">
                  <c:v>33269.618054857485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6526.8170048212078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2935.791009263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-163.39255347352264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33630.002466120503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1794.8395786322351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1741.8300525528437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248.9966562876325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39003.289036879381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1601.0431153968032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40034.836830959131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8676.7419917942952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1349.6250665521832</c:v>
                </c:pt>
                <c:pt idx="939">
                  <c:v>10507.934711976866</c:v>
                </c:pt>
                <c:pt idx="940">
                  <c:v>-608.78058097027701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126.61784936374534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33314.953516038622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35536.561510342479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7958.0051726444399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-95.968755923952813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-167.11524230108444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34425.345737355463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14778.035423083469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15920.828508891054</c:v>
                </c:pt>
                <c:pt idx="1080">
                  <c:v>-142.82612933551343</c:v>
                </c:pt>
                <c:pt idx="1081">
                  <c:v>5713.5367726150407</c:v>
                </c:pt>
                <c:pt idx="1082">
                  <c:v>4580.1345061176544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37818.874173683587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8080.1100117318256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34976.931231246992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2823.8571695714245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2180.0193178047857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161.78847664176715</c:v>
                </c:pt>
                <c:pt idx="1293">
                  <c:v>9551.6124803895236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EA-054C-9603-CBD465125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481567"/>
        <c:axId val="506483215"/>
      </c:scatterChart>
      <c:valAx>
        <c:axId val="506481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NorthWest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83215"/>
        <c:crosses val="autoZero"/>
        <c:crossBetween val="midCat"/>
      </c:valAx>
      <c:valAx>
        <c:axId val="5064832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81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SouthEast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dataset!$G$2:$G$1339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dataset!$J$2:$J$1339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79-5C45-9863-5AB63E77A9AF}"/>
            </c:ext>
          </c:extLst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dataset!$G$2:$G$1339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'regression'!$B$85:$B$1422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3448.6028343093267</c:v>
                </c:pt>
                <c:pt idx="2">
                  <c:v>6706.9884907007254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670.02627532226484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3085.0361288517715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-142.74199045436927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-614.51984677593919</c:v>
                </c:pt>
                <c:pt idx="36">
                  <c:v>16241.605215452462</c:v>
                </c:pt>
                <c:pt idx="37">
                  <c:v>703.58507421337481</c:v>
                </c:pt>
                <c:pt idx="38">
                  <c:v>33682.37843421632</c:v>
                </c:pt>
                <c:pt idx="39">
                  <c:v>39763.830566363067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2047.3733244265838</c:v>
                </c:pt>
                <c:pt idx="193">
                  <c:v>11590.499677697113</c:v>
                </c:pt>
                <c:pt idx="194">
                  <c:v>3196.9699685433488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1665.6153119686621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37501.172578763239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39004.925480865022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1956.1516384216309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400.92799970838439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9288.8384813426655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36052.948329997169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3337.5698746461203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2810.8893493424275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5776.0082533276573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11848.200783055652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996.64905787555017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32191.514139824154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3185.8792304188564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1649.917065786464</c:v>
                </c:pt>
                <c:pt idx="577">
                  <c:v>33269.618054857485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6526.8170048212078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2935.791009263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-163.39255347352264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33630.002466120503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1794.8395786322351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1741.8300525528437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248.9966562876325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39003.289036879381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1601.0431153968032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40034.836830959131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8676.7419917942952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1349.6250665521832</c:v>
                </c:pt>
                <c:pt idx="939">
                  <c:v>10507.934711976866</c:v>
                </c:pt>
                <c:pt idx="940">
                  <c:v>-608.78058097027701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126.61784936374534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33314.953516038622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35536.561510342479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7958.0051726444399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-95.968755923952813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-167.11524230108444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34425.345737355463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14778.035423083469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15920.828508891054</c:v>
                </c:pt>
                <c:pt idx="1080">
                  <c:v>-142.82612933551343</c:v>
                </c:pt>
                <c:pt idx="1081">
                  <c:v>5713.5367726150407</c:v>
                </c:pt>
                <c:pt idx="1082">
                  <c:v>4580.1345061176544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37818.874173683587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8080.1100117318256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34976.931231246992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2823.8571695714245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2180.0193178047857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161.78847664176715</c:v>
                </c:pt>
                <c:pt idx="1293">
                  <c:v>9551.6124803895236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79-5C45-9863-5AB63E77A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430159"/>
        <c:axId val="508111823"/>
      </c:scatterChart>
      <c:valAx>
        <c:axId val="411430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111823"/>
        <c:crosses val="autoZero"/>
        <c:crossBetween val="midCat"/>
      </c:valAx>
      <c:valAx>
        <c:axId val="5081118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430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SouthWest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19050">
              <a:noFill/>
            </a:ln>
          </c:spPr>
          <c:xVal>
            <c:numRef>
              <c:f>dataset!$H$2:$H$1339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dataset!$J$2:$J$1339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00-2B41-9705-963890E9D8CC}"/>
            </c:ext>
          </c:extLst>
        </c:ser>
        <c:ser>
          <c:idx val="1"/>
          <c:order val="1"/>
          <c:tx>
            <c:v>Predicted charges</c:v>
          </c:tx>
          <c:spPr>
            <a:ln w="19050">
              <a:noFill/>
            </a:ln>
          </c:spPr>
          <c:xVal>
            <c:numRef>
              <c:f>dataset!$H$2:$H$1339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'regression'!$B$85:$B$1422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3448.6028343093267</c:v>
                </c:pt>
                <c:pt idx="2">
                  <c:v>6706.9884907007254</c:v>
                </c:pt>
                <c:pt idx="3">
                  <c:v>3754.8301629796465</c:v>
                </c:pt>
                <c:pt idx="4">
                  <c:v>5592.4933864892364</c:v>
                </c:pt>
                <c:pt idx="5">
                  <c:v>3719.8257990457787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8502.9739198291791</c:v>
                </c:pt>
                <c:pt idx="9">
                  <c:v>11884.637517953133</c:v>
                </c:pt>
                <c:pt idx="10">
                  <c:v>3245.2082315476073</c:v>
                </c:pt>
                <c:pt idx="11">
                  <c:v>35717.463669102348</c:v>
                </c:pt>
                <c:pt idx="12">
                  <c:v>4546.0469857087555</c:v>
                </c:pt>
                <c:pt idx="13">
                  <c:v>14917.078439320107</c:v>
                </c:pt>
                <c:pt idx="14">
                  <c:v>31969.001276095769</c:v>
                </c:pt>
                <c:pt idx="15">
                  <c:v>670.02627532226484</c:v>
                </c:pt>
                <c:pt idx="16">
                  <c:v>12333.866803065674</c:v>
                </c:pt>
                <c:pt idx="17">
                  <c:v>1925.9110741471659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15685.502873331965</c:v>
                </c:pt>
                <c:pt idx="21">
                  <c:v>6272.4694507927506</c:v>
                </c:pt>
                <c:pt idx="22">
                  <c:v>3085.0361288517715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-142.74199045436927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1610.7515012743097</c:v>
                </c:pt>
                <c:pt idx="32">
                  <c:v>4060.1166297572631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-614.51984677593919</c:v>
                </c:pt>
                <c:pt idx="36">
                  <c:v>16241.605215452462</c:v>
                </c:pt>
                <c:pt idx="37">
                  <c:v>703.58507421337481</c:v>
                </c:pt>
                <c:pt idx="38">
                  <c:v>33682.37843421632</c:v>
                </c:pt>
                <c:pt idx="39">
                  <c:v>39763.830566363067</c:v>
                </c:pt>
                <c:pt idx="40">
                  <c:v>3248.5597507774874</c:v>
                </c:pt>
                <c:pt idx="41">
                  <c:v>8364.6435991660928</c:v>
                </c:pt>
                <c:pt idx="42">
                  <c:v>5289.3694338743571</c:v>
                </c:pt>
                <c:pt idx="43">
                  <c:v>7928.2838798389821</c:v>
                </c:pt>
                <c:pt idx="44">
                  <c:v>10733.306462287661</c:v>
                </c:pt>
                <c:pt idx="45">
                  <c:v>13749.111282375325</c:v>
                </c:pt>
                <c:pt idx="46">
                  <c:v>6750.7917436664484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32405.598360557909</c:v>
                </c:pt>
                <c:pt idx="50">
                  <c:v>4768.6425543912301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14704.962622462221</c:v>
                </c:pt>
                <c:pt idx="57">
                  <c:v>27063.723603324623</c:v>
                </c:pt>
                <c:pt idx="58">
                  <c:v>32724.60736460238</c:v>
                </c:pt>
                <c:pt idx="59">
                  <c:v>10056.402191536959</c:v>
                </c:pt>
                <c:pt idx="60">
                  <c:v>9681.8047497836251</c:v>
                </c:pt>
                <c:pt idx="61">
                  <c:v>6635.7876576209665</c:v>
                </c:pt>
                <c:pt idx="62">
                  <c:v>12869.56857674019</c:v>
                </c:pt>
                <c:pt idx="63">
                  <c:v>4172.9581600001602</c:v>
                </c:pt>
                <c:pt idx="64">
                  <c:v>24298.876347022961</c:v>
                </c:pt>
                <c:pt idx="65">
                  <c:v>1784.3719400948507</c:v>
                </c:pt>
                <c:pt idx="66">
                  <c:v>16983.113063792302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26205.133411734474</c:v>
                </c:pt>
                <c:pt idx="71">
                  <c:v>7937.2101467500743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4987.5084355219487</c:v>
                </c:pt>
                <c:pt idx="77">
                  <c:v>4340.6518251273174</c:v>
                </c:pt>
                <c:pt idx="78">
                  <c:v>7213.8966006339324</c:v>
                </c:pt>
                <c:pt idx="79">
                  <c:v>9421.1201767207585</c:v>
                </c:pt>
                <c:pt idx="80">
                  <c:v>5487.4105385720368</c:v>
                </c:pt>
                <c:pt idx="81">
                  <c:v>12606.018659504458</c:v>
                </c:pt>
                <c:pt idx="82">
                  <c:v>29630.45758277327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31701.088781824968</c:v>
                </c:pt>
                <c:pt idx="86">
                  <c:v>36767.112175463582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5815.1722608213522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7454.3755154796472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4271.7029694901103</c:v>
                </c:pt>
                <c:pt idx="102">
                  <c:v>2899.6866249955001</c:v>
                </c:pt>
                <c:pt idx="103">
                  <c:v>38118.381188619751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2090.2757584385622</c:v>
                </c:pt>
                <c:pt idx="107">
                  <c:v>5679.0473015170392</c:v>
                </c:pt>
                <c:pt idx="108">
                  <c:v>3821.0243325198244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13636.904205364277</c:v>
                </c:pt>
                <c:pt idx="115">
                  <c:v>13040.765022680531</c:v>
                </c:pt>
                <c:pt idx="116">
                  <c:v>18433.624296363854</c:v>
                </c:pt>
                <c:pt idx="117">
                  <c:v>28276.373778976882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609.40593336739676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4503.4101519918686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12206.308711491634</c:v>
                </c:pt>
                <c:pt idx="131">
                  <c:v>11205.522646193931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2962.2720367677803</c:v>
                </c:pt>
                <c:pt idx="135">
                  <c:v>2191.6555040506883</c:v>
                </c:pt>
                <c:pt idx="136">
                  <c:v>3416.8635394761127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5218.9813709608134</c:v>
                </c:pt>
                <c:pt idx="141">
                  <c:v>6104.3080833740569</c:v>
                </c:pt>
                <c:pt idx="142">
                  <c:v>29009.371009885028</c:v>
                </c:pt>
                <c:pt idx="143">
                  <c:v>6062.9358220127251</c:v>
                </c:pt>
                <c:pt idx="144">
                  <c:v>30289.370102588699</c:v>
                </c:pt>
                <c:pt idx="145">
                  <c:v>9072.6570371843773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1958.961399043455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10306.707174849977</c:v>
                </c:pt>
                <c:pt idx="153">
                  <c:v>30624.913783199558</c:v>
                </c:pt>
                <c:pt idx="154">
                  <c:v>7447.0813994078289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27997.667027589509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11474.741107919419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2704.2224589064067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-2032.9110702610469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11265.032467778856</c:v>
                </c:pt>
                <c:pt idx="180">
                  <c:v>12174.088418181193</c:v>
                </c:pt>
                <c:pt idx="181">
                  <c:v>4634.1791243401913</c:v>
                </c:pt>
                <c:pt idx="182">
                  <c:v>1774.397855242994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4804.3737627506171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2047.3733244265838</c:v>
                </c:pt>
                <c:pt idx="193">
                  <c:v>11590.499677697113</c:v>
                </c:pt>
                <c:pt idx="194">
                  <c:v>3196.9699685433488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6349.5023053765944</c:v>
                </c:pt>
                <c:pt idx="205">
                  <c:v>5524.846780308726</c:v>
                </c:pt>
                <c:pt idx="206">
                  <c:v>11004.356990079568</c:v>
                </c:pt>
                <c:pt idx="207">
                  <c:v>31128.88143862065</c:v>
                </c:pt>
                <c:pt idx="208">
                  <c:v>14069.712467209596</c:v>
                </c:pt>
                <c:pt idx="209">
                  <c:v>12664.847803455667</c:v>
                </c:pt>
                <c:pt idx="210">
                  <c:v>3776.1076381906682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5301.6969208816881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1665.6153119686621</c:v>
                </c:pt>
                <c:pt idx="218">
                  <c:v>4328.8732176014846</c:v>
                </c:pt>
                <c:pt idx="219">
                  <c:v>1063.6718936489185</c:v>
                </c:pt>
                <c:pt idx="220">
                  <c:v>7740.8463506362368</c:v>
                </c:pt>
                <c:pt idx="221">
                  <c:v>12953.030440872662</c:v>
                </c:pt>
                <c:pt idx="222">
                  <c:v>7063.1593609932606</c:v>
                </c:pt>
                <c:pt idx="223">
                  <c:v>27502.83349891652</c:v>
                </c:pt>
                <c:pt idx="224">
                  <c:v>29889.353060502392</c:v>
                </c:pt>
                <c:pt idx="225">
                  <c:v>13940.600248386658</c:v>
                </c:pt>
                <c:pt idx="226">
                  <c:v>6996.8057305241791</c:v>
                </c:pt>
                <c:pt idx="227">
                  <c:v>16139.705462441454</c:v>
                </c:pt>
                <c:pt idx="228">
                  <c:v>9798.4573279921151</c:v>
                </c:pt>
                <c:pt idx="229">
                  <c:v>9589.26205292329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-1980.6753949854733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29637.107647382836</c:v>
                </c:pt>
                <c:pt idx="236">
                  <c:v>716.4947351349872</c:v>
                </c:pt>
                <c:pt idx="237">
                  <c:v>8830.3097181260619</c:v>
                </c:pt>
                <c:pt idx="238">
                  <c:v>26166.342101602593</c:v>
                </c:pt>
                <c:pt idx="239">
                  <c:v>11582.007916270877</c:v>
                </c:pt>
                <c:pt idx="240">
                  <c:v>31206.917108312384</c:v>
                </c:pt>
                <c:pt idx="241">
                  <c:v>4521.2686983903504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37501.172578763239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5223.1547224309388</c:v>
                </c:pt>
                <c:pt idx="248">
                  <c:v>-584.989503037845</c:v>
                </c:pt>
                <c:pt idx="249">
                  <c:v>5682.6121515439972</c:v>
                </c:pt>
                <c:pt idx="250">
                  <c:v>23217.751855252456</c:v>
                </c:pt>
                <c:pt idx="251">
                  <c:v>39004.925480865022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12218.704399673283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28209.444585100362</c:v>
                </c:pt>
                <c:pt idx="267">
                  <c:v>15630.659788706882</c:v>
                </c:pt>
                <c:pt idx="268">
                  <c:v>9247.7747815140137</c:v>
                </c:pt>
                <c:pt idx="269">
                  <c:v>9756.3677252209709</c:v>
                </c:pt>
                <c:pt idx="270">
                  <c:v>1956.1516384216309</c:v>
                </c:pt>
                <c:pt idx="271">
                  <c:v>36212.865445706069</c:v>
                </c:pt>
                <c:pt idx="272">
                  <c:v>11626.412165624195</c:v>
                </c:pt>
                <c:pt idx="273">
                  <c:v>10561.021505339824</c:v>
                </c:pt>
                <c:pt idx="274">
                  <c:v>3343.3716254253832</c:v>
                </c:pt>
                <c:pt idx="275">
                  <c:v>10107.256949434755</c:v>
                </c:pt>
                <c:pt idx="276">
                  <c:v>400.92799970838439</c:v>
                </c:pt>
                <c:pt idx="277">
                  <c:v>994.65111109703003</c:v>
                </c:pt>
                <c:pt idx="278">
                  <c:v>13783.610795340261</c:v>
                </c:pt>
                <c:pt idx="279">
                  <c:v>7914.6247588485585</c:v>
                </c:pt>
                <c:pt idx="280">
                  <c:v>32197.870527925483</c:v>
                </c:pt>
                <c:pt idx="281">
                  <c:v>40834.808724538416</c:v>
                </c:pt>
                <c:pt idx="282">
                  <c:v>5488.3412107789263</c:v>
                </c:pt>
                <c:pt idx="283">
                  <c:v>13652.233288259225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5908.1757981952051</c:v>
                </c:pt>
                <c:pt idx="292">
                  <c:v>33562.939338132303</c:v>
                </c:pt>
                <c:pt idx="293">
                  <c:v>2452.8344633310353</c:v>
                </c:pt>
                <c:pt idx="294">
                  <c:v>3908.3910787884638</c:v>
                </c:pt>
                <c:pt idx="295">
                  <c:v>351.61890862315795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32479.629140707839</c:v>
                </c:pt>
                <c:pt idx="299">
                  <c:v>10309.009931631044</c:v>
                </c:pt>
                <c:pt idx="300">
                  <c:v>7948.2570382082486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6362.8023049466992</c:v>
                </c:pt>
                <c:pt idx="304">
                  <c:v>15582.574854670984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6512.9483045638399</c:v>
                </c:pt>
                <c:pt idx="308">
                  <c:v>14653.795271745803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359.75943492932174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12564.859728940208</c:v>
                </c:pt>
                <c:pt idx="316">
                  <c:v>11343.725965417541</c:v>
                </c:pt>
                <c:pt idx="317">
                  <c:v>12917.455543549753</c:v>
                </c:pt>
                <c:pt idx="318">
                  <c:v>8387.1800611231301</c:v>
                </c:pt>
                <c:pt idx="319">
                  <c:v>9288.8384813426655</c:v>
                </c:pt>
                <c:pt idx="320">
                  <c:v>5357.2182691779326</c:v>
                </c:pt>
                <c:pt idx="321">
                  <c:v>6695.4227354256673</c:v>
                </c:pt>
                <c:pt idx="322">
                  <c:v>29998.904972533379</c:v>
                </c:pt>
                <c:pt idx="323">
                  <c:v>16459.235117162363</c:v>
                </c:pt>
                <c:pt idx="324">
                  <c:v>3644.9922349347949</c:v>
                </c:pt>
                <c:pt idx="325">
                  <c:v>10248.094446478432</c:v>
                </c:pt>
                <c:pt idx="326">
                  <c:v>2309.7414964100944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12209.100728112307</c:v>
                </c:pt>
                <c:pt idx="334">
                  <c:v>12173.275836216224</c:v>
                </c:pt>
                <c:pt idx="335">
                  <c:v>15111.076785101104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36052.948329997169</c:v>
                </c:pt>
                <c:pt idx="339">
                  <c:v>8719.7746704045931</c:v>
                </c:pt>
                <c:pt idx="340">
                  <c:v>2627.7022130874998</c:v>
                </c:pt>
                <c:pt idx="341">
                  <c:v>13684.864499726031</c:v>
                </c:pt>
                <c:pt idx="342">
                  <c:v>12817.622223052311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7110.857448815379</c:v>
                </c:pt>
                <c:pt idx="346">
                  <c:v>8448.5517056681419</c:v>
                </c:pt>
                <c:pt idx="347">
                  <c:v>11531.445536958281</c:v>
                </c:pt>
                <c:pt idx="348">
                  <c:v>6897.4367429749636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4202.75967367267</c:v>
                </c:pt>
                <c:pt idx="353">
                  <c:v>8361.2799706842216</c:v>
                </c:pt>
                <c:pt idx="354">
                  <c:v>4634.1791243401913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7018.4187642391707</c:v>
                </c:pt>
                <c:pt idx="359">
                  <c:v>-1298.3143793134034</c:v>
                </c:pt>
                <c:pt idx="360">
                  <c:v>12297.51598755389</c:v>
                </c:pt>
                <c:pt idx="361">
                  <c:v>6780.9692922237864</c:v>
                </c:pt>
                <c:pt idx="362">
                  <c:v>23190.713616009623</c:v>
                </c:pt>
                <c:pt idx="363">
                  <c:v>1925.6015562915795</c:v>
                </c:pt>
                <c:pt idx="364">
                  <c:v>796.36856756883049</c:v>
                </c:pt>
                <c:pt idx="365">
                  <c:v>11563.297745453629</c:v>
                </c:pt>
                <c:pt idx="366">
                  <c:v>14827.867353001806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4291.5440353268805</c:v>
                </c:pt>
                <c:pt idx="370">
                  <c:v>10530.32496583899</c:v>
                </c:pt>
                <c:pt idx="371">
                  <c:v>10242.5439922306</c:v>
                </c:pt>
                <c:pt idx="372">
                  <c:v>10570.887730017939</c:v>
                </c:pt>
                <c:pt idx="373">
                  <c:v>29607.361495115627</c:v>
                </c:pt>
                <c:pt idx="374">
                  <c:v>3337.5698746461203</c:v>
                </c:pt>
                <c:pt idx="375">
                  <c:v>27067.294846402852</c:v>
                </c:pt>
                <c:pt idx="376">
                  <c:v>31796.420410523388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25886.337034134904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7690.8747620552022</c:v>
                </c:pt>
                <c:pt idx="385">
                  <c:v>3518.6215755593635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14245.020951713092</c:v>
                </c:pt>
                <c:pt idx="391">
                  <c:v>5284.7791912715038</c:v>
                </c:pt>
                <c:pt idx="392">
                  <c:v>11400.690680172384</c:v>
                </c:pt>
                <c:pt idx="393">
                  <c:v>11625.323654616699</c:v>
                </c:pt>
                <c:pt idx="394">
                  <c:v>11783.803282479194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2810.8893493424275</c:v>
                </c:pt>
                <c:pt idx="398">
                  <c:v>13043.256138262894</c:v>
                </c:pt>
                <c:pt idx="399">
                  <c:v>4596.8678444429988</c:v>
                </c:pt>
                <c:pt idx="400">
                  <c:v>7188.469556320013</c:v>
                </c:pt>
                <c:pt idx="401">
                  <c:v>15561.34704504147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1852.1894554557771</c:v>
                </c:pt>
                <c:pt idx="405">
                  <c:v>15387.237595657192</c:v>
                </c:pt>
                <c:pt idx="406">
                  <c:v>3748.4918654569738</c:v>
                </c:pt>
                <c:pt idx="407">
                  <c:v>7654.1250521522743</c:v>
                </c:pt>
                <c:pt idx="408">
                  <c:v>5245.9337871774242</c:v>
                </c:pt>
                <c:pt idx="409">
                  <c:v>5776.0082533276573</c:v>
                </c:pt>
                <c:pt idx="410">
                  <c:v>-1613.4445676598634</c:v>
                </c:pt>
                <c:pt idx="411">
                  <c:v>30550.755556353401</c:v>
                </c:pt>
                <c:pt idx="412">
                  <c:v>25371.693656853316</c:v>
                </c:pt>
                <c:pt idx="413">
                  <c:v>3875.7311536152934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28813.546807692561</c:v>
                </c:pt>
                <c:pt idx="418">
                  <c:v>17092.24776598976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4727.4836238269781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7545.6128781006992</c:v>
                </c:pt>
                <c:pt idx="427">
                  <c:v>2577.452844065203</c:v>
                </c:pt>
                <c:pt idx="428">
                  <c:v>-365.5167052674949</c:v>
                </c:pt>
                <c:pt idx="429">
                  <c:v>6381.6016681334768</c:v>
                </c:pt>
                <c:pt idx="430">
                  <c:v>3077.6700858652725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4343.5951033312931</c:v>
                </c:pt>
                <c:pt idx="437">
                  <c:v>7189.260856744706</c:v>
                </c:pt>
                <c:pt idx="438">
                  <c:v>18617.766388439497</c:v>
                </c:pt>
                <c:pt idx="439">
                  <c:v>4597.6594392479692</c:v>
                </c:pt>
                <c:pt idx="440">
                  <c:v>7231.3870622173199</c:v>
                </c:pt>
                <c:pt idx="441">
                  <c:v>30789.185304140407</c:v>
                </c:pt>
                <c:pt idx="442">
                  <c:v>6107.2498005243551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13395.222181703859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1071.7753485268627</c:v>
                </c:pt>
                <c:pt idx="453">
                  <c:v>2800.2275588783286</c:v>
                </c:pt>
                <c:pt idx="454">
                  <c:v>11848.200783055652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11111.085025926304</c:v>
                </c:pt>
                <c:pt idx="464">
                  <c:v>996.64905787555017</c:v>
                </c:pt>
                <c:pt idx="465">
                  <c:v>28682.475251102998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3978.124631843295</c:v>
                </c:pt>
                <c:pt idx="469">
                  <c:v>296.52456275150143</c:v>
                </c:pt>
                <c:pt idx="470">
                  <c:v>4911.6966630244015</c:v>
                </c:pt>
                <c:pt idx="471">
                  <c:v>2899.6866249955001</c:v>
                </c:pt>
                <c:pt idx="472">
                  <c:v>2089.6460483446067</c:v>
                </c:pt>
                <c:pt idx="473">
                  <c:v>11444.115703741605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4788.3871838936266</c:v>
                </c:pt>
                <c:pt idx="479">
                  <c:v>3846.9599729778174</c:v>
                </c:pt>
                <c:pt idx="480">
                  <c:v>19202.804480781328</c:v>
                </c:pt>
                <c:pt idx="481">
                  <c:v>13155.233824620786</c:v>
                </c:pt>
                <c:pt idx="482">
                  <c:v>2283.5684908170679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6561.0529889113222</c:v>
                </c:pt>
                <c:pt idx="486">
                  <c:v>10287.725645897071</c:v>
                </c:pt>
                <c:pt idx="487">
                  <c:v>1585.2188899775751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3141.1457545382113</c:v>
                </c:pt>
                <c:pt idx="491">
                  <c:v>11201.648695783064</c:v>
                </c:pt>
                <c:pt idx="492">
                  <c:v>1191.8475860649214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2540.9472745354033</c:v>
                </c:pt>
                <c:pt idx="496">
                  <c:v>4019.9239567038389</c:v>
                </c:pt>
                <c:pt idx="497">
                  <c:v>9214.4851462468851</c:v>
                </c:pt>
                <c:pt idx="498">
                  <c:v>7412.9789939744878</c:v>
                </c:pt>
                <c:pt idx="499">
                  <c:v>16322.887671392466</c:v>
                </c:pt>
                <c:pt idx="500">
                  <c:v>29935.719642845663</c:v>
                </c:pt>
                <c:pt idx="501">
                  <c:v>7804.1758210338121</c:v>
                </c:pt>
                <c:pt idx="502">
                  <c:v>32191.514139824154</c:v>
                </c:pt>
                <c:pt idx="503">
                  <c:v>25884.532226900203</c:v>
                </c:pt>
                <c:pt idx="504">
                  <c:v>7075.3479289749266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2797.4324574750699</c:v>
                </c:pt>
                <c:pt idx="509">
                  <c:v>11477.074645791905</c:v>
                </c:pt>
                <c:pt idx="510">
                  <c:v>13681.105147122375</c:v>
                </c:pt>
                <c:pt idx="511">
                  <c:v>5247.4981820991316</c:v>
                </c:pt>
                <c:pt idx="512">
                  <c:v>8634.5382737974633</c:v>
                </c:pt>
                <c:pt idx="513">
                  <c:v>2161.8477611160029</c:v>
                </c:pt>
                <c:pt idx="514">
                  <c:v>30910.70364634215</c:v>
                </c:pt>
                <c:pt idx="515">
                  <c:v>13976.970814210026</c:v>
                </c:pt>
                <c:pt idx="516">
                  <c:v>4484.6734579447166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6365.2918733301549</c:v>
                </c:pt>
                <c:pt idx="520">
                  <c:v>10184.611941492771</c:v>
                </c:pt>
                <c:pt idx="521">
                  <c:v>10244.977174311451</c:v>
                </c:pt>
                <c:pt idx="522">
                  <c:v>12664.881382449177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3141.7279284524939</c:v>
                </c:pt>
                <c:pt idx="526">
                  <c:v>3915.6970588716217</c:v>
                </c:pt>
                <c:pt idx="527">
                  <c:v>9427.7760602455146</c:v>
                </c:pt>
                <c:pt idx="528">
                  <c:v>13593.74173491219</c:v>
                </c:pt>
                <c:pt idx="529">
                  <c:v>1189.4267390419345</c:v>
                </c:pt>
                <c:pt idx="530">
                  <c:v>40150.192397365347</c:v>
                </c:pt>
                <c:pt idx="531">
                  <c:v>14749.163564220318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7672.0855434498299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3897.5274057787983</c:v>
                </c:pt>
                <c:pt idx="542">
                  <c:v>15521.111950371384</c:v>
                </c:pt>
                <c:pt idx="543">
                  <c:v>40826.378589064509</c:v>
                </c:pt>
                <c:pt idx="544">
                  <c:v>11694.460435613308</c:v>
                </c:pt>
                <c:pt idx="545">
                  <c:v>33727.438912858284</c:v>
                </c:pt>
                <c:pt idx="546">
                  <c:v>7141.4449641835445</c:v>
                </c:pt>
                <c:pt idx="547">
                  <c:v>17762.988843473246</c:v>
                </c:pt>
                <c:pt idx="548">
                  <c:v>4182.1070432684601</c:v>
                </c:pt>
                <c:pt idx="549">
                  <c:v>37590.534632284565</c:v>
                </c:pt>
                <c:pt idx="550">
                  <c:v>13599.204654203648</c:v>
                </c:pt>
                <c:pt idx="551">
                  <c:v>5058.7092686017058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8500.0397077344569</c:v>
                </c:pt>
                <c:pt idx="555">
                  <c:v>3185.8792304188564</c:v>
                </c:pt>
                <c:pt idx="556">
                  <c:v>11563.66891505131</c:v>
                </c:pt>
                <c:pt idx="557">
                  <c:v>7232.0490493465313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13016.546524851832</c:v>
                </c:pt>
                <c:pt idx="562">
                  <c:v>4250.6179267758725</c:v>
                </c:pt>
                <c:pt idx="563">
                  <c:v>15399.134105223702</c:v>
                </c:pt>
                <c:pt idx="564">
                  <c:v>3495.7485403956798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12885.145602793473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4773.87815041459</c:v>
                </c:pt>
                <c:pt idx="572">
                  <c:v>10309.152760563096</c:v>
                </c:pt>
                <c:pt idx="573">
                  <c:v>16964.72652639306</c:v>
                </c:pt>
                <c:pt idx="574">
                  <c:v>15285.914100343649</c:v>
                </c:pt>
                <c:pt idx="575">
                  <c:v>11822.052106180854</c:v>
                </c:pt>
                <c:pt idx="576">
                  <c:v>1649.917065786464</c:v>
                </c:pt>
                <c:pt idx="577">
                  <c:v>33269.618054857485</c:v>
                </c:pt>
                <c:pt idx="578">
                  <c:v>11045.76924927545</c:v>
                </c:pt>
                <c:pt idx="579">
                  <c:v>2442.0446262448504</c:v>
                </c:pt>
                <c:pt idx="580">
                  <c:v>12196.037738222332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3743.2683786856032</c:v>
                </c:pt>
                <c:pt idx="584">
                  <c:v>-1128.3287389091452</c:v>
                </c:pt>
                <c:pt idx="585">
                  <c:v>5567.198486905032</c:v>
                </c:pt>
                <c:pt idx="586">
                  <c:v>1614.2116369847358</c:v>
                </c:pt>
                <c:pt idx="587">
                  <c:v>31012.682831323411</c:v>
                </c:pt>
                <c:pt idx="588">
                  <c:v>15910.135847776281</c:v>
                </c:pt>
                <c:pt idx="589">
                  <c:v>7672.3284073300056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3542.3453670005365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11791.65340872551</c:v>
                </c:pt>
                <c:pt idx="596">
                  <c:v>8764.8302837594129</c:v>
                </c:pt>
                <c:pt idx="597">
                  <c:v>8548.2602878121852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4932.6693635177289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3535.7781369940822</c:v>
                </c:pt>
                <c:pt idx="607">
                  <c:v>34735.178011188924</c:v>
                </c:pt>
                <c:pt idx="608">
                  <c:v>5224.5654042021552</c:v>
                </c:pt>
                <c:pt idx="609">
                  <c:v>32296.834827958133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3930.8347239724553</c:v>
                </c:pt>
                <c:pt idx="613">
                  <c:v>4665.7546641559802</c:v>
                </c:pt>
                <c:pt idx="614">
                  <c:v>3356.9503943496502</c:v>
                </c:pt>
                <c:pt idx="615">
                  <c:v>35847.379236527348</c:v>
                </c:pt>
                <c:pt idx="616">
                  <c:v>12144.653971926247</c:v>
                </c:pt>
                <c:pt idx="617">
                  <c:v>33038.945392115493</c:v>
                </c:pt>
                <c:pt idx="618">
                  <c:v>26985.939863622312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27776.948418862288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8399.384331510666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3073.0167248308203</c:v>
                </c:pt>
                <c:pt idx="632">
                  <c:v>6526.8170048212078</c:v>
                </c:pt>
                <c:pt idx="633">
                  <c:v>6856.7896204639874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1377.9003157685822</c:v>
                </c:pt>
                <c:pt idx="637">
                  <c:v>10924.009468243185</c:v>
                </c:pt>
                <c:pt idx="638">
                  <c:v>30754.17846516936</c:v>
                </c:pt>
                <c:pt idx="639">
                  <c:v>14598.334586278752</c:v>
                </c:pt>
                <c:pt idx="640">
                  <c:v>12205.660865714617</c:v>
                </c:pt>
                <c:pt idx="641">
                  <c:v>33242.752820664755</c:v>
                </c:pt>
                <c:pt idx="642">
                  <c:v>15102.130548427549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12126.128123819439</c:v>
                </c:pt>
                <c:pt idx="646">
                  <c:v>6963.7338127949679</c:v>
                </c:pt>
                <c:pt idx="647">
                  <c:v>7689.1681716594376</c:v>
                </c:pt>
                <c:pt idx="648">
                  <c:v>2220.5748380188879</c:v>
                </c:pt>
                <c:pt idx="649">
                  <c:v>14140.642069280315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33764.099714952405</c:v>
                </c:pt>
                <c:pt idx="656">
                  <c:v>8636.9785767517587</c:v>
                </c:pt>
                <c:pt idx="657">
                  <c:v>6709.264728287103</c:v>
                </c:pt>
                <c:pt idx="658">
                  <c:v>13046.50380993989</c:v>
                </c:pt>
                <c:pt idx="659">
                  <c:v>14367.959261246186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7454.5267770629525</c:v>
                </c:pt>
                <c:pt idx="663">
                  <c:v>2935.791009263</c:v>
                </c:pt>
                <c:pt idx="664">
                  <c:v>35111.837977261268</c:v>
                </c:pt>
                <c:pt idx="665">
                  <c:v>35649.186650795484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7887.550873227161</c:v>
                </c:pt>
                <c:pt idx="670">
                  <c:v>6735.6545571119186</c:v>
                </c:pt>
                <c:pt idx="671">
                  <c:v>6079.5636619296556</c:v>
                </c:pt>
                <c:pt idx="672">
                  <c:v>6215.9992786363364</c:v>
                </c:pt>
                <c:pt idx="673">
                  <c:v>8079.3307594844937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-1127.1395262059816</c:v>
                </c:pt>
                <c:pt idx="681">
                  <c:v>-1264.006120353481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2328.2495032141182</c:v>
                </c:pt>
                <c:pt idx="685">
                  <c:v>11452.633949077674</c:v>
                </c:pt>
                <c:pt idx="686">
                  <c:v>8530.5439368877578</c:v>
                </c:pt>
                <c:pt idx="687">
                  <c:v>11310.3541975797</c:v>
                </c:pt>
                <c:pt idx="688">
                  <c:v>7823.7217789576953</c:v>
                </c:pt>
                <c:pt idx="689">
                  <c:v>28713.37383152566</c:v>
                </c:pt>
                <c:pt idx="690">
                  <c:v>2604.463358514573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8017.2516237308037</c:v>
                </c:pt>
                <c:pt idx="696">
                  <c:v>13581.797750240628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7205.263496399928</c:v>
                </c:pt>
                <c:pt idx="700">
                  <c:v>4248.0985051392681</c:v>
                </c:pt>
                <c:pt idx="701">
                  <c:v>16081.490132517225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7794.2143558005409</c:v>
                </c:pt>
                <c:pt idx="709">
                  <c:v>6717.5165183420195</c:v>
                </c:pt>
                <c:pt idx="710">
                  <c:v>3933.6494729728283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6794.433182815339</c:v>
                </c:pt>
                <c:pt idx="714">
                  <c:v>931.73494503329903</c:v>
                </c:pt>
                <c:pt idx="715">
                  <c:v>12184.168034731008</c:v>
                </c:pt>
                <c:pt idx="716">
                  <c:v>8439.1233300284239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14952.741227054292</c:v>
                </c:pt>
                <c:pt idx="721">
                  <c:v>14424.46479522044</c:v>
                </c:pt>
                <c:pt idx="722">
                  <c:v>15581.025095497844</c:v>
                </c:pt>
                <c:pt idx="723">
                  <c:v>3857.8150291702036</c:v>
                </c:pt>
                <c:pt idx="724">
                  <c:v>10563.442352362814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6347.5880809496903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10114.176403474179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2638.2471799830764</c:v>
                </c:pt>
                <c:pt idx="738">
                  <c:v>29875.487633228862</c:v>
                </c:pt>
                <c:pt idx="739">
                  <c:v>31259.833532115852</c:v>
                </c:pt>
                <c:pt idx="740">
                  <c:v>8592.1986764531466</c:v>
                </c:pt>
                <c:pt idx="741">
                  <c:v>27566.270248227062</c:v>
                </c:pt>
                <c:pt idx="742">
                  <c:v>36960.261026227643</c:v>
                </c:pt>
                <c:pt idx="743">
                  <c:v>4018.3160382233182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-163.39255347352264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29333.366135565841</c:v>
                </c:pt>
                <c:pt idx="751">
                  <c:v>2799.29688667144</c:v>
                </c:pt>
                <c:pt idx="752">
                  <c:v>16873.117586522203</c:v>
                </c:pt>
                <c:pt idx="753">
                  <c:v>9647.5427603299777</c:v>
                </c:pt>
                <c:pt idx="754">
                  <c:v>7403.7775508631166</c:v>
                </c:pt>
                <c:pt idx="755">
                  <c:v>6220.6981084654062</c:v>
                </c:pt>
                <c:pt idx="756">
                  <c:v>7238.9715505639106</c:v>
                </c:pt>
                <c:pt idx="757">
                  <c:v>32386.976299602822</c:v>
                </c:pt>
                <c:pt idx="758">
                  <c:v>9758.3502446592629</c:v>
                </c:pt>
                <c:pt idx="759">
                  <c:v>28314.088026960711</c:v>
                </c:pt>
                <c:pt idx="760">
                  <c:v>6392.6118958155585</c:v>
                </c:pt>
                <c:pt idx="761">
                  <c:v>5292.9022937465616</c:v>
                </c:pt>
                <c:pt idx="762">
                  <c:v>28962.533386785057</c:v>
                </c:pt>
                <c:pt idx="763">
                  <c:v>3694.4741804362448</c:v>
                </c:pt>
                <c:pt idx="764">
                  <c:v>9110.1935729646102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17006.197103272585</c:v>
                </c:pt>
                <c:pt idx="769">
                  <c:v>5025.8325201967464</c:v>
                </c:pt>
                <c:pt idx="770">
                  <c:v>16309.718888713804</c:v>
                </c:pt>
                <c:pt idx="771">
                  <c:v>10722.263418719096</c:v>
                </c:pt>
                <c:pt idx="772">
                  <c:v>11736.918123199544</c:v>
                </c:pt>
                <c:pt idx="773">
                  <c:v>26233.209704811641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12990.278349597827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5472.9580422720855</c:v>
                </c:pt>
                <c:pt idx="782">
                  <c:v>12671.088065985656</c:v>
                </c:pt>
                <c:pt idx="783">
                  <c:v>33630.002466120503</c:v>
                </c:pt>
                <c:pt idx="784">
                  <c:v>5389.2873009050691</c:v>
                </c:pt>
                <c:pt idx="785">
                  <c:v>6913.5430718068055</c:v>
                </c:pt>
                <c:pt idx="786">
                  <c:v>15876.422294867154</c:v>
                </c:pt>
                <c:pt idx="787">
                  <c:v>5473.8372683929119</c:v>
                </c:pt>
                <c:pt idx="788">
                  <c:v>4442.423531516235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1212.1060910056526</c:v>
                </c:pt>
                <c:pt idx="792">
                  <c:v>1574.8054343537169</c:v>
                </c:pt>
                <c:pt idx="793">
                  <c:v>31446.189421908675</c:v>
                </c:pt>
                <c:pt idx="794">
                  <c:v>9503.9514029209986</c:v>
                </c:pt>
                <c:pt idx="795">
                  <c:v>28027.852653343198</c:v>
                </c:pt>
                <c:pt idx="796">
                  <c:v>10550.951200139913</c:v>
                </c:pt>
                <c:pt idx="797">
                  <c:v>4008.4866655225442</c:v>
                </c:pt>
                <c:pt idx="798">
                  <c:v>13226.382194216949</c:v>
                </c:pt>
                <c:pt idx="799">
                  <c:v>28665.242922363766</c:v>
                </c:pt>
                <c:pt idx="800">
                  <c:v>7169.9913416945092</c:v>
                </c:pt>
                <c:pt idx="801">
                  <c:v>15666.034463217155</c:v>
                </c:pt>
                <c:pt idx="802">
                  <c:v>403.59403709202775</c:v>
                </c:pt>
                <c:pt idx="803">
                  <c:v>29825.919742551938</c:v>
                </c:pt>
                <c:pt idx="804">
                  <c:v>1794.8395786322351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1741.8300525528437</c:v>
                </c:pt>
                <c:pt idx="809">
                  <c:v>3591.8152643246212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3710.0666338297547</c:v>
                </c:pt>
                <c:pt idx="814">
                  <c:v>8771.385404513876</c:v>
                </c:pt>
                <c:pt idx="815">
                  <c:v>2834.5924757889561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</c:v>
                </c:pt>
                <c:pt idx="820">
                  <c:v>10434.951869151955</c:v>
                </c:pt>
                <c:pt idx="821">
                  <c:v>248.9966562876325</c:v>
                </c:pt>
                <c:pt idx="822">
                  <c:v>2208.945931022683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16246.100737686309</c:v>
                </c:pt>
                <c:pt idx="826">
                  <c:v>36861.576279641034</c:v>
                </c:pt>
                <c:pt idx="827">
                  <c:v>31006.907380287954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3939.5443871026368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12047.983837647158</c:v>
                </c:pt>
                <c:pt idx="838">
                  <c:v>5961.6092419165943</c:v>
                </c:pt>
                <c:pt idx="839">
                  <c:v>13496.737094811513</c:v>
                </c:pt>
                <c:pt idx="840">
                  <c:v>2912.995883718288</c:v>
                </c:pt>
                <c:pt idx="841">
                  <c:v>11462.750168328959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11887.23811677969</c:v>
                </c:pt>
                <c:pt idx="845">
                  <c:v>37293.182638270431</c:v>
                </c:pt>
                <c:pt idx="846">
                  <c:v>12277.001070576571</c:v>
                </c:pt>
                <c:pt idx="847">
                  <c:v>10366.887861472122</c:v>
                </c:pt>
                <c:pt idx="848">
                  <c:v>2211.0941830616025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10681.693721867947</c:v>
                </c:pt>
                <c:pt idx="854">
                  <c:v>34010.526776873536</c:v>
                </c:pt>
                <c:pt idx="855">
                  <c:v>2278.6637101597876</c:v>
                </c:pt>
                <c:pt idx="856">
                  <c:v>34434.774087205406</c:v>
                </c:pt>
                <c:pt idx="857">
                  <c:v>26031.86455598913</c:v>
                </c:pt>
                <c:pt idx="858">
                  <c:v>4855.5537429051737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4042.9761366205448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4167.0632458703503</c:v>
                </c:pt>
                <c:pt idx="867">
                  <c:v>16909.162635708533</c:v>
                </c:pt>
                <c:pt idx="868">
                  <c:v>11622.00571438033</c:v>
                </c:pt>
                <c:pt idx="869">
                  <c:v>3191.721804156472</c:v>
                </c:pt>
                <c:pt idx="870">
                  <c:v>12091.716720716662</c:v>
                </c:pt>
                <c:pt idx="871">
                  <c:v>4179.6280980127131</c:v>
                </c:pt>
                <c:pt idx="872">
                  <c:v>6115.4410783839594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9091.5164632744982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963.49192279304225</c:v>
                </c:pt>
                <c:pt idx="883">
                  <c:v>39003.289036879381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6019.0772465866921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8025.4481392448197</c:v>
                </c:pt>
                <c:pt idx="892">
                  <c:v>9952.9047589910115</c:v>
                </c:pt>
                <c:pt idx="893">
                  <c:v>36975.102300122409</c:v>
                </c:pt>
                <c:pt idx="894">
                  <c:v>14746.742717197329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1601.0431153968032</c:v>
                </c:pt>
                <c:pt idx="898">
                  <c:v>5305.7821624896533</c:v>
                </c:pt>
                <c:pt idx="899">
                  <c:v>225.70883066582337</c:v>
                </c:pt>
                <c:pt idx="900">
                  <c:v>8153.0489468157957</c:v>
                </c:pt>
                <c:pt idx="901">
                  <c:v>40034.836830959131</c:v>
                </c:pt>
                <c:pt idx="902">
                  <c:v>5283.0233785556811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5647.7515108483121</c:v>
                </c:pt>
                <c:pt idx="906">
                  <c:v>7344.3889043026993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27164.704235094723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4720.1773235737746</c:v>
                </c:pt>
                <c:pt idx="916">
                  <c:v>31721.071225754367</c:v>
                </c:pt>
                <c:pt idx="917">
                  <c:v>31103.051590951345</c:v>
                </c:pt>
                <c:pt idx="918">
                  <c:v>12334.903329135877</c:v>
                </c:pt>
                <c:pt idx="919">
                  <c:v>8095.7203064281184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12615.467577047419</c:v>
                </c:pt>
                <c:pt idx="926">
                  <c:v>869.80903553349526</c:v>
                </c:pt>
                <c:pt idx="927">
                  <c:v>9035.5114898878146</c:v>
                </c:pt>
                <c:pt idx="928">
                  <c:v>16234.348875161037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8676.7419917942952</c:v>
                </c:pt>
                <c:pt idx="935">
                  <c:v>11583.755206533593</c:v>
                </c:pt>
                <c:pt idx="936">
                  <c:v>10268.745009497585</c:v>
                </c:pt>
                <c:pt idx="937">
                  <c:v>8320.3594128329823</c:v>
                </c:pt>
                <c:pt idx="938">
                  <c:v>1349.6250665521832</c:v>
                </c:pt>
                <c:pt idx="939">
                  <c:v>10507.934711976866</c:v>
                </c:pt>
                <c:pt idx="940">
                  <c:v>-608.78058097027701</c:v>
                </c:pt>
                <c:pt idx="941">
                  <c:v>15978.183823385121</c:v>
                </c:pt>
                <c:pt idx="942">
                  <c:v>6315.3647028566611</c:v>
                </c:pt>
                <c:pt idx="943">
                  <c:v>126.61784936374534</c:v>
                </c:pt>
                <c:pt idx="944">
                  <c:v>16364.213475046277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28740.58663617272</c:v>
                </c:pt>
                <c:pt idx="950">
                  <c:v>8790.0711310212682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33314.953516038622</c:v>
                </c:pt>
                <c:pt idx="954">
                  <c:v>30075.784019602557</c:v>
                </c:pt>
                <c:pt idx="955">
                  <c:v>8727.9219719488574</c:v>
                </c:pt>
                <c:pt idx="956">
                  <c:v>35536.561510342479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3335.3551046358093</c:v>
                </c:pt>
                <c:pt idx="962">
                  <c:v>15623.499696548593</c:v>
                </c:pt>
                <c:pt idx="963">
                  <c:v>9582.3425988838662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33886.694458909653</c:v>
                </c:pt>
                <c:pt idx="967">
                  <c:v>7958.0051726444399</c:v>
                </c:pt>
                <c:pt idx="968">
                  <c:v>3007.6670212313334</c:v>
                </c:pt>
                <c:pt idx="969">
                  <c:v>11062.459177071234</c:v>
                </c:pt>
                <c:pt idx="970">
                  <c:v>10847.446290441021</c:v>
                </c:pt>
                <c:pt idx="971">
                  <c:v>4785.9751771740121</c:v>
                </c:pt>
                <c:pt idx="972">
                  <c:v>222.91681404515111</c:v>
                </c:pt>
                <c:pt idx="973">
                  <c:v>5719.0160019805953</c:v>
                </c:pt>
                <c:pt idx="974">
                  <c:v>5587.6223079168649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3936.3798989260285</c:v>
                </c:pt>
                <c:pt idx="978">
                  <c:v>14612.541100626393</c:v>
                </c:pt>
                <c:pt idx="979">
                  <c:v>6421.9361978258312</c:v>
                </c:pt>
                <c:pt idx="980">
                  <c:v>10911.755975535592</c:v>
                </c:pt>
                <c:pt idx="981">
                  <c:v>3913.523121639219</c:v>
                </c:pt>
                <c:pt idx="982">
                  <c:v>28992.789627675615</c:v>
                </c:pt>
                <c:pt idx="983">
                  <c:v>5848.0112334459136</c:v>
                </c:pt>
                <c:pt idx="984">
                  <c:v>5659.5876964207519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8424.7960546633913</c:v>
                </c:pt>
                <c:pt idx="989">
                  <c:v>25034.798094736398</c:v>
                </c:pt>
                <c:pt idx="990">
                  <c:v>971.20652514677454</c:v>
                </c:pt>
                <c:pt idx="991">
                  <c:v>8214.4536918080103</c:v>
                </c:pt>
                <c:pt idx="992">
                  <c:v>11613.742283800171</c:v>
                </c:pt>
                <c:pt idx="993">
                  <c:v>6720.1658901966639</c:v>
                </c:pt>
                <c:pt idx="994">
                  <c:v>26717.787997906049</c:v>
                </c:pt>
                <c:pt idx="995">
                  <c:v>7400.0884410290582</c:v>
                </c:pt>
                <c:pt idx="996">
                  <c:v>10111.806585065575</c:v>
                </c:pt>
                <c:pt idx="997">
                  <c:v>15707.668349857349</c:v>
                </c:pt>
                <c:pt idx="998">
                  <c:v>10273.553124550055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1885.8396371928807</c:v>
                </c:pt>
                <c:pt idx="1003">
                  <c:v>9339.327221810423</c:v>
                </c:pt>
                <c:pt idx="1004">
                  <c:v>6987.0185536341905</c:v>
                </c:pt>
                <c:pt idx="1005">
                  <c:v>6739.6267619663522</c:v>
                </c:pt>
                <c:pt idx="1006">
                  <c:v>5997.9264784348716</c:v>
                </c:pt>
                <c:pt idx="1007">
                  <c:v>34494.811205258462</c:v>
                </c:pt>
                <c:pt idx="1008">
                  <c:v>3777.3054066364843</c:v>
                </c:pt>
                <c:pt idx="1009">
                  <c:v>10914.547992156264</c:v>
                </c:pt>
                <c:pt idx="1010">
                  <c:v>7164.1260966518184</c:v>
                </c:pt>
                <c:pt idx="1011">
                  <c:v>29567.448027553117</c:v>
                </c:pt>
                <c:pt idx="1012">
                  <c:v>15901.996868669024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1410.1236938616114</c:v>
                </c:pt>
                <c:pt idx="1017">
                  <c:v>6331.0928022920052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-95.968755923952813</c:v>
                </c:pt>
                <c:pt idx="1024">
                  <c:v>14946.435806492729</c:v>
                </c:pt>
                <c:pt idx="1025">
                  <c:v>4231.4873307513371</c:v>
                </c:pt>
                <c:pt idx="1026">
                  <c:v>25610.694547774772</c:v>
                </c:pt>
                <c:pt idx="1027">
                  <c:v>-167.11524230108444</c:v>
                </c:pt>
                <c:pt idx="1028">
                  <c:v>11558.85224425619</c:v>
                </c:pt>
                <c:pt idx="1029">
                  <c:v>4380.8023709443532</c:v>
                </c:pt>
                <c:pt idx="1030">
                  <c:v>31871.545973352528</c:v>
                </c:pt>
                <c:pt idx="1031">
                  <c:v>36941.682873013495</c:v>
                </c:pt>
                <c:pt idx="1032">
                  <c:v>5240.8251593039904</c:v>
                </c:pt>
                <c:pt idx="1033">
                  <c:v>23716.802779140533</c:v>
                </c:pt>
                <c:pt idx="1034">
                  <c:v>16263.665419375309</c:v>
                </c:pt>
                <c:pt idx="1035">
                  <c:v>10199.604538045469</c:v>
                </c:pt>
                <c:pt idx="1036">
                  <c:v>29919.401728436442</c:v>
                </c:pt>
                <c:pt idx="1037">
                  <c:v>33934.772843513325</c:v>
                </c:pt>
                <c:pt idx="1038">
                  <c:v>3376.893760540398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383.84228671618803</c:v>
                </c:pt>
                <c:pt idx="1042">
                  <c:v>27323.959781146088</c:v>
                </c:pt>
                <c:pt idx="1043">
                  <c:v>3044.5794067373795</c:v>
                </c:pt>
                <c:pt idx="1044">
                  <c:v>14487.620271655009</c:v>
                </c:pt>
                <c:pt idx="1045">
                  <c:v>31930.934619912943</c:v>
                </c:pt>
                <c:pt idx="1046">
                  <c:v>7613.2563994986212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13327.052736690237</c:v>
                </c:pt>
                <c:pt idx="1052">
                  <c:v>11109.749605128221</c:v>
                </c:pt>
                <c:pt idx="1053">
                  <c:v>34425.345737355463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6585.7413184333964</c:v>
                </c:pt>
                <c:pt idx="1059">
                  <c:v>7743.6095924759184</c:v>
                </c:pt>
                <c:pt idx="1060">
                  <c:v>3917.2599260292036</c:v>
                </c:pt>
                <c:pt idx="1061">
                  <c:v>11488.5027487147</c:v>
                </c:pt>
                <c:pt idx="1062">
                  <c:v>40328.1035833653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12415.841577164634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14778.035423083469</c:v>
                </c:pt>
                <c:pt idx="1072">
                  <c:v>3572.6579609041546</c:v>
                </c:pt>
                <c:pt idx="1073">
                  <c:v>12678.612491428905</c:v>
                </c:pt>
                <c:pt idx="1074">
                  <c:v>9691.9545480284196</c:v>
                </c:pt>
                <c:pt idx="1075">
                  <c:v>5758.0774931339929</c:v>
                </c:pt>
                <c:pt idx="1076">
                  <c:v>10503.35006248333</c:v>
                </c:pt>
                <c:pt idx="1077">
                  <c:v>2153.3360652121573</c:v>
                </c:pt>
                <c:pt idx="1078">
                  <c:v>28681.286038399838</c:v>
                </c:pt>
                <c:pt idx="1079">
                  <c:v>15920.828508891054</c:v>
                </c:pt>
                <c:pt idx="1080">
                  <c:v>-142.82612933551343</c:v>
                </c:pt>
                <c:pt idx="1081">
                  <c:v>5713.5367726150407</c:v>
                </c:pt>
                <c:pt idx="1082">
                  <c:v>4580.1345061176544</c:v>
                </c:pt>
                <c:pt idx="1083">
                  <c:v>6349.5936882225851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11885.376772365911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12306.701534598285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5220.5927208014191</c:v>
                </c:pt>
                <c:pt idx="1096">
                  <c:v>37818.874173683587</c:v>
                </c:pt>
                <c:pt idx="1097">
                  <c:v>4000.5276993095858</c:v>
                </c:pt>
                <c:pt idx="1098">
                  <c:v>11890.58963600957</c:v>
                </c:pt>
                <c:pt idx="1099">
                  <c:v>5452.5342212602545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8027.6528673881967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6782.7492956585138</c:v>
                </c:pt>
                <c:pt idx="1110">
                  <c:v>13363.153557628844</c:v>
                </c:pt>
                <c:pt idx="1111">
                  <c:v>34952.339272949452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2151.4747207983755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29421.387269543942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6460.2554172134824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-1709.3206320968015</c:v>
                </c:pt>
                <c:pt idx="1130">
                  <c:v>7517.8875868379546</c:v>
                </c:pt>
                <c:pt idx="1131">
                  <c:v>10425.198202681073</c:v>
                </c:pt>
                <c:pt idx="1132">
                  <c:v>16233.671470511154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5631.9866205102553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2964.1333811815603</c:v>
                </c:pt>
                <c:pt idx="1151">
                  <c:v>14979.943159297774</c:v>
                </c:pt>
                <c:pt idx="1152">
                  <c:v>34390.437560480103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6242.8388463006595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3574.5162205353454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2255.2190631349058</c:v>
                </c:pt>
                <c:pt idx="1164">
                  <c:v>8317.675195311429</c:v>
                </c:pt>
                <c:pt idx="1165">
                  <c:v>5912.8627382231643</c:v>
                </c:pt>
                <c:pt idx="1166">
                  <c:v>15229.176831948309</c:v>
                </c:pt>
                <c:pt idx="1167">
                  <c:v>3845.4047052399833</c:v>
                </c:pt>
                <c:pt idx="1168">
                  <c:v>8080.1100117318256</c:v>
                </c:pt>
                <c:pt idx="1169">
                  <c:v>9255.8758488368549</c:v>
                </c:pt>
                <c:pt idx="1170">
                  <c:v>26157.929387964483</c:v>
                </c:pt>
                <c:pt idx="1171">
                  <c:v>32002.23443525844</c:v>
                </c:pt>
                <c:pt idx="1172">
                  <c:v>15625.992757366761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1944.3927812073821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5795.1372923337331</c:v>
                </c:pt>
                <c:pt idx="1179">
                  <c:v>28817.56333775961</c:v>
                </c:pt>
                <c:pt idx="1180">
                  <c:v>13342.098246018504</c:v>
                </c:pt>
                <c:pt idx="1181">
                  <c:v>4023.4140846088885</c:v>
                </c:pt>
                <c:pt idx="1182">
                  <c:v>3800.3808903741151</c:v>
                </c:pt>
                <c:pt idx="1183">
                  <c:v>10146.399781567208</c:v>
                </c:pt>
                <c:pt idx="1184">
                  <c:v>26921.792063238754</c:v>
                </c:pt>
                <c:pt idx="1185">
                  <c:v>8431.0817859879971</c:v>
                </c:pt>
                <c:pt idx="1186">
                  <c:v>30073.113178006395</c:v>
                </c:pt>
                <c:pt idx="1187">
                  <c:v>14718.433445725974</c:v>
                </c:pt>
                <c:pt idx="1188">
                  <c:v>32001.738242746636</c:v>
                </c:pt>
                <c:pt idx="1189">
                  <c:v>2506.5232419944864</c:v>
                </c:pt>
                <c:pt idx="1190">
                  <c:v>7739.1109854594815</c:v>
                </c:pt>
                <c:pt idx="1191">
                  <c:v>6447.2260063170133</c:v>
                </c:pt>
                <c:pt idx="1192">
                  <c:v>14422.802345871269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26619.890241927998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12461.270140621693</c:v>
                </c:pt>
                <c:pt idx="1204">
                  <c:v>26178.087311981166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-163.95514086531875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5829.5931844382258</c:v>
                </c:pt>
                <c:pt idx="1216">
                  <c:v>5676.3509331036475</c:v>
                </c:pt>
                <c:pt idx="1217">
                  <c:v>7943.4842140794426</c:v>
                </c:pt>
                <c:pt idx="1218">
                  <c:v>34976.931231246992</c:v>
                </c:pt>
                <c:pt idx="1219">
                  <c:v>9142.5747898582467</c:v>
                </c:pt>
                <c:pt idx="1220">
                  <c:v>3686.2528845922461</c:v>
                </c:pt>
                <c:pt idx="1221">
                  <c:v>6590.04074350472</c:v>
                </c:pt>
                <c:pt idx="1222">
                  <c:v>8319.5370182715124</c:v>
                </c:pt>
                <c:pt idx="1223">
                  <c:v>24295.20510428146</c:v>
                </c:pt>
                <c:pt idx="1224">
                  <c:v>7057.0493430615916</c:v>
                </c:pt>
                <c:pt idx="1225">
                  <c:v>9484.8828761102359</c:v>
                </c:pt>
                <c:pt idx="1226">
                  <c:v>4345.2274736214458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13107.07312328037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11590.341838896507</c:v>
                </c:pt>
                <c:pt idx="1237">
                  <c:v>12176.509265204182</c:v>
                </c:pt>
                <c:pt idx="1238">
                  <c:v>6561.7211080010766</c:v>
                </c:pt>
                <c:pt idx="1239">
                  <c:v>8213.568933652492</c:v>
                </c:pt>
                <c:pt idx="1240">
                  <c:v>39229.477340136153</c:v>
                </c:pt>
                <c:pt idx="1241">
                  <c:v>40670.057255107866</c:v>
                </c:pt>
                <c:pt idx="1242">
                  <c:v>2003.875608515877</c:v>
                </c:pt>
                <c:pt idx="1243">
                  <c:v>5449.1124945456268</c:v>
                </c:pt>
                <c:pt idx="1244">
                  <c:v>2823.8571695714245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7320.6454236245645</c:v>
                </c:pt>
                <c:pt idx="1248">
                  <c:v>5156.5370429008835</c:v>
                </c:pt>
                <c:pt idx="1249">
                  <c:v>31880.661277627321</c:v>
                </c:pt>
                <c:pt idx="1250">
                  <c:v>28061.374788458212</c:v>
                </c:pt>
                <c:pt idx="1251">
                  <c:v>-1433.6028471589011</c:v>
                </c:pt>
                <c:pt idx="1252">
                  <c:v>25215.738949372568</c:v>
                </c:pt>
                <c:pt idx="1253">
                  <c:v>9216.0349054200233</c:v>
                </c:pt>
                <c:pt idx="1254">
                  <c:v>5161.9978948072858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9280.4960104741567</c:v>
                </c:pt>
                <c:pt idx="1260">
                  <c:v>3241.1143731223619</c:v>
                </c:pt>
                <c:pt idx="1261">
                  <c:v>7221.6516182938976</c:v>
                </c:pt>
                <c:pt idx="1262">
                  <c:v>7547.4267474094322</c:v>
                </c:pt>
                <c:pt idx="1263">
                  <c:v>8763.6183997511744</c:v>
                </c:pt>
                <c:pt idx="1264">
                  <c:v>12908.829499114565</c:v>
                </c:pt>
                <c:pt idx="1265">
                  <c:v>35241.702577146512</c:v>
                </c:pt>
                <c:pt idx="1266">
                  <c:v>11573.910157216722</c:v>
                </c:pt>
                <c:pt idx="1267">
                  <c:v>28480.278703667602</c:v>
                </c:pt>
                <c:pt idx="1268">
                  <c:v>3533.6794885198938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8973.6678360501264</c:v>
                </c:pt>
                <c:pt idx="1273">
                  <c:v>5725.729153201466</c:v>
                </c:pt>
                <c:pt idx="1274">
                  <c:v>26600.499577643059</c:v>
                </c:pt>
                <c:pt idx="1275">
                  <c:v>9649.7930183425979</c:v>
                </c:pt>
                <c:pt idx="1276">
                  <c:v>4023.782169423981</c:v>
                </c:pt>
                <c:pt idx="1277">
                  <c:v>6013.8181487216116</c:v>
                </c:pt>
                <c:pt idx="1278">
                  <c:v>32421.943999760595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2180.0193178047857</c:v>
                </c:pt>
                <c:pt idx="1284">
                  <c:v>39275.091031050528</c:v>
                </c:pt>
                <c:pt idx="1285">
                  <c:v>8382.8947849037741</c:v>
                </c:pt>
                <c:pt idx="1286">
                  <c:v>1118.0941078099568</c:v>
                </c:pt>
                <c:pt idx="1287">
                  <c:v>5608.8501175463771</c:v>
                </c:pt>
                <c:pt idx="1288">
                  <c:v>30270.980828361997</c:v>
                </c:pt>
                <c:pt idx="1289">
                  <c:v>10313.424399766334</c:v>
                </c:pt>
                <c:pt idx="1290">
                  <c:v>5539.9133100865365</c:v>
                </c:pt>
                <c:pt idx="1291">
                  <c:v>27536.752844277606</c:v>
                </c:pt>
                <c:pt idx="1292">
                  <c:v>161.78847664176715</c:v>
                </c:pt>
                <c:pt idx="1293">
                  <c:v>9551.6124803895236</c:v>
                </c:pt>
                <c:pt idx="1294">
                  <c:v>11367.01070625676</c:v>
                </c:pt>
                <c:pt idx="1295">
                  <c:v>44.979648471427709</c:v>
                </c:pt>
                <c:pt idx="1296">
                  <c:v>1414.9903856931423</c:v>
                </c:pt>
                <c:pt idx="1297">
                  <c:v>4161.4367910123474</c:v>
                </c:pt>
                <c:pt idx="1298">
                  <c:v>6317.0001579294003</c:v>
                </c:pt>
                <c:pt idx="1299">
                  <c:v>1796.8042309779705</c:v>
                </c:pt>
                <c:pt idx="1300">
                  <c:v>32600.108672768445</c:v>
                </c:pt>
                <c:pt idx="1301">
                  <c:v>39249.91107992352</c:v>
                </c:pt>
                <c:pt idx="1302">
                  <c:v>1053.5436262202663</c:v>
                </c:pt>
                <c:pt idx="1303">
                  <c:v>31293.03178453699</c:v>
                </c:pt>
                <c:pt idx="1304">
                  <c:v>31863.504429312103</c:v>
                </c:pt>
                <c:pt idx="1305">
                  <c:v>2593.4343694338058</c:v>
                </c:pt>
                <c:pt idx="1306">
                  <c:v>26770.207150725557</c:v>
                </c:pt>
                <c:pt idx="1307">
                  <c:v>31085.243084254347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2631.6286269819602</c:v>
                </c:pt>
                <c:pt idx="1316">
                  <c:v>-1030.9337248751212</c:v>
                </c:pt>
                <c:pt idx="1317">
                  <c:v>9539.88755106606</c:v>
                </c:pt>
                <c:pt idx="1318">
                  <c:v>12291.493626727848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15991.100676074353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14973.237036055429</c:v>
                </c:pt>
                <c:pt idx="1326">
                  <c:v>9998.7170505897157</c:v>
                </c:pt>
                <c:pt idx="1327">
                  <c:v>10656.278951537268</c:v>
                </c:pt>
                <c:pt idx="1328">
                  <c:v>3137.1200362126588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17046.389776326007</c:v>
                </c:pt>
                <c:pt idx="1333">
                  <c:v>12351.323685655552</c:v>
                </c:pt>
                <c:pt idx="1334">
                  <c:v>3511.9308087630689</c:v>
                </c:pt>
                <c:pt idx="1335">
                  <c:v>4149.1324856766896</c:v>
                </c:pt>
                <c:pt idx="1336">
                  <c:v>1246.5849389759437</c:v>
                </c:pt>
                <c:pt idx="1337">
                  <c:v>37085.62326756632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00-2B41-9705-963890E9D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676303"/>
        <c:axId val="579551279"/>
      </c:scatterChart>
      <c:valAx>
        <c:axId val="579676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SouthWest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551279"/>
        <c:crosses val="autoZero"/>
        <c:crossBetween val="midCat"/>
      </c:valAx>
      <c:valAx>
        <c:axId val="5795512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67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BMI Vs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dataset!$J$1</c:f>
              <c:strCache>
                <c:ptCount val="1"/>
                <c:pt idx="0">
                  <c:v>charges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6397419072615924E-2"/>
                  <c:y val="-0.579269466316710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dataset!$C$2:$C$1339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dataset!$J$2:$J$1339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27-1640-A3ED-2BA4A34F2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583119"/>
        <c:axId val="667991103"/>
      </c:scatterChart>
      <c:valAx>
        <c:axId val="626583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91103"/>
        <c:crosses val="autoZero"/>
        <c:crossBetween val="midCat"/>
      </c:valAx>
      <c:valAx>
        <c:axId val="66799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583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</a:t>
          </a:r>
        </a:p>
      </cx:txPr>
    </cx:title>
    <cx:plotArea>
      <cx:plotAreaRegion>
        <cx:series layoutId="clusteredColumn" uniqueId="{32CCE169-9E7C-9343-8DAF-49102DF12EBE}">
          <cx:tx>
            <cx:txData>
              <cx:f>_xlchart.v1.0</cx:f>
              <cx:v>age</cx:v>
            </cx:txData>
          </cx:tx>
          <cx:dataPt idx="5"/>
          <cx:dataPt idx="6"/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BMI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BMI</a:t>
          </a:r>
        </a:p>
      </cx:txPr>
    </cx:title>
    <cx:plotArea>
      <cx:plotAreaRegion>
        <cx:series layoutId="clusteredColumn" uniqueId="{397CBFDD-CD49-154D-B57F-FA45061D7CB9}">
          <cx:tx>
            <cx:txData>
              <cx:f>_xlchart.v1.2</cx:f>
              <cx:v>bmi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Children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Children</a:t>
          </a:r>
        </a:p>
      </cx:txPr>
    </cx:title>
    <cx:plotArea>
      <cx:plotAreaRegion>
        <cx:series layoutId="clusteredColumn" uniqueId="{F9FB19EF-8287-074E-BC27-5C2DFB2C61E7}">
          <cx:dataLabels pos="outEnd">
            <cx:visibility seriesName="0" categoryName="0" value="1"/>
            <cx:separator>, </cx:separator>
          </cx:dataLabels>
          <cx:dataId val="0"/>
          <cx:layoutPr>
            <cx:binning intervalClosed="r">
              <cx:binCount val="6"/>
            </cx:binning>
          </cx:layoutPr>
        </cx:series>
      </cx:plotAreaRegion>
      <cx:axis id="0">
        <cx:catScaling gapWidth="0"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Charges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Charges</a:t>
          </a:r>
        </a:p>
      </cx:txPr>
    </cx:title>
    <cx:plotArea>
      <cx:plotAreaRegion>
        <cx:series layoutId="clusteredColumn" uniqueId="{41189595-7EEA-364F-A0E0-DC77C2EC03BA}">
          <cx:dataLabels pos="outEnd">
            <cx:visibility seriesName="0" categoryName="0" value="1"/>
          </cx:dataLabels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"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Age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</a:t>
          </a:r>
        </a:p>
      </cx:txPr>
    </cx:title>
    <cx:plotArea>
      <cx:plotAreaRegion>
        <cx:series layoutId="clusteredColumn" uniqueId="{32CCE169-9E7C-9343-8DAF-49102DF12EBE}">
          <cx:tx>
            <cx:txData>
              <cx:f>_xlchart.v1.6</cx:f>
              <cx:v>age</cx:v>
            </cx:txData>
          </cx:tx>
          <cx:dataPt idx="5"/>
          <cx:dataPt idx="6"/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BMI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BMI</a:t>
          </a:r>
        </a:p>
      </cx:txPr>
    </cx:title>
    <cx:plotArea>
      <cx:plotAreaRegion>
        <cx:series layoutId="clusteredColumn" uniqueId="{397CBFDD-CD49-154D-B57F-FA45061D7CB9}">
          <cx:tx>
            <cx:txData>
              <cx:f>_xlchart.v1.12</cx:f>
              <cx:v>bmi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</cx:chartData>
  <cx:chart>
    <cx:title pos="t" align="ctr" overlay="0">
      <cx:tx>
        <cx:txData>
          <cx:v>Children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Children</a:t>
          </a:r>
        </a:p>
      </cx:txPr>
    </cx:title>
    <cx:plotArea>
      <cx:plotAreaRegion>
        <cx:series layoutId="clusteredColumn" uniqueId="{F9FB19EF-8287-074E-BC27-5C2DFB2C61E7}">
          <cx:dataLabels pos="outEnd">
            <cx:visibility seriesName="0" categoryName="0" value="1"/>
            <cx:separator>, </cx:separator>
          </cx:dataLabels>
          <cx:dataId val="0"/>
          <cx:layoutPr>
            <cx:binning intervalClosed="r">
              <cx:binCount val="6"/>
            </cx:binning>
          </cx:layoutPr>
        </cx:series>
      </cx:plotAreaRegion>
      <cx:axis id="0">
        <cx:catScaling gapWidth="0"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Charges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Charges</a:t>
          </a:r>
        </a:p>
      </cx:txPr>
    </cx:title>
    <cx:plotArea>
      <cx:plotAreaRegion>
        <cx:series layoutId="clusteredColumn" uniqueId="{41189595-7EEA-364F-A0E0-DC77C2EC03BA}">
          <cx:dataLabels pos="outEnd">
            <cx:visibility seriesName="0" categoryName="0" value="1"/>
          </cx:dataLabels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"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txData>
          <cx:v>age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</a:t>
          </a:r>
        </a:p>
      </cx:txPr>
    </cx:title>
    <cx:plotArea>
      <cx:plotAreaRegion>
        <cx:series layoutId="boxWhisker" uniqueId="{F921630F-1CB4-834F-8F2D-F0C31090DA63}">
          <cx:tx>
            <cx:txData>
              <cx:f>_xlchart.v1.9</cx:f>
              <cx:v>age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BMI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BMI</a:t>
          </a:r>
        </a:p>
      </cx:txPr>
    </cx:title>
    <cx:plotArea>
      <cx:plotAreaRegion>
        <cx:series layoutId="boxWhisker" uniqueId="{3322FB92-2E33-CD4D-8D1E-3F605F6E8909}">
          <cx:tx>
            <cx:txData>
              <cx:f>_xlchart.v1.14</cx:f>
              <cx:v>bmi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Charges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Charges</a:t>
          </a:r>
        </a:p>
      </cx:txPr>
    </cx:title>
    <cx:plotArea>
      <cx:plotAreaRegion>
        <cx:series layoutId="boxWhisker" uniqueId="{2BD6780F-AD06-2F47-90E7-35122A9CE99D}"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13" Type="http://schemas.openxmlformats.org/officeDocument/2006/relationships/image" Target="../media/image9.emf"/><Relationship Id="rId3" Type="http://schemas.microsoft.com/office/2014/relationships/chartEx" Target="../charts/chartEx3.xml"/><Relationship Id="rId7" Type="http://schemas.openxmlformats.org/officeDocument/2006/relationships/image" Target="../media/image3.emf"/><Relationship Id="rId12" Type="http://schemas.openxmlformats.org/officeDocument/2006/relationships/image" Target="../media/image8.emf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image" Target="../media/image2.emf"/><Relationship Id="rId11" Type="http://schemas.openxmlformats.org/officeDocument/2006/relationships/image" Target="../media/image7.emf"/><Relationship Id="rId5" Type="http://schemas.openxmlformats.org/officeDocument/2006/relationships/image" Target="../media/image1.emf"/><Relationship Id="rId10" Type="http://schemas.openxmlformats.org/officeDocument/2006/relationships/image" Target="../media/image6.emf"/><Relationship Id="rId4" Type="http://schemas.microsoft.com/office/2014/relationships/chartEx" Target="../charts/chartEx4.xml"/><Relationship Id="rId9" Type="http://schemas.openxmlformats.org/officeDocument/2006/relationships/image" Target="../media/image5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emf"/><Relationship Id="rId13" Type="http://schemas.openxmlformats.org/officeDocument/2006/relationships/image" Target="../media/image18.emf"/><Relationship Id="rId18" Type="http://schemas.microsoft.com/office/2014/relationships/chartEx" Target="../charts/chartEx11.xml"/><Relationship Id="rId3" Type="http://schemas.microsoft.com/office/2014/relationships/chartEx" Target="../charts/chartEx7.xml"/><Relationship Id="rId7" Type="http://schemas.openxmlformats.org/officeDocument/2006/relationships/image" Target="../media/image12.emf"/><Relationship Id="rId12" Type="http://schemas.openxmlformats.org/officeDocument/2006/relationships/image" Target="../media/image17.emf"/><Relationship Id="rId17" Type="http://schemas.microsoft.com/office/2014/relationships/chartEx" Target="../charts/chartEx10.xml"/><Relationship Id="rId2" Type="http://schemas.microsoft.com/office/2014/relationships/chartEx" Target="../charts/chartEx6.xml"/><Relationship Id="rId16" Type="http://schemas.microsoft.com/office/2014/relationships/chartEx" Target="../charts/chartEx9.xml"/><Relationship Id="rId20" Type="http://schemas.openxmlformats.org/officeDocument/2006/relationships/image" Target="../media/image22.emf"/><Relationship Id="rId1" Type="http://schemas.microsoft.com/office/2014/relationships/chartEx" Target="../charts/chartEx5.xml"/><Relationship Id="rId6" Type="http://schemas.openxmlformats.org/officeDocument/2006/relationships/image" Target="../media/image11.emf"/><Relationship Id="rId11" Type="http://schemas.openxmlformats.org/officeDocument/2006/relationships/image" Target="../media/image16.emf"/><Relationship Id="rId5" Type="http://schemas.openxmlformats.org/officeDocument/2006/relationships/image" Target="../media/image10.emf"/><Relationship Id="rId15" Type="http://schemas.openxmlformats.org/officeDocument/2006/relationships/image" Target="../media/image20.emf"/><Relationship Id="rId10" Type="http://schemas.openxmlformats.org/officeDocument/2006/relationships/image" Target="../media/image15.emf"/><Relationship Id="rId19" Type="http://schemas.openxmlformats.org/officeDocument/2006/relationships/image" Target="../media/image21.emf"/><Relationship Id="rId4" Type="http://schemas.microsoft.com/office/2014/relationships/chartEx" Target="../charts/chartEx8.xml"/><Relationship Id="rId9" Type="http://schemas.openxmlformats.org/officeDocument/2006/relationships/image" Target="../media/image14.emf"/><Relationship Id="rId14" Type="http://schemas.openxmlformats.org/officeDocument/2006/relationships/image" Target="../media/image1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3.emf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</xdr:colOff>
      <xdr:row>22</xdr:row>
      <xdr:rowOff>50799</xdr:rowOff>
    </xdr:from>
    <xdr:to>
      <xdr:col>7</xdr:col>
      <xdr:colOff>788276</xdr:colOff>
      <xdr:row>37</xdr:row>
      <xdr:rowOff>29194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A961AF-609B-1F46-B285-88729D1F6C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30400" y="4279899"/>
              <a:ext cx="8484476" cy="28358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12547</xdr:colOff>
      <xdr:row>22</xdr:row>
      <xdr:rowOff>50800</xdr:rowOff>
    </xdr:from>
    <xdr:to>
      <xdr:col>21</xdr:col>
      <xdr:colOff>196620</xdr:colOff>
      <xdr:row>36</xdr:row>
      <xdr:rowOff>30603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DE99C3B-88E5-CA43-96AA-C1073C3FA1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50947" y="4279900"/>
              <a:ext cx="8642273" cy="26468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50800</xdr:colOff>
      <xdr:row>37</xdr:row>
      <xdr:rowOff>131132</xdr:rowOff>
    </xdr:from>
    <xdr:to>
      <xdr:col>9</xdr:col>
      <xdr:colOff>166706</xdr:colOff>
      <xdr:row>53</xdr:row>
      <xdr:rowOff>135263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432F083-9A83-334D-B704-EF648A5B53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30400" y="7217732"/>
              <a:ext cx="10504506" cy="30521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362944</xdr:colOff>
      <xdr:row>37</xdr:row>
      <xdr:rowOff>131132</xdr:rowOff>
    </xdr:from>
    <xdr:to>
      <xdr:col>25</xdr:col>
      <xdr:colOff>715178</xdr:colOff>
      <xdr:row>52</xdr:row>
      <xdr:rowOff>129449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EB2C868-74B1-7E43-A020-D28906AC01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90044" y="7217732"/>
              <a:ext cx="14080934" cy="28558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216370</xdr:colOff>
      <xdr:row>165</xdr:row>
      <xdr:rowOff>159926</xdr:rowOff>
    </xdr:from>
    <xdr:to>
      <xdr:col>15</xdr:col>
      <xdr:colOff>486882</xdr:colOff>
      <xdr:row>180</xdr:row>
      <xdr:rowOff>74789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EE4FC4-AC52-D100-9E57-21EF1FC9E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47481" y="24242889"/>
          <a:ext cx="4584700" cy="2755900"/>
        </a:xfrm>
        <a:prstGeom prst="rect">
          <a:avLst/>
        </a:prstGeom>
      </xdr:spPr>
    </xdr:pic>
    <xdr:clientData/>
  </xdr:twoCellAnchor>
  <xdr:twoCellAnchor editAs="oneCell">
    <xdr:from>
      <xdr:col>10</xdr:col>
      <xdr:colOff>178740</xdr:colOff>
      <xdr:row>180</xdr:row>
      <xdr:rowOff>169333</xdr:rowOff>
    </xdr:from>
    <xdr:to>
      <xdr:col>15</xdr:col>
      <xdr:colOff>449252</xdr:colOff>
      <xdr:row>195</xdr:row>
      <xdr:rowOff>103011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C625913-C20E-A22E-3393-5C5F39F7B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09851" y="27093333"/>
          <a:ext cx="4584700" cy="275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393700</xdr:colOff>
      <xdr:row>246</xdr:row>
      <xdr:rowOff>101600</xdr:rowOff>
    </xdr:from>
    <xdr:to>
      <xdr:col>22</xdr:col>
      <xdr:colOff>292100</xdr:colOff>
      <xdr:row>261</xdr:row>
      <xdr:rowOff>12700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9DF0F43-0D0A-155C-EB42-49D566C6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27900" y="39941500"/>
          <a:ext cx="4597400" cy="2768600"/>
        </a:xfrm>
        <a:prstGeom prst="rect">
          <a:avLst/>
        </a:prstGeom>
      </xdr:spPr>
    </xdr:pic>
    <xdr:clientData/>
  </xdr:twoCellAnchor>
  <xdr:twoCellAnchor editAs="oneCell">
    <xdr:from>
      <xdr:col>22</xdr:col>
      <xdr:colOff>444500</xdr:colOff>
      <xdr:row>246</xdr:row>
      <xdr:rowOff>114300</xdr:rowOff>
    </xdr:from>
    <xdr:to>
      <xdr:col>27</xdr:col>
      <xdr:colOff>330200</xdr:colOff>
      <xdr:row>261</xdr:row>
      <xdr:rowOff>25400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39818F-D989-8C7A-711B-90A2B05A9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77700" y="39954200"/>
          <a:ext cx="4584700" cy="2768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241300</xdr:colOff>
      <xdr:row>246</xdr:row>
      <xdr:rowOff>139700</xdr:rowOff>
    </xdr:from>
    <xdr:to>
      <xdr:col>17</xdr:col>
      <xdr:colOff>165100</xdr:colOff>
      <xdr:row>261</xdr:row>
      <xdr:rowOff>50800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B3C1730-BFC1-D888-B76F-DCB7032CA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76500" y="39979600"/>
          <a:ext cx="4622800" cy="27686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</xdr:colOff>
      <xdr:row>214</xdr:row>
      <xdr:rowOff>177800</xdr:rowOff>
    </xdr:from>
    <xdr:to>
      <xdr:col>15</xdr:col>
      <xdr:colOff>495300</xdr:colOff>
      <xdr:row>229</xdr:row>
      <xdr:rowOff>114300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95C611-CF4A-AF5A-F721-F8A5E956F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73200" y="33921700"/>
          <a:ext cx="4076700" cy="279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</xdr:colOff>
      <xdr:row>214</xdr:row>
      <xdr:rowOff>139700</xdr:rowOff>
    </xdr:from>
    <xdr:to>
      <xdr:col>21</xdr:col>
      <xdr:colOff>571500</xdr:colOff>
      <xdr:row>229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E11E06-F1C7-CDF9-5EE6-116721759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707100" y="33883600"/>
          <a:ext cx="5257800" cy="279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98</xdr:row>
      <xdr:rowOff>165100</xdr:rowOff>
    </xdr:from>
    <xdr:to>
      <xdr:col>17</xdr:col>
      <xdr:colOff>838200</xdr:colOff>
      <xdr:row>125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5081A8-626C-B10B-D7C4-F98DF90C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947900" y="11785600"/>
          <a:ext cx="5524500" cy="497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80</xdr:row>
      <xdr:rowOff>165100</xdr:rowOff>
    </xdr:from>
    <xdr:to>
      <xdr:col>18</xdr:col>
      <xdr:colOff>38100</xdr:colOff>
      <xdr:row>95</xdr:row>
      <xdr:rowOff>101600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E378FC2-3C28-7764-BB7E-A56A0F64C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354300" y="8356600"/>
          <a:ext cx="5257800" cy="279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37</xdr:row>
      <xdr:rowOff>0</xdr:rowOff>
    </xdr:from>
    <xdr:to>
      <xdr:col>8</xdr:col>
      <xdr:colOff>419100</xdr:colOff>
      <xdr:row>51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6F3DF24-D521-864C-9424-B8D3862E35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19400" y="7632700"/>
              <a:ext cx="7315200" cy="278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37</xdr:row>
      <xdr:rowOff>0</xdr:rowOff>
    </xdr:from>
    <xdr:to>
      <xdr:col>15</xdr:col>
      <xdr:colOff>330200</xdr:colOff>
      <xdr:row>51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E316479-5707-BD44-9F7D-BB6DEAEE16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10900" y="7632700"/>
              <a:ext cx="76073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53</xdr:row>
      <xdr:rowOff>0</xdr:rowOff>
    </xdr:from>
    <xdr:to>
      <xdr:col>7</xdr:col>
      <xdr:colOff>95250</xdr:colOff>
      <xdr:row>69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E80162D-F00A-8942-82B7-518D9BF519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19400" y="10680700"/>
              <a:ext cx="5873750" cy="3162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53</xdr:row>
      <xdr:rowOff>0</xdr:rowOff>
    </xdr:from>
    <xdr:to>
      <xdr:col>17</xdr:col>
      <xdr:colOff>876300</xdr:colOff>
      <xdr:row>68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A5E24782-A531-8745-ABF5-29BF38F04B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15500" y="10680700"/>
              <a:ext cx="12725400" cy="2959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73</xdr:row>
      <xdr:rowOff>0</xdr:rowOff>
    </xdr:from>
    <xdr:to>
      <xdr:col>7</xdr:col>
      <xdr:colOff>254000</xdr:colOff>
      <xdr:row>93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FF85D8-952E-E4DF-B880-443C4738C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452600"/>
          <a:ext cx="6032500" cy="3987800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889000</xdr:colOff>
      <xdr:row>75</xdr:row>
      <xdr:rowOff>114300</xdr:rowOff>
    </xdr:from>
    <xdr:to>
      <xdr:col>12</xdr:col>
      <xdr:colOff>267640</xdr:colOff>
      <xdr:row>90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3B1139-5EB6-3F66-AD37-ECA6DD268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42300" y="14947900"/>
          <a:ext cx="4597400" cy="27686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96</xdr:row>
      <xdr:rowOff>0</xdr:rowOff>
    </xdr:from>
    <xdr:to>
      <xdr:col>5</xdr:col>
      <xdr:colOff>736600</xdr:colOff>
      <xdr:row>110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ADF9C00-9AD7-1B74-28CE-89C46E131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6600" y="18834100"/>
          <a:ext cx="4597400" cy="2768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0</xdr:rowOff>
    </xdr:from>
    <xdr:to>
      <xdr:col>11</xdr:col>
      <xdr:colOff>305741</xdr:colOff>
      <xdr:row>110</xdr:row>
      <xdr:rowOff>101600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80F488-D6CE-D32A-A834-49451A44D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53300" y="18834100"/>
          <a:ext cx="4597400" cy="2768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111</xdr:row>
      <xdr:rowOff>152400</xdr:rowOff>
    </xdr:from>
    <xdr:to>
      <xdr:col>5</xdr:col>
      <xdr:colOff>723900</xdr:colOff>
      <xdr:row>126</xdr:row>
      <xdr:rowOff>63499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C067A7-FC12-8B9D-80CD-4DEDE185E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93900" y="21844000"/>
          <a:ext cx="4597400" cy="2768600"/>
        </a:xfrm>
        <a:prstGeom prst="rect">
          <a:avLst/>
        </a:prstGeom>
      </xdr:spPr>
    </xdr:pic>
    <xdr:clientData/>
  </xdr:twoCellAnchor>
  <xdr:twoCellAnchor editAs="oneCell">
    <xdr:from>
      <xdr:col>12</xdr:col>
      <xdr:colOff>787400</xdr:colOff>
      <xdr:row>75</xdr:row>
      <xdr:rowOff>63500</xdr:rowOff>
    </xdr:from>
    <xdr:to>
      <xdr:col>15</xdr:col>
      <xdr:colOff>916282</xdr:colOff>
      <xdr:row>89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1826D0-A9CB-C238-9708-ACA16C175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30200" y="14897100"/>
          <a:ext cx="4597400" cy="2768600"/>
        </a:xfrm>
        <a:prstGeom prst="rect">
          <a:avLst/>
        </a:prstGeom>
      </xdr:spPr>
    </xdr:pic>
    <xdr:clientData/>
  </xdr:twoCellAnchor>
  <xdr:twoCellAnchor editAs="oneCell">
    <xdr:from>
      <xdr:col>6</xdr:col>
      <xdr:colOff>546100</xdr:colOff>
      <xdr:row>112</xdr:row>
      <xdr:rowOff>0</xdr:rowOff>
    </xdr:from>
    <xdr:to>
      <xdr:col>10</xdr:col>
      <xdr:colOff>1006122</xdr:colOff>
      <xdr:row>126</xdr:row>
      <xdr:rowOff>101600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0AE36C-AD87-1D2E-176C-B56091DCB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34200" y="21882100"/>
          <a:ext cx="4597400" cy="2768600"/>
        </a:xfrm>
        <a:prstGeom prst="rect">
          <a:avLst/>
        </a:prstGeom>
      </xdr:spPr>
    </xdr:pic>
    <xdr:clientData/>
  </xdr:twoCellAnchor>
  <xdr:twoCellAnchor editAs="oneCell">
    <xdr:from>
      <xdr:col>11</xdr:col>
      <xdr:colOff>558800</xdr:colOff>
      <xdr:row>112</xdr:row>
      <xdr:rowOff>12700</xdr:rowOff>
    </xdr:from>
    <xdr:to>
      <xdr:col>16</xdr:col>
      <xdr:colOff>228129</xdr:colOff>
      <xdr:row>127</xdr:row>
      <xdr:rowOff>50801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16423E-1ED8-71B6-974D-DA78A946C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74500" y="21894800"/>
          <a:ext cx="7226300" cy="2895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</xdr:col>
      <xdr:colOff>698500</xdr:colOff>
      <xdr:row>142</xdr:row>
      <xdr:rowOff>88900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EF8AE6-2685-2121-2033-2CFB08E5A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1200" y="24930100"/>
          <a:ext cx="4584700" cy="2755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128</xdr:row>
      <xdr:rowOff>0</xdr:rowOff>
    </xdr:from>
    <xdr:to>
      <xdr:col>10</xdr:col>
      <xdr:colOff>443089</xdr:colOff>
      <xdr:row>142</xdr:row>
      <xdr:rowOff>88900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5DC18C5-9A18-63D0-3097-F74DB4D72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4500" y="24930100"/>
          <a:ext cx="4584700" cy="27559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128</xdr:row>
      <xdr:rowOff>0</xdr:rowOff>
    </xdr:from>
    <xdr:to>
      <xdr:col>14</xdr:col>
      <xdr:colOff>442148</xdr:colOff>
      <xdr:row>142</xdr:row>
      <xdr:rowOff>88900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55E5DCF-CF49-D107-1103-C54A8E557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22100" y="24930100"/>
          <a:ext cx="4584700" cy="275590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145</xdr:row>
      <xdr:rowOff>165100</xdr:rowOff>
    </xdr:from>
    <xdr:to>
      <xdr:col>5</xdr:col>
      <xdr:colOff>723900</xdr:colOff>
      <xdr:row>159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1" name="Chart 20">
              <a:extLst>
                <a:ext uri="{FF2B5EF4-FFF2-40B4-BE49-F238E27FC236}">
                  <a16:creationId xmlns:a16="http://schemas.microsoft.com/office/drawing/2014/main" id="{773E652F-6926-084F-AA38-A032966405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00" y="28371800"/>
              <a:ext cx="45720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146</xdr:row>
      <xdr:rowOff>0</xdr:rowOff>
    </xdr:from>
    <xdr:to>
      <xdr:col>10</xdr:col>
      <xdr:colOff>571500</xdr:colOff>
      <xdr:row>184</xdr:row>
      <xdr:rowOff>162560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BA55DDA5-A675-BA46-B175-4435EB867D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32700" y="28397200"/>
              <a:ext cx="4711700" cy="7401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0</xdr:colOff>
      <xdr:row>146</xdr:row>
      <xdr:rowOff>0</xdr:rowOff>
    </xdr:from>
    <xdr:to>
      <xdr:col>16</xdr:col>
      <xdr:colOff>225783</xdr:colOff>
      <xdr:row>189</xdr:row>
      <xdr:rowOff>50905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6CD5555E-5B59-5A46-94BA-625D8FF79B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90500" y="28397200"/>
              <a:ext cx="7782283" cy="82424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2464740</xdr:colOff>
      <xdr:row>190</xdr:row>
      <xdr:rowOff>178741</xdr:rowOff>
    </xdr:from>
    <xdr:to>
      <xdr:col>5</xdr:col>
      <xdr:colOff>345251</xdr:colOff>
      <xdr:row>205</xdr:row>
      <xdr:rowOff>87019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EA20D7C-0126-E3E1-A856-35B716373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64740" y="36641852"/>
          <a:ext cx="4597400" cy="2730500"/>
        </a:xfrm>
        <a:prstGeom prst="rect">
          <a:avLst/>
        </a:prstGeom>
      </xdr:spPr>
    </xdr:pic>
    <xdr:clientData/>
  </xdr:twoCellAnchor>
  <xdr:twoCellAnchor editAs="oneCell">
    <xdr:from>
      <xdr:col>6</xdr:col>
      <xdr:colOff>18815</xdr:colOff>
      <xdr:row>190</xdr:row>
      <xdr:rowOff>169334</xdr:rowOff>
    </xdr:from>
    <xdr:to>
      <xdr:col>10</xdr:col>
      <xdr:colOff>404048</xdr:colOff>
      <xdr:row>205</xdr:row>
      <xdr:rowOff>77612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B828619-F559-2C13-3B28-CAC1A6A1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29778" y="36632445"/>
          <a:ext cx="4533900" cy="2730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279400</xdr:colOff>
      <xdr:row>1</xdr:row>
      <xdr:rowOff>76200</xdr:rowOff>
    </xdr:from>
    <xdr:to>
      <xdr:col>17</xdr:col>
      <xdr:colOff>279400</xdr:colOff>
      <xdr:row>11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C96E3-B71A-2867-75AE-3F82CDE56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63500</xdr:colOff>
      <xdr:row>12</xdr:row>
      <xdr:rowOff>76200</xdr:rowOff>
    </xdr:from>
    <xdr:to>
      <xdr:col>24</xdr:col>
      <xdr:colOff>63500</xdr:colOff>
      <xdr:row>22</xdr:row>
      <xdr:rowOff>63500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0376C12-1D57-D23E-FA8C-9A4D5B6ED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25400</xdr:colOff>
      <xdr:row>24</xdr:row>
      <xdr:rowOff>76200</xdr:rowOff>
    </xdr:from>
    <xdr:to>
      <xdr:col>23</xdr:col>
      <xdr:colOff>782320</xdr:colOff>
      <xdr:row>37</xdr:row>
      <xdr:rowOff>81280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D7F1D7D-0D24-9DC7-14BC-EDD01F142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39</xdr:row>
      <xdr:rowOff>165100</xdr:rowOff>
    </xdr:from>
    <xdr:to>
      <xdr:col>24</xdr:col>
      <xdr:colOff>177800</xdr:colOff>
      <xdr:row>52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22F1CFF-0ABD-24DA-702C-E7326AE2D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152400</xdr:colOff>
      <xdr:row>55</xdr:row>
      <xdr:rowOff>101600</xdr:rowOff>
    </xdr:from>
    <xdr:to>
      <xdr:col>24</xdr:col>
      <xdr:colOff>152400</xdr:colOff>
      <xdr:row>65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CF4FEDB-0D1A-5C3A-4FE2-9055DB142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177800</xdr:colOff>
      <xdr:row>67</xdr:row>
      <xdr:rowOff>165100</xdr:rowOff>
    </xdr:from>
    <xdr:to>
      <xdr:col>24</xdr:col>
      <xdr:colOff>177800</xdr:colOff>
      <xdr:row>77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F282694-2715-9B53-24DF-E666E7FD1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241300</xdr:colOff>
      <xdr:row>12</xdr:row>
      <xdr:rowOff>127000</xdr:rowOff>
    </xdr:from>
    <xdr:to>
      <xdr:col>17</xdr:col>
      <xdr:colOff>241300</xdr:colOff>
      <xdr:row>22</xdr:row>
      <xdr:rowOff>127000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BB5EAA7E-6A79-C243-8ADB-7C984AC42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292100</xdr:colOff>
      <xdr:row>24</xdr:row>
      <xdr:rowOff>127000</xdr:rowOff>
    </xdr:from>
    <xdr:to>
      <xdr:col>17</xdr:col>
      <xdr:colOff>355600</xdr:colOff>
      <xdr:row>37</xdr:row>
      <xdr:rowOff>30480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B34E146-539D-104D-BD69-E08E9D06C7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330200</xdr:colOff>
      <xdr:row>40</xdr:row>
      <xdr:rowOff>25400</xdr:rowOff>
    </xdr:from>
    <xdr:to>
      <xdr:col>17</xdr:col>
      <xdr:colOff>508000</xdr:colOff>
      <xdr:row>52</xdr:row>
      <xdr:rowOff>94074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83CA5D7-56BD-C448-B26A-7894AEBE2A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469900</xdr:colOff>
      <xdr:row>55</xdr:row>
      <xdr:rowOff>139700</xdr:rowOff>
    </xdr:from>
    <xdr:to>
      <xdr:col>17</xdr:col>
      <xdr:colOff>469900</xdr:colOff>
      <xdr:row>65</xdr:row>
      <xdr:rowOff>177800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FC5D43E-326D-EC4A-9400-9EF30CBAF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469900</xdr:colOff>
      <xdr:row>68</xdr:row>
      <xdr:rowOff>0</xdr:rowOff>
    </xdr:from>
    <xdr:to>
      <xdr:col>17</xdr:col>
      <xdr:colOff>469900</xdr:colOff>
      <xdr:row>78</xdr:row>
      <xdr:rowOff>25400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D900BD4-4D4E-ED40-BAA1-0BA09EB07A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469900</xdr:colOff>
      <xdr:row>80</xdr:row>
      <xdr:rowOff>0</xdr:rowOff>
    </xdr:from>
    <xdr:to>
      <xdr:col>17</xdr:col>
      <xdr:colOff>469900</xdr:colOff>
      <xdr:row>90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2D5EF3E4-0710-C04F-9AC5-4BFA4DB41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444500</xdr:colOff>
      <xdr:row>92</xdr:row>
      <xdr:rowOff>12700</xdr:rowOff>
    </xdr:from>
    <xdr:to>
      <xdr:col>17</xdr:col>
      <xdr:colOff>444500</xdr:colOff>
      <xdr:row>102</xdr:row>
      <xdr:rowOff>25400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89C3A2E9-1869-C74F-9187-4A87DCC46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431800</xdr:colOff>
      <xdr:row>103</xdr:row>
      <xdr:rowOff>114300</xdr:rowOff>
    </xdr:from>
    <xdr:to>
      <xdr:col>17</xdr:col>
      <xdr:colOff>431800</xdr:colOff>
      <xdr:row>113</xdr:row>
      <xdr:rowOff>127000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2180335C-C3CE-F147-9DD6-5641BBB34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38100</xdr:colOff>
      <xdr:row>1</xdr:row>
      <xdr:rowOff>63500</xdr:rowOff>
    </xdr:from>
    <xdr:to>
      <xdr:col>24</xdr:col>
      <xdr:colOff>38100</xdr:colOff>
      <xdr:row>11</xdr:row>
      <xdr:rowOff>38100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EAAA2924-D093-3F45-B668-308097AFB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177800</xdr:colOff>
      <xdr:row>79</xdr:row>
      <xdr:rowOff>165100</xdr:rowOff>
    </xdr:from>
    <xdr:to>
      <xdr:col>24</xdr:col>
      <xdr:colOff>177800</xdr:colOff>
      <xdr:row>89</xdr:row>
      <xdr:rowOff>177800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2DBA843-85AB-9A43-A76E-3964D777C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18</xdr:col>
      <xdr:colOff>139700</xdr:colOff>
      <xdr:row>91</xdr:row>
      <xdr:rowOff>190500</xdr:rowOff>
    </xdr:from>
    <xdr:to>
      <xdr:col>24</xdr:col>
      <xdr:colOff>139700</xdr:colOff>
      <xdr:row>101</xdr:row>
      <xdr:rowOff>190500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B0FE3796-6193-A444-A746-A179B14EF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18</xdr:col>
      <xdr:colOff>101600</xdr:colOff>
      <xdr:row>103</xdr:row>
      <xdr:rowOff>63500</xdr:rowOff>
    </xdr:from>
    <xdr:to>
      <xdr:col>24</xdr:col>
      <xdr:colOff>101600</xdr:colOff>
      <xdr:row>113</xdr:row>
      <xdr:rowOff>63500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4A653E1A-9626-C448-B6F1-7EEAD3C739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132</xdr:row>
      <xdr:rowOff>0</xdr:rowOff>
    </xdr:from>
    <xdr:to>
      <xdr:col>4</xdr:col>
      <xdr:colOff>127000</xdr:colOff>
      <xdr:row>146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F5606D-D729-2547-A3D2-7E1E79BE9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241300</xdr:colOff>
      <xdr:row>131</xdr:row>
      <xdr:rowOff>177800</xdr:rowOff>
    </xdr:from>
    <xdr:to>
      <xdr:col>5</xdr:col>
      <xdr:colOff>2336800</xdr:colOff>
      <xdr:row>146</xdr:row>
      <xdr:rowOff>88900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57A830-5464-FEBD-7BA5-C3147B8AF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41500" y="26085800"/>
          <a:ext cx="4597400" cy="2768600"/>
        </a:xfrm>
        <a:prstGeom prst="rect">
          <a:avLst/>
        </a:prstGeom>
      </xdr:spPr>
    </xdr:pic>
    <xdr:clientData/>
  </xdr:twoCellAnchor>
  <xdr:twoCellAnchor editAs="oneCell">
    <xdr:from>
      <xdr:col>6</xdr:col>
      <xdr:colOff>241300</xdr:colOff>
      <xdr:row>131</xdr:row>
      <xdr:rowOff>177800</xdr:rowOff>
    </xdr:from>
    <xdr:to>
      <xdr:col>7</xdr:col>
      <xdr:colOff>2247900</xdr:colOff>
      <xdr:row>146</xdr:row>
      <xdr:rowOff>88900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62E5F58-F305-C60E-1730-7590326E2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81800" y="26085800"/>
          <a:ext cx="4597400" cy="27686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nay/Documents/XRealStats-Mac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Sig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IQR"/>
      <definedName name="MEAN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ay Govardhanam" refreshedDate="44803.805829513891" createdVersion="8" refreshedVersion="8" minRefreshableVersion="3" recordCount="1338" xr:uid="{0BF6AC70-4BBE-1C42-88BA-C7B9FFFC2F76}">
  <cacheSource type="worksheet">
    <worksheetSource name="Table1"/>
  </cacheSource>
  <cacheFields count="7">
    <cacheField name="age" numFmtId="0">
      <sharedItems containsSemiMixedTypes="0" containsString="0" containsNumber="1" containsInteger="1" minValue="18" maxValue="64" count="47">
        <n v="19"/>
        <n v="18"/>
        <n v="28"/>
        <n v="33"/>
        <n v="32"/>
        <n v="31"/>
        <n v="46"/>
        <n v="37"/>
        <n v="60"/>
        <n v="25"/>
        <n v="62"/>
        <n v="23"/>
        <n v="56"/>
        <n v="27"/>
        <n v="52"/>
        <n v="30"/>
        <n v="34"/>
        <n v="59"/>
        <n v="63"/>
        <n v="55"/>
        <n v="22"/>
        <n v="26"/>
        <n v="35"/>
        <n v="24"/>
        <n v="41"/>
        <n v="38"/>
        <n v="36"/>
        <n v="21"/>
        <n v="48"/>
        <n v="40"/>
        <n v="58"/>
        <n v="53"/>
        <n v="43"/>
        <n v="64"/>
        <n v="20"/>
        <n v="61"/>
        <n v="44"/>
        <n v="57"/>
        <n v="29"/>
        <n v="45"/>
        <n v="54"/>
        <n v="49"/>
        <n v="47"/>
        <n v="51"/>
        <n v="42"/>
        <n v="50"/>
        <n v="39"/>
      </sharedItems>
    </cacheField>
    <cacheField name="sex" numFmtId="0">
      <sharedItems count="2">
        <s v="female"/>
        <s v="male"/>
      </sharedItems>
    </cacheField>
    <cacheField name="bmi" numFmtId="0">
      <sharedItems containsSemiMixedTypes="0" containsString="0" containsNumber="1" minValue="15.96" maxValue="53.13" count="548">
        <n v="27.9"/>
        <n v="33.770000000000003"/>
        <n v="33"/>
        <n v="22.704999999999998"/>
        <n v="28.88"/>
        <n v="25.74"/>
        <n v="33.44"/>
        <n v="27.74"/>
        <n v="29.83"/>
        <n v="25.84"/>
        <n v="26.22"/>
        <n v="26.29"/>
        <n v="34.4"/>
        <n v="39.82"/>
        <n v="42.13"/>
        <n v="24.6"/>
        <n v="30.78"/>
        <n v="23.844999999999999"/>
        <n v="40.299999999999997"/>
        <n v="35.299999999999997"/>
        <n v="36.005000000000003"/>
        <n v="32.4"/>
        <n v="34.1"/>
        <n v="31.92"/>
        <n v="28.024999999999999"/>
        <n v="27.72"/>
        <n v="23.085000000000001"/>
        <n v="32.774999999999999"/>
        <n v="17.385000000000002"/>
        <n v="36.299999999999997"/>
        <n v="35.6"/>
        <n v="26.315000000000001"/>
        <n v="28.6"/>
        <n v="28.31"/>
        <n v="36.4"/>
        <n v="20.425000000000001"/>
        <n v="32.965000000000003"/>
        <n v="20.8"/>
        <n v="36.67"/>
        <n v="39.9"/>
        <n v="26.6"/>
        <n v="36.630000000000003"/>
        <n v="21.78"/>
        <n v="30.8"/>
        <n v="37.049999999999997"/>
        <n v="37.299999999999997"/>
        <n v="38.664999999999999"/>
        <n v="34.770000000000003"/>
        <n v="24.53"/>
        <n v="35.200000000000003"/>
        <n v="35.625"/>
        <n v="33.630000000000003"/>
        <n v="28"/>
        <n v="34.43"/>
        <n v="28.69"/>
        <n v="36.954999999999998"/>
        <n v="31.824999999999999"/>
        <n v="31.68"/>
        <n v="22.88"/>
        <n v="37.335000000000001"/>
        <n v="27.36"/>
        <n v="33.659999999999997"/>
        <n v="24.7"/>
        <n v="25.934999999999999"/>
        <n v="22.42"/>
        <n v="28.9"/>
        <n v="39.1"/>
        <n v="36.19"/>
        <n v="23.98"/>
        <n v="24.75"/>
        <n v="28.5"/>
        <n v="28.1"/>
        <n v="32.01"/>
        <n v="27.4"/>
        <n v="34.01"/>
        <n v="29.59"/>
        <n v="35.53"/>
        <n v="39.805"/>
        <n v="26.885000000000002"/>
        <n v="38.284999999999997"/>
        <n v="37.619999999999997"/>
        <n v="41.23"/>
        <n v="34.799999999999997"/>
        <n v="22.895"/>
        <n v="31.16"/>
        <n v="27.2"/>
        <n v="26.98"/>
        <n v="39.49"/>
        <n v="24.795000000000002"/>
        <n v="31.3"/>
        <n v="38.28"/>
        <n v="19.95"/>
        <n v="19.3"/>
        <n v="31.6"/>
        <n v="25.46"/>
        <n v="30.114999999999998"/>
        <n v="29.92"/>
        <n v="27.5"/>
        <n v="28.4"/>
        <n v="30.875"/>
        <n v="27.94"/>
        <n v="35.090000000000003"/>
        <n v="29.7"/>
        <n v="35.72"/>
        <n v="32.204999999999998"/>
        <n v="28.594999999999999"/>
        <n v="49.06"/>
        <n v="27.17"/>
        <n v="23.37"/>
        <n v="37.1"/>
        <n v="23.75"/>
        <n v="28.975000000000001"/>
        <n v="31.35"/>
        <n v="33.914999999999999"/>
        <n v="28.785"/>
        <n v="28.3"/>
        <n v="37.4"/>
        <n v="17.765000000000001"/>
        <n v="34.700000000000003"/>
        <n v="26.504999999999999"/>
        <n v="22.04"/>
        <n v="35.9"/>
        <n v="25.555"/>
        <n v="28.05"/>
        <n v="25.175000000000001"/>
        <n v="31.9"/>
        <n v="36"/>
        <n v="32.49"/>
        <n v="25.3"/>
        <n v="29.734999999999999"/>
        <n v="38.83"/>
        <n v="30.495000000000001"/>
        <n v="37.729999999999997"/>
        <n v="37.43"/>
        <n v="24.13"/>
        <n v="37.145000000000003"/>
        <n v="39.520000000000003"/>
        <n v="24.42"/>
        <n v="27.83"/>
        <n v="36.85"/>
        <n v="39.6"/>
        <n v="29.8"/>
        <n v="29.64"/>
        <n v="28.215"/>
        <n v="37"/>
        <n v="33.155000000000001"/>
        <n v="18.905000000000001"/>
        <n v="41.47"/>
        <n v="30.3"/>
        <n v="15.96"/>
        <n v="33.344999999999999"/>
        <n v="37.700000000000003"/>
        <n v="27.835000000000001"/>
        <n v="29.2"/>
        <n v="26.41"/>
        <n v="30.69"/>
        <n v="41.895000000000003"/>
        <n v="30.9"/>
        <n v="32.200000000000003"/>
        <n v="32.11"/>
        <n v="31.57"/>
        <n v="26.2"/>
        <n v="30.59"/>
        <n v="32.799999999999997"/>
        <n v="18.05"/>
        <n v="39.33"/>
        <n v="32.229999999999997"/>
        <n v="24.035"/>
        <n v="36.08"/>
        <n v="22.3"/>
        <n v="26.4"/>
        <n v="31.8"/>
        <n v="26.73"/>
        <n v="23.1"/>
        <n v="23.21"/>
        <n v="33.700000000000003"/>
        <n v="33.25"/>
        <n v="24.64"/>
        <n v="33.880000000000003"/>
        <n v="38.06"/>
        <n v="41.91"/>
        <n v="31.635000000000002"/>
        <n v="36.195"/>
        <n v="17.8"/>
        <n v="24.51"/>
        <n v="22.22"/>
        <n v="38.39"/>
        <n v="29.07"/>
        <n v="22.135000000000002"/>
        <n v="26.8"/>
        <n v="30.02"/>
        <n v="35.86"/>
        <n v="20.9"/>
        <n v="17.29"/>
        <n v="34.21"/>
        <n v="25.364999999999998"/>
        <n v="40.15"/>
        <n v="24.414999999999999"/>
        <n v="25.2"/>
        <n v="26.84"/>
        <n v="24.32"/>
        <n v="42.35"/>
        <n v="19.8"/>
        <n v="32.395000000000003"/>
        <n v="30.2"/>
        <n v="29.37"/>
        <n v="34.200000000000003"/>
        <n v="27.454999999999998"/>
        <n v="27.55"/>
        <n v="20.614999999999998"/>
        <n v="24.3"/>
        <n v="31.79"/>
        <n v="21.56"/>
        <n v="28.12"/>
        <n v="40.564999999999998"/>
        <n v="27.645"/>
        <n v="31.2"/>
        <n v="26.62"/>
        <n v="48.07"/>
        <n v="36.765000000000001"/>
        <n v="33.4"/>
        <n v="45.54"/>
        <n v="28.82"/>
        <n v="22.99"/>
        <n v="27.7"/>
        <n v="25.41"/>
        <n v="34.39"/>
        <n v="22.61"/>
        <n v="37.51"/>
        <n v="38"/>
        <n v="33.33"/>
        <n v="34.865000000000002"/>
        <n v="33.06"/>
        <n v="35.97"/>
        <n v="31.4"/>
        <n v="25.27"/>
        <n v="40.945"/>
        <n v="34.104999999999997"/>
        <n v="36.479999999999997"/>
        <n v="33.799999999999997"/>
        <n v="36.700000000000003"/>
        <n v="36.384999999999998"/>
        <n v="34.5"/>
        <n v="32.299999999999997"/>
        <n v="27.6"/>
        <n v="29.26"/>
        <n v="35.75"/>
        <n v="23.18"/>
        <n v="25.6"/>
        <n v="35.244999999999997"/>
        <n v="43.89"/>
        <n v="20.79"/>
        <n v="30.5"/>
        <n v="21.7"/>
        <n v="21.89"/>
        <n v="24.984999999999999"/>
        <n v="32.015000000000001"/>
        <n v="30.4"/>
        <n v="21.09"/>
        <n v="22.23"/>
        <n v="32.9"/>
        <n v="24.89"/>
        <n v="31.46"/>
        <n v="17.954999999999998"/>
        <n v="30.684999999999999"/>
        <n v="43.34"/>
        <n v="39.049999999999997"/>
        <n v="30.21"/>
        <n v="31.445"/>
        <n v="19.855"/>
        <n v="31.02"/>
        <n v="38.17"/>
        <n v="20.6"/>
        <n v="47.52"/>
        <n v="20.399999999999999"/>
        <n v="38.380000000000003"/>
        <n v="24.31"/>
        <n v="23.6"/>
        <n v="21.12"/>
        <n v="30.03"/>
        <n v="17.48"/>
        <n v="20.234999999999999"/>
        <n v="17.195"/>
        <n v="23.9"/>
        <n v="35.15"/>
        <n v="35.64"/>
        <n v="22.6"/>
        <n v="39.159999999999997"/>
        <n v="27.265000000000001"/>
        <n v="29.164999999999999"/>
        <n v="16.815000000000001"/>
        <n v="33.1"/>
        <n v="26.9"/>
        <n v="33.11"/>
        <n v="31.73"/>
        <n v="46.75"/>
        <n v="29.45"/>
        <n v="32.68"/>
        <n v="33.5"/>
        <n v="43.01"/>
        <n v="36.520000000000003"/>
        <n v="26.695"/>
        <n v="25.65"/>
        <n v="29.6"/>
        <n v="38.6"/>
        <n v="23.4"/>
        <n v="46.53"/>
        <n v="30.14"/>
        <n v="30"/>
        <n v="38.094999999999999"/>
        <n v="28.38"/>
        <n v="28.7"/>
        <n v="33.82"/>
        <n v="24.09"/>
        <n v="32.67"/>
        <n v="25.1"/>
        <n v="32.56"/>
        <n v="41.325000000000003"/>
        <n v="39.5"/>
        <n v="34.299999999999997"/>
        <n v="31.065000000000001"/>
        <n v="21.47"/>
        <n v="25.08"/>
        <n v="43.4"/>
        <n v="25.7"/>
        <n v="27.93"/>
        <n v="39.200000000000003"/>
        <n v="26.03"/>
        <n v="30.25"/>
        <n v="28.93"/>
        <n v="35.700000000000003"/>
        <n v="35.31"/>
        <n v="31"/>
        <n v="44.22"/>
        <n v="26.07"/>
        <n v="25.8"/>
        <n v="39.424999999999997"/>
        <n v="40.479999999999997"/>
        <n v="38.9"/>
        <n v="47.41"/>
        <n v="35.435000000000002"/>
        <n v="46.7"/>
        <n v="46.2"/>
        <n v="21.4"/>
        <n v="23.8"/>
        <n v="44.77"/>
        <n v="32.119999999999997"/>
        <n v="29.1"/>
        <n v="37.29"/>
        <n v="43.12"/>
        <n v="36.86"/>
        <n v="34.295000000000002"/>
        <n v="23.465"/>
        <n v="45.43"/>
        <n v="23.65"/>
        <n v="20.7"/>
        <n v="28.27"/>
        <n v="35.909999999999997"/>
        <n v="29"/>
        <n v="19.57"/>
        <n v="31.13"/>
        <n v="21.85"/>
        <n v="40.26"/>
        <n v="33.725000000000001"/>
        <n v="29.48"/>
        <n v="32.6"/>
        <n v="37.524999999999999"/>
        <n v="23.655000000000001"/>
        <n v="37.799999999999997"/>
        <n v="19"/>
        <n v="21.3"/>
        <n v="33.534999999999997"/>
        <n v="42.46"/>
        <n v="38.950000000000003"/>
        <n v="36.1"/>
        <n v="29.3"/>
        <n v="39.700000000000003"/>
        <n v="38.19"/>
        <n v="42.4"/>
        <n v="34.96"/>
        <n v="42.68"/>
        <n v="31.54"/>
        <n v="29.81"/>
        <n v="21.375"/>
        <n v="40.81"/>
        <n v="17.399999999999999"/>
        <n v="20.3"/>
        <n v="18.5"/>
        <n v="26.125"/>
        <n v="41.69"/>
        <n v="24.1"/>
        <n v="36.200000000000003"/>
        <n v="40.185000000000002"/>
        <n v="39.270000000000003"/>
        <n v="34.869999999999997"/>
        <n v="44.744999999999997"/>
        <n v="29.545000000000002"/>
        <n v="23.54"/>
        <n v="40.47"/>
        <n v="40.659999999999997"/>
        <n v="36.6"/>
        <n v="35.4"/>
        <n v="27.074999999999999"/>
        <n v="28.405000000000001"/>
        <n v="21.754999999999999"/>
        <n v="40.28"/>
        <n v="30.1"/>
        <n v="32.1"/>
        <n v="23.7"/>
        <n v="35.5"/>
        <n v="29.15"/>
        <n v="27"/>
        <n v="37.905000000000001"/>
        <n v="22.77"/>
        <n v="22.8"/>
        <n v="34.58"/>
        <n v="27.1"/>
        <n v="19.475000000000001"/>
        <n v="26.7"/>
        <n v="34.32"/>
        <n v="24.4"/>
        <n v="41.14"/>
        <n v="22.515000000000001"/>
        <n v="41.8"/>
        <n v="26.18"/>
        <n v="42.24"/>
        <n v="26.51"/>
        <n v="35.814999999999998"/>
        <n v="41.42"/>
        <n v="36.575000000000003"/>
        <n v="42.94"/>
        <n v="21.01"/>
        <n v="24.225000000000001"/>
        <n v="17.670000000000002"/>
        <n v="31.5"/>
        <n v="31.1"/>
        <n v="32.78"/>
        <n v="32.450000000000003"/>
        <n v="50.38"/>
        <n v="47.6"/>
        <n v="25.4"/>
        <n v="29.9"/>
        <n v="43.7"/>
        <n v="24.86"/>
        <n v="28.8"/>
        <n v="29.5"/>
        <n v="29.04"/>
        <n v="38.94"/>
        <n v="44"/>
        <n v="20.045000000000002"/>
        <n v="40.92"/>
        <n v="35.1"/>
        <n v="29.355"/>
        <n v="32.585000000000001"/>
        <n v="32.340000000000003"/>
        <n v="39.799999999999997"/>
        <n v="24.605"/>
        <n v="33.99"/>
        <n v="28.2"/>
        <n v="25"/>
        <n v="33.200000000000003"/>
        <n v="23.2"/>
        <n v="20.100000000000001"/>
        <n v="32.5"/>
        <n v="37.18"/>
        <n v="46.09"/>
        <n v="39.93"/>
        <n v="35.799999999999997"/>
        <n v="31.254999999999999"/>
        <n v="18.335000000000001"/>
        <n v="42.9"/>
        <n v="26.79"/>
        <n v="39.615000000000002"/>
        <n v="25.9"/>
        <n v="25.745000000000001"/>
        <n v="28.16"/>
        <n v="23.56"/>
        <n v="40.5"/>
        <n v="35.42"/>
        <n v="39.994999999999997"/>
        <n v="34.674999999999997"/>
        <n v="20.52"/>
        <n v="23.274999999999999"/>
        <n v="36.29"/>
        <n v="32.700000000000003"/>
        <n v="19.190000000000001"/>
        <n v="20.13"/>
        <n v="23.32"/>
        <n v="45.32"/>
        <n v="34.6"/>
        <n v="18.715"/>
        <n v="21.565000000000001"/>
        <n v="23"/>
        <n v="37.07"/>
        <n v="52.58"/>
        <n v="42.655000000000001"/>
        <n v="21.66"/>
        <n v="32"/>
        <n v="18.3"/>
        <n v="47.74"/>
        <n v="22.1"/>
        <n v="19.094999999999999"/>
        <n v="31.24"/>
        <n v="29.925000000000001"/>
        <n v="20.350000000000001"/>
        <n v="25.85"/>
        <n v="42.75"/>
        <n v="18.600000000000001"/>
        <n v="23.87"/>
        <n v="45.9"/>
        <n v="21.5"/>
        <n v="30.305"/>
        <n v="44.88"/>
        <n v="41.1"/>
        <n v="40.369999999999997"/>
        <n v="28.49"/>
        <n v="33.549999999999997"/>
        <n v="40.375"/>
        <n v="27.28"/>
        <n v="17.86"/>
        <n v="33.299999999999997"/>
        <n v="39.14"/>
        <n v="21.945"/>
        <n v="24.97"/>
        <n v="23.94"/>
        <n v="34.484999999999999"/>
        <n v="21.8"/>
        <n v="23.3"/>
        <n v="36.96"/>
        <n v="21.28"/>
        <n v="29.4"/>
        <n v="27.3"/>
        <n v="37.9"/>
        <n v="37.715000000000003"/>
        <n v="23.76"/>
        <n v="25.52"/>
        <n v="27.61"/>
        <n v="27.06"/>
        <n v="39.4"/>
        <n v="34.9"/>
        <n v="22"/>
        <n v="30.36"/>
        <n v="27.8"/>
        <n v="53.13"/>
        <n v="39.71"/>
        <n v="32.869999999999997"/>
        <n v="44.7"/>
        <n v="30.97"/>
      </sharedItems>
    </cacheField>
    <cacheField name="children" numFmtId="0">
      <sharedItems containsSemiMixedTypes="0" containsString="0" containsNumber="1" containsInteger="1" minValue="0" maxValue="5" count="6">
        <n v="0"/>
        <n v="1"/>
        <n v="3"/>
        <n v="2"/>
        <n v="5"/>
        <n v="4"/>
      </sharedItems>
    </cacheField>
    <cacheField name="smoker" numFmtId="0">
      <sharedItems count="2">
        <s v="yes"/>
        <s v="no"/>
      </sharedItems>
    </cacheField>
    <cacheField name="region" numFmtId="0">
      <sharedItems count="4">
        <s v="southwest"/>
        <s v="southeast"/>
        <s v="northwest"/>
        <s v="northeast"/>
      </sharedItems>
    </cacheField>
    <cacheField name="charges($)" numFmtId="0">
      <sharedItems containsSemiMixedTypes="0" containsString="0" containsNumber="1" minValue="1121.8739" maxValue="63770.428010000003" count="1337">
        <n v="16884.923999999999"/>
        <n v="1725.5523000000001"/>
        <n v="4449.4620000000004"/>
        <n v="21984.47061"/>
        <n v="3866.8552"/>
        <n v="3756.6215999999999"/>
        <n v="8240.5895999999993"/>
        <n v="7281.5056000000004"/>
        <n v="6406.4107000000004"/>
        <n v="28923.136920000001"/>
        <n v="2721.3208"/>
        <n v="27808.7251"/>
        <n v="1826.8430000000001"/>
        <n v="11090.7178"/>
        <n v="39611.757700000002"/>
        <n v="1837.2370000000001"/>
        <n v="10797.3362"/>
        <n v="2395.17155"/>
        <n v="10602.385"/>
        <n v="36837.466999999997"/>
        <n v="13228.846949999999"/>
        <n v="4149.7359999999999"/>
        <n v="1137.011"/>
        <n v="37701.876799999998"/>
        <n v="6203.90175"/>
        <n v="14001.1338"/>
        <n v="14451.835150000001"/>
        <n v="12268.632250000001"/>
        <n v="2775.1921499999999"/>
        <n v="38711"/>
        <n v="35585.576000000001"/>
        <n v="2198.1898500000002"/>
        <n v="4687.7969999999996"/>
        <n v="13770.097900000001"/>
        <n v="51194.559139999998"/>
        <n v="1625.4337499999999"/>
        <n v="15612.19335"/>
        <n v="2302.3000000000002"/>
        <n v="39774.276299999998"/>
        <n v="48173.360999999997"/>
        <n v="3046.0619999999999"/>
        <n v="4949.7587000000003"/>
        <n v="6272.4772000000003"/>
        <n v="6313.759"/>
        <n v="6079.6715000000004"/>
        <n v="20630.283510000001"/>
        <n v="3393.35635"/>
        <n v="3556.9223000000002"/>
        <n v="12629.896699999999"/>
        <n v="38709.175999999999"/>
        <n v="2211.1307499999998"/>
        <n v="3579.8287"/>
        <n v="23568.272000000001"/>
        <n v="37742.575700000001"/>
        <n v="8059.6791000000003"/>
        <n v="47496.494449999998"/>
        <n v="13607.36875"/>
        <n v="34303.167200000004"/>
        <n v="23244.790199999999"/>
        <n v="5989.5236500000001"/>
        <n v="8606.2173999999995"/>
        <n v="4504.6624000000002"/>
        <n v="30166.618170000002"/>
        <n v="4133.6416499999996"/>
        <n v="14711.7438"/>
        <n v="1743.2139999999999"/>
        <n v="14235.072"/>
        <n v="6389.3778499999999"/>
        <n v="5920.1040999999996"/>
        <n v="17663.144199999999"/>
        <n v="16577.779500000001"/>
        <n v="6799.4579999999996"/>
        <n v="11741.726000000001"/>
        <n v="11946.625899999999"/>
        <n v="7726.8540000000003"/>
        <n v="11356.660900000001"/>
        <n v="3947.4131000000002"/>
        <n v="1532.4697000000001"/>
        <n v="2755.0209500000001"/>
        <n v="6571.0243499999997"/>
        <n v="4441.2131499999996"/>
        <n v="7935.29115"/>
        <n v="37165.163800000002"/>
        <n v="11033.661700000001"/>
        <n v="39836.519"/>
        <n v="21098.554049999999"/>
        <n v="43578.939400000003"/>
        <n v="11073.175999999999"/>
        <n v="8026.6665999999996"/>
        <n v="11082.5772"/>
        <n v="2026.9740999999999"/>
        <n v="10942.13205"/>
        <n v="30184.936699999998"/>
        <n v="5729.0052999999998"/>
        <n v="47291.055"/>
        <n v="3766.8838000000001"/>
        <n v="12105.32"/>
        <n v="10226.2842"/>
        <n v="22412.648499999999"/>
        <n v="15820.699000000001"/>
        <n v="6186.1270000000004"/>
        <n v="3645.0893999999998"/>
        <n v="21344.846699999998"/>
        <n v="30942.191800000001"/>
        <n v="5003.8530000000001"/>
        <n v="17560.37975"/>
        <n v="2331.5189999999998"/>
        <n v="3877.3042500000001"/>
        <n v="2867.1196"/>
        <n v="47055.532099999997"/>
        <n v="10825.253699999999"/>
        <n v="11881.358"/>
        <n v="4646.759"/>
        <n v="2404.7338"/>
        <n v="11488.31695"/>
        <n v="30259.995559999999"/>
        <n v="11381.3254"/>
        <n v="19107.779600000002"/>
        <n v="8601.3292999999994"/>
        <n v="6686.4313000000002"/>
        <n v="7740.3370000000004"/>
        <n v="1705.6244999999999"/>
        <n v="2257.47525"/>
        <n v="39556.494500000001"/>
        <n v="10115.00885"/>
        <n v="3385.3991500000002"/>
        <n v="17081.080000000002"/>
        <n v="9634.5380000000005"/>
        <n v="32734.186300000001"/>
        <n v="6082.4049999999997"/>
        <n v="12815.444949999999"/>
        <n v="13616.3586"/>
        <n v="11163.567999999999"/>
        <n v="1632.5644500000001"/>
        <n v="2457.2111500000001"/>
        <n v="2155.6815000000001"/>
        <n v="1261.442"/>
        <n v="2045.68525"/>
        <n v="27322.73386"/>
        <n v="2166.732"/>
        <n v="27375.904780000001"/>
        <n v="3490.5491000000002"/>
        <n v="18972.494999999999"/>
        <n v="18157.876"/>
        <n v="20745.989099999999"/>
        <n v="5138.2566999999999"/>
        <n v="40720.551050000002"/>
        <n v="9877.6077000000005"/>
        <n v="10959.6947"/>
        <n v="1842.519"/>
        <n v="5125.2156999999997"/>
        <n v="7789.6350000000002"/>
        <n v="6334.3435499999996"/>
        <n v="19964.746299999999"/>
        <n v="7077.1894000000002"/>
        <n v="6948.7007999999996"/>
        <n v="21223.675800000001"/>
        <n v="15518.180249999999"/>
        <n v="36950.256699999998"/>
        <n v="19749.383379999999"/>
        <n v="21348.705999999998"/>
        <n v="36149.483500000002"/>
        <n v="10450.552"/>
        <n v="5152.134"/>
        <n v="5028.1466"/>
        <n v="10407.085849999999"/>
        <n v="4830.63"/>
        <n v="6128.79745"/>
        <n v="2719.2797500000001"/>
        <n v="4827.9049500000001"/>
        <n v="13405.390299999999"/>
        <n v="8116.68"/>
        <n v="1694.7963999999999"/>
        <n v="5246.0469999999996"/>
        <n v="2855.4375500000001"/>
        <n v="48824.45"/>
        <n v="6455.86265"/>
        <n v="10436.096"/>
        <n v="8823.2790000000005"/>
        <n v="8538.28845"/>
        <n v="11735.87905"/>
        <n v="1631.8212000000001"/>
        <n v="4005.4225000000001"/>
        <n v="7419.4778999999999"/>
        <n v="7731.4270999999999"/>
        <n v="43753.337050000002"/>
        <n v="3981.9767999999999"/>
        <n v="5325.6509999999998"/>
        <n v="6775.9610000000002"/>
        <n v="4922.9159"/>
        <n v="12557.605299999999"/>
        <n v="4883.866"/>
        <n v="2137.6536000000001"/>
        <n v="12044.342000000001"/>
        <n v="1137.4697000000001"/>
        <n v="1639.5631000000001"/>
        <n v="5649.7150000000001"/>
        <n v="8516.8289999999997"/>
        <n v="9644.2525000000005"/>
        <n v="14901.5167"/>
        <n v="2130.6759000000002"/>
        <n v="8871.1517000000003"/>
        <n v="13012.20865"/>
        <n v="37133.898200000003"/>
        <n v="7147.1049999999996"/>
        <n v="4337.7352000000001"/>
        <n v="11743.299000000001"/>
        <n v="20984.0936"/>
        <n v="13880.949000000001"/>
        <n v="6610.1097"/>
        <n v="1980.07"/>
        <n v="8162.7162500000004"/>
        <n v="3537.703"/>
        <n v="5002.7826999999997"/>
        <n v="8520.0259999999998"/>
        <n v="7371.7719999999999"/>
        <n v="10355.641"/>
        <n v="2483.7359999999999"/>
        <n v="3392.9767999999999"/>
        <n v="25081.76784"/>
        <n v="5012.4709999999995"/>
        <n v="10564.8845"/>
        <n v="5253.5240000000003"/>
        <n v="34779.614999999998"/>
        <n v="19515.5416"/>
        <n v="11987.1682"/>
        <n v="2689.4953999999998"/>
        <n v="24227.337240000001"/>
        <n v="7358.1756500000001"/>
        <n v="9225.2564000000002"/>
        <n v="7443.6430499999997"/>
        <n v="14001.286700000001"/>
        <n v="1727.7850000000001"/>
        <n v="12333.828"/>
        <n v="6710.1918999999998"/>
        <n v="19444.265800000001"/>
        <n v="1615.7666999999999"/>
        <n v="4463.2051000000001"/>
        <n v="17352.6803"/>
        <n v="7152.6714000000002"/>
        <n v="38511.628299999997"/>
        <n v="5354.0746499999996"/>
        <n v="35160.134570000002"/>
        <n v="7196.8670000000002"/>
        <n v="29523.1656"/>
        <n v="24476.478510000001"/>
        <n v="12648.7034"/>
        <n v="1986.9333999999999"/>
        <n v="1832.0940000000001"/>
        <n v="4040.55825"/>
        <n v="12829.455099999999"/>
        <n v="47305.305"/>
        <n v="44260.749900000003"/>
        <n v="4260.7439999999997"/>
        <n v="41097.161749999999"/>
        <n v="13047.332350000001"/>
        <n v="43921.183700000001"/>
        <n v="5400.9804999999997"/>
        <n v="11520.099850000001"/>
        <n v="33750.291799999999"/>
        <n v="11837.16"/>
        <n v="17085.267599999999"/>
        <n v="24869.836800000001"/>
        <n v="36219.405449999998"/>
        <n v="20462.997660000001"/>
        <n v="46151.124499999998"/>
        <n v="17179.522000000001"/>
        <n v="14590.63205"/>
        <n v="7441.0529999999999"/>
        <n v="9282.4806000000008"/>
        <n v="1719.4363000000001"/>
        <n v="42856.838000000003"/>
        <n v="7265.7025000000003"/>
        <n v="9617.6624499999998"/>
        <n v="2523.1695"/>
        <n v="9715.8410000000003"/>
        <n v="2803.69785"/>
        <n v="2150.4690000000001"/>
        <n v="12928.7911"/>
        <n v="9855.1314000000002"/>
        <n v="22331.566800000001"/>
        <n v="48549.178350000002"/>
        <n v="4237.12655"/>
        <n v="11879.10405"/>
        <n v="9625.92"/>
        <n v="7742.1098000000002"/>
        <n v="9432.9253000000008"/>
        <n v="14256.192800000001"/>
        <n v="47896.79135"/>
        <n v="25992.821039999999"/>
        <n v="3172.018"/>
        <n v="20277.807509999999"/>
        <n v="42112.2356"/>
        <n v="2156.7518"/>
        <n v="3906.127"/>
        <n v="1704.5681"/>
        <n v="16297.846"/>
        <n v="21978.676899999999"/>
        <n v="38746.355100000001"/>
        <n v="9249.4951999999994"/>
        <n v="6746.7425000000003"/>
        <n v="24873.384900000001"/>
        <n v="12265.5069"/>
        <n v="4349.4620000000004"/>
        <n v="12646.207"/>
        <n v="19442.353500000001"/>
        <n v="20177.671129999999"/>
        <n v="4151.0286999999998"/>
        <n v="11944.594349999999"/>
        <n v="7749.1563999999998"/>
        <n v="8444.4740000000002"/>
        <n v="1737.376"/>
        <n v="42124.515299999999"/>
        <n v="8124.4084000000003"/>
        <n v="34838.873"/>
        <n v="9722.7695000000003"/>
        <n v="8835.2649500000007"/>
        <n v="10435.06525"/>
        <n v="7421.1945500000002"/>
        <n v="4667.6076499999999"/>
        <n v="4894.7533000000003"/>
        <n v="24671.663339999999"/>
        <n v="35491.64"/>
        <n v="11566.30055"/>
        <n v="2866.0909999999999"/>
        <n v="6600.2059499999996"/>
        <n v="3561.8888999999999"/>
        <n v="42760.502200000003"/>
        <n v="47928.03"/>
        <n v="9144.5650000000005"/>
        <n v="48517.563150000002"/>
        <n v="24393.6224"/>
        <n v="13429.035400000001"/>
        <n v="11658.379150000001"/>
        <n v="19144.576519999999"/>
        <n v="13822.803"/>
        <n v="12142.578600000001"/>
        <n v="13937.666499999999"/>
        <n v="41919.097000000002"/>
        <n v="8232.6388000000006"/>
        <n v="18955.220170000001"/>
        <n v="13352.0998"/>
        <n v="13217.094499999999"/>
        <n v="13981.850350000001"/>
        <n v="10977.2063"/>
        <n v="6184.2993999999999"/>
        <n v="4889.9994999999999"/>
        <n v="8334.4575499999992"/>
        <n v="5478.0367999999999"/>
        <n v="1635.7336499999999"/>
        <n v="11830.6072"/>
        <n v="8932.0840000000007"/>
        <n v="3554.203"/>
        <n v="12404.8791"/>
        <n v="14133.03775"/>
        <n v="24603.04837"/>
        <n v="8944.1151000000009"/>
        <n v="9620.3307000000004"/>
        <n v="1837.2819"/>
        <n v="1607.5101"/>
        <n v="10043.249"/>
        <n v="4751.07"/>
        <n v="13844.505999999999"/>
        <n v="2597.779"/>
        <n v="3180.5101"/>
        <n v="9778.3472000000002"/>
        <n v="13430.264999999999"/>
        <n v="8017.0611500000005"/>
        <n v="8116.2688500000004"/>
        <n v="3481.8679999999999"/>
        <n v="13415.0381"/>
        <n v="12029.286700000001"/>
        <n v="7639.4174499999999"/>
        <n v="36085.218999999997"/>
        <n v="1391.5287000000001"/>
        <n v="18033.9679"/>
        <n v="21659.930100000001"/>
        <n v="38126.246500000001"/>
        <n v="16455.707849999999"/>
        <n v="27000.98473"/>
        <n v="15006.579449999999"/>
        <n v="42303.692150000003"/>
        <n v="20781.48892"/>
        <n v="5846.9175999999998"/>
        <n v="8302.5356499999998"/>
        <n v="1261.8589999999999"/>
        <n v="11856.4115"/>
        <n v="30284.642940000002"/>
        <n v="3176.8159000000001"/>
        <n v="4618.0798999999997"/>
        <n v="10736.87075"/>
        <n v="2138.0707000000002"/>
        <n v="8964.0605500000001"/>
        <n v="9290.1394999999993"/>
        <n v="9411.0049999999992"/>
        <n v="7526.7064499999997"/>
        <n v="8522.0030000000006"/>
        <n v="16586.49771"/>
        <n v="14988.432000000001"/>
        <n v="1631.6683"/>
        <n v="9264.7970000000005"/>
        <n v="8083.9197999999997"/>
        <n v="14692.66935"/>
        <n v="10269.459999999999"/>
        <n v="3260.1990000000001"/>
        <n v="11396.9002"/>
        <n v="4185.0978999999998"/>
        <n v="8539.6710000000003"/>
        <n v="6652.5288"/>
        <n v="4074.4537"/>
        <n v="1621.3402000000001"/>
        <n v="19594.809649999999"/>
        <n v="14455.644050000001"/>
        <n v="5080.0959999999995"/>
        <n v="2134.9014999999999"/>
        <n v="7345.7266"/>
        <n v="9140.9509999999991"/>
        <n v="18608.261999999999"/>
        <n v="14418.2804"/>
        <n v="28950.4692"/>
        <n v="46889.261200000001"/>
        <n v="46599.108399999997"/>
        <n v="39125.332249999999"/>
        <n v="2727.3951000000002"/>
        <n v="8968.33"/>
        <n v="9788.8659000000007"/>
        <n v="6555.07035"/>
        <n v="7323.7348190000002"/>
        <n v="3167.4558499999998"/>
        <n v="18804.752400000001"/>
        <n v="23082.955330000001"/>
        <n v="4906.4096499999996"/>
        <n v="5969.723"/>
        <n v="12638.195"/>
        <n v="4243.5900499999998"/>
        <n v="13919.822899999999"/>
        <n v="2254.7966999999999"/>
        <n v="5926.8459999999995"/>
        <n v="12592.5345"/>
        <n v="2897.3235"/>
        <n v="4738.2682000000004"/>
        <n v="37079.372000000003"/>
        <n v="1149.3959"/>
        <n v="28287.897659999999"/>
        <n v="26109.32905"/>
        <n v="7345.0839999999998"/>
        <n v="12730.999599999999"/>
        <n v="11454.021500000001"/>
        <n v="5910.9440000000004"/>
        <n v="4762.3289999999997"/>
        <n v="7512.2669999999998"/>
        <n v="4032.2406999999998"/>
        <n v="1969.614"/>
        <n v="1769.5316499999999"/>
        <n v="4686.3887000000004"/>
        <n v="21797.000400000001"/>
        <n v="11881.9696"/>
        <n v="11840.77505"/>
        <n v="10601.412"/>
        <n v="7682.67"/>
        <n v="10381.4787"/>
        <n v="22144.031999999999"/>
        <n v="15230.324049999999"/>
        <n v="11165.417649999999"/>
        <n v="1632.0362500000001"/>
        <n v="19521.968199999999"/>
        <n v="13224.692999999999"/>
        <n v="12643.3778"/>
        <n v="23288.928400000001"/>
        <n v="2201.0971"/>
        <n v="2497.0383000000002"/>
        <n v="2203.4718499999999"/>
        <n v="1744.4649999999999"/>
        <n v="20878.78443"/>
        <n v="25382.296999999999"/>
        <n v="28868.6639"/>
        <n v="35147.528480000001"/>
        <n v="2534.3937500000002"/>
        <n v="1534.3045"/>
        <n v="1824.2854"/>
        <n v="15555.188749999999"/>
        <n v="9304.7019"/>
        <n v="1622.1885"/>
        <n v="9880.0679999999993"/>
        <n v="9563.0290000000005"/>
        <n v="4347.0233500000004"/>
        <n v="12475.3513"/>
        <n v="1253.9359999999999"/>
        <n v="48885.135609999998"/>
        <n v="10461.9794"/>
        <n v="1748.7739999999999"/>
        <n v="24513.091260000001"/>
        <n v="2196.4731999999999"/>
        <n v="12574.049000000001"/>
        <n v="17942.106"/>
        <n v="1967.0227"/>
        <n v="4931.6469999999999"/>
        <n v="8027.9679999999998"/>
        <n v="8211.1002000000008"/>
        <n v="13470.86"/>
        <n v="36197.699000000001"/>
        <n v="6837.3687"/>
        <n v="22218.1149"/>
        <n v="32548.340499999998"/>
        <n v="5974.3846999999996"/>
        <n v="6796.8632500000003"/>
        <n v="2643.2685000000001"/>
        <n v="3077.0954999999999"/>
        <n v="3044.2132999999999"/>
        <n v="11455.28"/>
        <n v="11763.000899999999"/>
        <n v="2498.4144000000001"/>
        <n v="9361.3268000000007"/>
        <n v="1256.299"/>
        <n v="21082.16"/>
        <n v="11362.754999999999"/>
        <n v="27724.28875"/>
        <n v="8413.4630500000003"/>
        <n v="5240.7650000000003"/>
        <n v="3857.7592500000001"/>
        <n v="25656.575260000001"/>
        <n v="3994.1777999999999"/>
        <n v="9866.3048500000004"/>
        <n v="5397.6166999999996"/>
        <n v="38245.593269999998"/>
        <n v="11482.63485"/>
        <n v="24059.680189999999"/>
        <n v="9861.0249999999996"/>
        <n v="8342.9087500000005"/>
        <n v="1708.0014000000001"/>
        <n v="48675.517699999997"/>
        <n v="14043.476699999999"/>
        <n v="12925.886"/>
        <n v="19214.705529999999"/>
        <n v="13831.1152"/>
        <n v="6067.1267500000004"/>
        <n v="5972.3779999999997"/>
        <n v="8825.0859999999993"/>
        <n v="8233.0974999999999"/>
        <n v="27346.04207"/>
        <n v="6196.4480000000003"/>
        <n v="3056.3881000000001"/>
        <n v="13887.204"/>
        <n v="63770.428010000003"/>
        <n v="10231.499900000001"/>
        <n v="23807.240600000001"/>
        <n v="3268.84665"/>
        <n v="11538.421"/>
        <n v="3213.6220499999999"/>
        <n v="45863.205000000002"/>
        <n v="13390.558999999999"/>
        <n v="3972.9247"/>
        <n v="12957.118"/>
        <n v="11187.6567"/>
        <n v="17878.900679999999"/>
        <n v="3847.674"/>
        <n v="8334.5895999999993"/>
        <n v="3935.1799000000001"/>
        <n v="39983.425949999997"/>
        <n v="1646.4296999999999"/>
        <n v="9193.8384999999998"/>
        <n v="10923.933199999999"/>
        <n v="2494.0219999999999"/>
        <n v="9058.7302999999993"/>
        <n v="2801.2588000000001"/>
        <n v="2128.4310500000001"/>
        <n v="6373.55735"/>
        <n v="7256.7231000000002"/>
        <n v="11552.904"/>
        <n v="45702.022349999999"/>
        <n v="3761.2919999999999"/>
        <n v="2219.4450999999999"/>
        <n v="4753.6368000000002"/>
        <n v="31620.001059999999"/>
        <n v="13224.057049999999"/>
        <n v="12222.898300000001"/>
        <n v="1664.9996000000001"/>
        <n v="58571.074480000003"/>
        <n v="9724.5300000000007"/>
        <n v="3206.4913499999998"/>
        <n v="12913.992399999999"/>
        <n v="6356.2707"/>
        <n v="17626.239509999999"/>
        <n v="1242.816"/>
        <n v="4779.6022999999996"/>
        <n v="3861.2096499999998"/>
        <n v="43943.876100000001"/>
        <n v="13635.6379"/>
        <n v="5976.8311000000003"/>
        <n v="11842.441999999999"/>
        <n v="8428.0692999999992"/>
        <n v="2566.4706999999999"/>
        <n v="15359.104499999999"/>
        <n v="5709.1643999999997"/>
        <n v="8823.9857499999998"/>
        <n v="7640.3091999999997"/>
        <n v="5594.8455000000004"/>
        <n v="7441.5010000000002"/>
        <n v="33471.971890000001"/>
        <n v="1633.0444"/>
        <n v="9174.1356500000002"/>
        <n v="11070.535"/>
        <n v="16085.127500000001"/>
        <n v="17468.983899999999"/>
        <n v="9283.5619999999999"/>
        <n v="3558.6202499999999"/>
        <n v="25678.778450000002"/>
        <n v="4435.0941999999995"/>
        <n v="39241.442000000003"/>
        <n v="8547.6913000000004"/>
        <n v="6571.5439999999999"/>
        <n v="2207.6974500000001"/>
        <n v="6753.0379999999996"/>
        <n v="1880.07"/>
        <n v="42969.852700000003"/>
        <n v="11658.11505"/>
        <n v="23306.546999999999"/>
        <n v="34439.855900000002"/>
        <n v="10713.644"/>
        <n v="3659.346"/>
        <n v="40182.245999999999"/>
        <n v="9182.17"/>
        <n v="34617.840649999998"/>
        <n v="12129.614149999999"/>
        <n v="3736.4647"/>
        <n v="6748.5911999999998"/>
        <n v="11326.71487"/>
        <n v="11365.951999999999"/>
        <n v="42983.458500000001"/>
        <n v="10085.846"/>
        <n v="1977.8150000000001"/>
        <n v="3366.6696999999999"/>
        <n v="7173.35995"/>
        <n v="9391.3459999999995"/>
        <n v="14410.9321"/>
        <n v="2709.1118999999999"/>
        <n v="24915.046259999999"/>
        <n v="20149.322899999999"/>
        <n v="12949.1554"/>
        <n v="6666.2430000000004"/>
        <n v="32787.458590000002"/>
        <n v="13143.86485"/>
        <n v="4466.6214"/>
        <n v="18806.145469999999"/>
        <n v="10141.136200000001"/>
        <n v="6123.5688"/>
        <n v="8252.2842999999993"/>
        <n v="1712.2270000000001"/>
        <n v="12430.95335"/>
        <n v="9800.8881999999994"/>
        <n v="10579.710999999999"/>
        <n v="8280.6226999999999"/>
        <n v="8527.5319999999992"/>
        <n v="12244.531000000001"/>
        <n v="24667.419000000002"/>
        <n v="3410.3240000000001"/>
        <n v="4058.71245"/>
        <n v="26392.260289999998"/>
        <n v="14394.398150000001"/>
        <n v="6435.6237000000001"/>
        <n v="22192.437109999999"/>
        <n v="5148.5526"/>
        <n v="1136.3994"/>
        <n v="27037.914100000002"/>
        <n v="42560.430399999997"/>
        <n v="8703.4560000000001"/>
        <n v="40003.332249999999"/>
        <n v="45710.207849999999"/>
        <n v="6500.2358999999997"/>
        <n v="4837.5823"/>
        <n v="3943.5954000000002"/>
        <n v="4399.7309999999998"/>
        <n v="6185.3208000000004"/>
        <n v="46200.985099999998"/>
        <n v="7222.7862500000001"/>
        <n v="12485.8009"/>
        <n v="46130.5265"/>
        <n v="12363.547"/>
        <n v="10156.7832"/>
        <n v="2585.2689999999998"/>
        <n v="1242.26"/>
        <n v="40103.89"/>
        <n v="9863.4717999999993"/>
        <n v="4766.0219999999999"/>
        <n v="11244.376899999999"/>
        <n v="7729.6457499999997"/>
        <n v="5438.7491"/>
        <n v="26236.579969999999"/>
        <n v="34806.467700000001"/>
        <n v="2104.1134000000002"/>
        <n v="8068.1850000000004"/>
        <n v="2362.2290499999999"/>
        <n v="2352.9684499999998"/>
        <n v="3577.9989999999998"/>
        <n v="3201.2451500000002"/>
        <n v="29186.482360000002"/>
        <n v="40273.645499999999"/>
        <n v="10976.24575"/>
        <n v="3500.6122999999998"/>
        <n v="2020.5523000000001"/>
        <n v="9541.6955500000004"/>
        <n v="9504.3102999999992"/>
        <n v="5385.3379000000004"/>
        <n v="8930.9345499999999"/>
        <n v="5375.0379999999996"/>
        <n v="44400.4064"/>
        <n v="10264.4421"/>
        <n v="6113.2310500000003"/>
        <n v="5469.0065999999997"/>
        <n v="1727.54"/>
        <n v="10107.220600000001"/>
        <n v="8310.8391499999998"/>
        <n v="1984.4532999999999"/>
        <n v="2457.502"/>
        <n v="12146.971"/>
        <n v="9566.9909000000007"/>
        <n v="13112.604799999999"/>
        <n v="10848.1343"/>
        <n v="12231.613600000001"/>
        <n v="9875.6803999999993"/>
        <n v="11264.540999999999"/>
        <n v="12979.358"/>
        <n v="1263.249"/>
        <n v="10106.134249999999"/>
        <n v="40932.429499999998"/>
        <n v="6664.68595"/>
        <n v="16657.71745"/>
        <n v="2217.6012000000001"/>
        <n v="6781.3541999999998"/>
        <n v="19361.998800000001"/>
        <n v="10065.413"/>
        <n v="4234.9269999999997"/>
        <n v="9447.2503500000003"/>
        <n v="14007.222"/>
        <n v="9583.8932999999997"/>
        <n v="40419.019099999998"/>
        <n v="3484.3310000000001"/>
        <n v="36189.101699999999"/>
        <n v="44585.455869999998"/>
        <n v="8604.4836500000001"/>
        <n v="18246.495500000001"/>
        <n v="43254.417950000003"/>
        <n v="3757.8447999999999"/>
        <n v="8827.2098999999998"/>
        <n v="9910.3598500000007"/>
        <n v="11737.848840000001"/>
        <n v="1627.2824499999999"/>
        <n v="8556.9069999999992"/>
        <n v="3062.5082499999999"/>
        <n v="19539.242999999999"/>
        <n v="1906.35825"/>
        <n v="14210.53595"/>
        <n v="11833.782300000001"/>
        <n v="17128.426080000001"/>
        <n v="5031.26955"/>
        <n v="7985.8149999999996"/>
        <n v="23065.420699999999"/>
        <n v="5428.7277000000004"/>
        <n v="36307.798300000002"/>
        <n v="3925.7582000000002"/>
        <n v="2416.9549999999999"/>
        <n v="19040.876"/>
        <n v="3070.8087"/>
        <n v="9095.0682500000003"/>
        <n v="11842.623750000001"/>
        <n v="8062.7640000000001"/>
        <n v="7050.6419999999998"/>
        <n v="14319.031000000001"/>
        <n v="6933.2422500000002"/>
        <n v="27941.28758"/>
        <n v="11150.78"/>
        <n v="12797.20962"/>
        <n v="17748.5062"/>
        <n v="7261.741"/>
        <n v="10560.4917"/>
        <n v="6986.6970000000001"/>
        <n v="7448.4039499999999"/>
        <n v="5934.3797999999997"/>
        <n v="9869.8101999999999"/>
        <n v="18259.216"/>
        <n v="1146.7965999999999"/>
        <n v="9386.1612999999998"/>
        <n v="24520.263999999999"/>
        <n v="4350.5144"/>
        <n v="6414.1779999999999"/>
        <n v="12741.167450000001"/>
        <n v="1917.3184000000001"/>
        <n v="5209.5788499999999"/>
        <n v="13457.960800000001"/>
        <n v="5662.2250000000004"/>
        <n v="1252.4069999999999"/>
        <n v="2731.9122000000002"/>
        <n v="21195.817999999999"/>
        <n v="7209.4917999999998"/>
        <n v="18310.741999999998"/>
        <n v="4266.1657999999998"/>
        <n v="4719.52405"/>
        <n v="11848.141"/>
        <n v="17904.527050000001"/>
        <n v="7046.7222000000002"/>
        <n v="14313.846299999999"/>
        <n v="2103.08"/>
        <n v="38792.685599999997"/>
        <n v="1815.8759"/>
        <n v="7731.8578500000003"/>
        <n v="28476.734990000001"/>
        <n v="2136.8822500000001"/>
        <n v="1131.5065999999999"/>
        <n v="3309.7926000000002"/>
        <n v="9414.92"/>
        <n v="6360.9935999999998"/>
        <n v="11013.7119"/>
        <n v="4428.8878500000001"/>
        <n v="5584.3056999999999"/>
        <n v="1877.9294"/>
        <n v="2842.7607499999999"/>
        <n v="3597.596"/>
        <n v="23401.30575"/>
        <n v="55135.402090000003"/>
        <n v="7445.9179999999997"/>
        <n v="2680.9493000000002"/>
        <n v="1621.8827000000001"/>
        <n v="8219.2039000000004"/>
        <n v="12523.604799999999"/>
        <n v="16069.08475"/>
        <n v="43813.866099999999"/>
        <n v="20773.62775"/>
        <n v="39597.407200000001"/>
        <n v="6117.4944999999998"/>
        <n v="13393.755999999999"/>
        <n v="5266.3656000000001"/>
        <n v="4719.7365499999996"/>
        <n v="11743.9341"/>
        <n v="5377.4578000000001"/>
        <n v="7160.3302999999996"/>
        <n v="4402.2330000000002"/>
        <n v="11657.7189"/>
        <n v="6402.2913500000004"/>
        <n v="12622.1795"/>
        <n v="1526.3119999999999"/>
        <n v="12323.936"/>
        <n v="36021.011200000001"/>
        <n v="27533.912899999999"/>
        <n v="10072.055050000001"/>
        <n v="45008.955499999996"/>
        <n v="9872.7009999999991"/>
        <n v="2438.0551999999998"/>
        <n v="2974.1260000000002"/>
        <n v="10601.632250000001"/>
        <n v="37270.1512"/>
        <n v="14119.62"/>
        <n v="42111.664700000001"/>
        <n v="11729.6795"/>
        <n v="24106.912550000001"/>
        <n v="1875.3440000000001"/>
        <n v="40974.164900000003"/>
        <n v="15817.985699999999"/>
        <n v="18218.161390000001"/>
        <n v="10965.446"/>
        <n v="46113.510999999999"/>
        <n v="7151.0919999999996"/>
        <n v="12269.68865"/>
        <n v="5458.0464499999998"/>
        <n v="8782.4689999999991"/>
        <n v="6600.3609999999999"/>
        <n v="1141.4450999999999"/>
        <n v="11576.13"/>
        <n v="13129.603450000001"/>
        <n v="4391.652"/>
        <n v="8457.8179999999993"/>
        <n v="3392.3652000000002"/>
        <n v="5966.8873999999996"/>
        <n v="6849.0259999999998"/>
        <n v="8891.1394999999993"/>
        <n v="2690.1138000000001"/>
        <n v="26140.3603"/>
        <n v="6653.7885999999999"/>
        <n v="6282.2349999999997"/>
        <n v="6311.9520000000002"/>
        <n v="3443.0639999999999"/>
        <n v="2789.0574000000001"/>
        <n v="2585.8506499999999"/>
        <n v="46255.112500000003"/>
        <n v="4877.9810500000003"/>
        <n v="19719.6947"/>
        <n v="27218.437249999999"/>
        <n v="5272.1758"/>
        <n v="1682.597"/>
        <n v="11945.1327"/>
        <n v="29330.98315"/>
        <n v="7243.8136000000004"/>
        <n v="10422.916649999999"/>
        <n v="44202.653599999998"/>
        <n v="13555.0049"/>
        <n v="13063.883"/>
        <n v="19798.054550000001"/>
        <n v="2221.5644499999999"/>
        <n v="1634.5734"/>
        <n v="2117.3388500000001"/>
        <n v="8688.8588500000005"/>
        <n v="48673.558799999999"/>
        <n v="4661.2863500000003"/>
        <n v="8125.7844999999998"/>
        <n v="12644.589"/>
        <n v="4564.1914500000003"/>
        <n v="4846.9201499999999"/>
        <n v="7633.7205999999996"/>
        <n v="15170.069"/>
        <n v="17496.306"/>
        <n v="2639.0428999999999"/>
        <n v="33732.686699999998"/>
        <n v="14382.709049999999"/>
        <n v="7626.9930000000004"/>
        <n v="5257.5079500000002"/>
        <n v="2473.3341"/>
        <n v="21774.32215"/>
        <n v="35069.374519999998"/>
        <n v="13041.921"/>
        <n v="5245.2268999999997"/>
        <n v="13451.121999999999"/>
        <n v="13462.52"/>
        <n v="5488.2619999999997"/>
        <n v="4320.4108500000002"/>
        <n v="6250.4350000000004"/>
        <n v="25333.332839999999"/>
        <n v="2913.569"/>
        <n v="12032.325999999999"/>
        <n v="13470.804400000001"/>
        <n v="6289.7548999999999"/>
        <n v="2927.0646999999999"/>
        <n v="6238.2979999999998"/>
        <n v="10096.969999999999"/>
        <n v="7348.1419999999998"/>
        <n v="4673.3922000000002"/>
        <n v="12233.828"/>
        <n v="32108.662820000001"/>
        <n v="8965.7957499999993"/>
        <n v="2304.0021999999999"/>
        <n v="9487.6442000000006"/>
        <n v="1121.8739"/>
        <n v="9549.5650999999998"/>
        <n v="2217.4691499999999"/>
        <n v="1628.4709"/>
        <n v="12982.8747"/>
        <n v="11674.13"/>
        <n v="7160.0940000000001"/>
        <n v="39047.285000000003"/>
        <n v="6358.7764500000003"/>
        <n v="19933.457999999999"/>
        <n v="11534.872649999999"/>
        <n v="47462.894"/>
        <n v="4527.1829500000003"/>
        <n v="38998.546000000002"/>
        <n v="20009.63365"/>
        <n v="3875.7341000000001"/>
        <n v="41999.519999999997"/>
        <n v="12609.88702"/>
        <n v="41034.221400000002"/>
        <n v="28468.919010000001"/>
        <n v="2730.1078499999999"/>
        <n v="3353.2840000000001"/>
        <n v="14474.674999999999"/>
        <n v="9500.5730500000009"/>
        <n v="26467.09737"/>
        <n v="4746.3440000000001"/>
        <n v="23967.38305"/>
        <n v="7518.0253499999999"/>
        <n v="3279.8685500000001"/>
        <n v="8596.8277999999991"/>
        <n v="10702.642400000001"/>
        <n v="4992.3764000000001"/>
        <n v="2527.8186500000002"/>
        <n v="1759.338"/>
        <n v="2322.6217999999999"/>
        <n v="16138.762049999999"/>
        <n v="7804.1605"/>
        <n v="2902.9065000000001"/>
        <n v="9704.6680500000002"/>
        <n v="4889.0367999999999"/>
        <n v="25517.11363"/>
        <n v="4500.33925"/>
        <n v="19199.944"/>
        <n v="16796.411940000002"/>
        <n v="4915.0598499999996"/>
        <n v="7624.63"/>
        <n v="8410.0468500000006"/>
        <n v="28340.188849999999"/>
        <n v="4518.8262500000001"/>
        <n v="14571.890799999999"/>
        <n v="3378.91"/>
        <n v="7144.86265"/>
        <n v="10118.424000000001"/>
        <n v="5484.4673000000003"/>
        <n v="16420.494549999999"/>
        <n v="7986.4752500000004"/>
        <n v="7418.5219999999999"/>
        <n v="13887.968500000001"/>
        <n v="6551.7501000000002"/>
        <n v="5267.8181500000001"/>
        <n v="17361.766100000001"/>
        <n v="34472.841"/>
        <n v="1972.95"/>
        <n v="21232.182260000001"/>
        <n v="8627.5411000000004"/>
        <n v="4433.3877000000002"/>
        <n v="4438.2633999999998"/>
        <n v="24915.220850000002"/>
        <n v="23241.47453"/>
        <n v="9957.7216000000008"/>
        <n v="8269.0439999999999"/>
        <n v="18767.737700000001"/>
        <n v="36580.282160000002"/>
        <n v="8765.2489999999998"/>
        <n v="5383.5360000000001"/>
        <n v="12124.992399999999"/>
        <n v="2709.24395"/>
        <n v="3987.9259999999999"/>
        <n v="12495.290849999999"/>
        <n v="26018.950519999999"/>
        <n v="8798.5930000000008"/>
        <n v="35595.589800000002"/>
        <n v="42211.138200000001"/>
        <n v="1711.0268000000001"/>
        <n v="8569.8618000000006"/>
        <n v="2020.1769999999999"/>
        <n v="16450.894700000001"/>
        <n v="21595.382290000001"/>
        <n v="9850.4320000000007"/>
        <n v="6877.9800999999998"/>
        <n v="21677.283449999999"/>
        <n v="44423.803"/>
        <n v="4137.5227000000004"/>
        <n v="13747.87235"/>
        <n v="12950.0712"/>
        <n v="12094.477999999999"/>
        <n v="37484.4493"/>
        <n v="39725.518049999999"/>
        <n v="2250.8352"/>
        <n v="22493.659640000002"/>
        <n v="20234.854749999999"/>
        <n v="1704.7001499999999"/>
        <n v="33475.817150000003"/>
        <n v="3161.4540000000002"/>
        <n v="11394.065549999999"/>
        <n v="21880.82"/>
        <n v="7325.0482000000002"/>
        <n v="44501.398200000003"/>
        <n v="3594.17085"/>
        <n v="39727.614000000001"/>
        <n v="8023.1354499999998"/>
        <n v="14394.5579"/>
        <n v="9288.0267000000003"/>
        <n v="25309.489000000001"/>
        <n v="3353.4703"/>
        <n v="10594.501550000001"/>
        <n v="8277.5229999999992"/>
        <n v="17929.303370000001"/>
        <n v="2480.9791"/>
        <n v="4462.7218000000003"/>
        <n v="1981.5818999999999"/>
        <n v="11554.223599999999"/>
        <n v="48970.247600000002"/>
        <n v="6548.1950500000003"/>
        <n v="5708.8670000000002"/>
        <n v="7045.4989999999998"/>
        <n v="8978.1851000000006"/>
        <n v="5757.41345"/>
        <n v="14349.8544"/>
        <n v="10928.849"/>
        <n v="39871.704299999998"/>
        <n v="13974.455550000001"/>
        <n v="1909.52745"/>
        <n v="12096.6512"/>
        <n v="13204.28565"/>
        <n v="4562.8420999999998"/>
        <n v="8551.3469999999998"/>
        <n v="2102.2647000000002"/>
        <n v="34672.147199999999"/>
        <n v="15161.5344"/>
        <n v="11884.048580000001"/>
        <n v="4454.40265"/>
        <n v="5855.9025000000001"/>
        <n v="4076.4969999999998"/>
        <n v="15019.760050000001"/>
        <n v="19023.259999999998"/>
        <n v="10796.35025"/>
        <n v="11353.2276"/>
        <n v="9748.9105999999992"/>
        <n v="10577.087"/>
        <n v="41676.081100000003"/>
        <n v="11286.538699999999"/>
        <n v="3591.48"/>
        <n v="33907.548000000003"/>
        <n v="11299.343000000001"/>
        <n v="4561.1885000000002"/>
        <n v="44641.197399999997"/>
        <n v="1674.6323"/>
        <n v="23045.566159999998"/>
        <n v="3227.1210999999998"/>
        <n v="16776.304049999999"/>
        <n v="11253.421"/>
        <n v="3471.4096"/>
        <n v="11363.2832"/>
        <n v="20420.604650000001"/>
        <n v="10338.9316"/>
        <n v="8988.1587500000005"/>
        <n v="10493.9458"/>
        <n v="2904.0880000000002"/>
        <n v="8605.3615000000009"/>
        <n v="11512.405000000001"/>
        <n v="41949.244100000004"/>
        <n v="24180.933499999999"/>
        <n v="5312.1698500000002"/>
        <n v="2396.0958999999998"/>
        <n v="10807.4863"/>
        <n v="9222.4025999999994"/>
        <n v="36124.573700000001"/>
        <n v="38282.749499999998"/>
        <n v="5693.4305000000004"/>
        <n v="34166.273000000001"/>
        <n v="8347.1643000000004"/>
        <n v="46661.4424"/>
        <n v="18903.491409999999"/>
        <n v="40904.199500000002"/>
        <n v="14254.608200000001"/>
        <n v="10214.636"/>
        <n v="5836.5204000000003"/>
        <n v="14358.364369999999"/>
        <n v="1728.8969999999999"/>
        <n v="8582.3022999999994"/>
        <n v="3693.4279999999999"/>
        <n v="20709.020339999999"/>
        <n v="9991.0376500000002"/>
        <n v="19673.335729999999"/>
        <n v="11085.586799999999"/>
        <n v="7623.518"/>
        <n v="3176.2876999999999"/>
        <n v="3704.3544999999999"/>
        <n v="36898.733079999998"/>
        <n v="9048.0272999999997"/>
        <n v="7954.5169999999998"/>
        <n v="27117.993780000001"/>
        <n v="6338.0756000000001"/>
        <n v="9630.3970000000008"/>
        <n v="11289.10925"/>
        <n v="52590.829389999999"/>
        <n v="2261.5688"/>
        <n v="10791.96"/>
        <n v="5979.7309999999998"/>
        <n v="2203.7359499999998"/>
        <n v="12235.8392"/>
        <n v="40941.285400000001"/>
        <n v="5630.4578499999998"/>
        <n v="11015.1747"/>
        <n v="7228.2156500000001"/>
        <n v="39722.746200000001"/>
        <n v="14426.073850000001"/>
        <n v="2459.7201"/>
        <n v="3989.8409999999999"/>
        <n v="7727.2532000000001"/>
        <n v="5124.1886999999997"/>
        <n v="18963.171920000001"/>
        <n v="2200.8308499999998"/>
        <n v="7153.5538999999999"/>
        <n v="5227.9887500000004"/>
        <n v="10982.5013"/>
        <n v="4529.4769999999999"/>
        <n v="4670.6400000000003"/>
        <n v="6112.3529500000004"/>
        <n v="17178.682400000002"/>
        <n v="22478.6"/>
        <n v="11093.6229"/>
        <n v="6457.8433999999997"/>
        <n v="4433.9159"/>
        <n v="2154.3609999999999"/>
        <n v="23887.662700000001"/>
        <n v="6496.8860000000004"/>
        <n v="2899.4893499999998"/>
        <n v="19350.368900000001"/>
        <n v="7650.7737500000003"/>
        <n v="2850.6837500000001"/>
        <n v="2632.9920000000002"/>
        <n v="9447.3824000000004"/>
        <n v="18328.238099999999"/>
        <n v="8603.8233999999993"/>
        <n v="37465.34375"/>
        <n v="13844.797200000001"/>
        <n v="21771.3423"/>
        <n v="13126.677449999999"/>
        <n v="5327.4002499999997"/>
        <n v="13725.47184"/>
        <n v="13019.161050000001"/>
        <n v="8671.1912499999999"/>
        <n v="4134.0824499999999"/>
        <n v="18838.703659999999"/>
        <n v="33307.550799999997"/>
        <n v="5699.8374999999996"/>
        <n v="6393.6034499999996"/>
        <n v="4934.7049999999999"/>
        <n v="6198.7518"/>
        <n v="8733.2292500000003"/>
        <n v="2055.3249000000001"/>
        <n v="9964.06"/>
        <n v="18223.4512"/>
        <n v="5116.5003999999999"/>
        <n v="36910.608030000003"/>
        <n v="38415.474000000002"/>
        <n v="20296.863450000001"/>
        <n v="12347.172"/>
        <n v="5373.3642499999996"/>
        <n v="23563.016179999999"/>
        <n v="1702.4553000000001"/>
        <n v="10806.839"/>
        <n v="3956.0714499999999"/>
        <n v="12890.057650000001"/>
        <n v="5415.6611999999996"/>
        <n v="4058.1161000000002"/>
        <n v="41661.601999999999"/>
        <n v="7537.1638999999996"/>
        <n v="4718.2035500000002"/>
        <n v="6593.5083000000004"/>
        <n v="8442.6669999999995"/>
        <n v="26125.674770000001"/>
        <n v="6858.4795999999997"/>
        <n v="4795.6567999999997"/>
        <n v="6640.5448500000002"/>
        <n v="7162.0122000000001"/>
        <n v="10594.225700000001"/>
        <n v="11938.255950000001"/>
        <n v="60021.398970000002"/>
        <n v="20167.336029999999"/>
        <n v="12479.70895"/>
        <n v="11345.519"/>
        <n v="8515.7587000000003"/>
        <n v="2699.56835"/>
        <n v="14449.8544"/>
        <n v="12224.350850000001"/>
        <n v="6985.50695"/>
        <n v="3238.4357"/>
        <n v="47269.853999999999"/>
        <n v="49577.662400000001"/>
        <n v="4296.2712000000001"/>
        <n v="3171.6149"/>
        <n v="1135.9407000000001"/>
        <n v="5615.3689999999997"/>
        <n v="9101.7980000000007"/>
        <n v="6059.1729999999998"/>
        <n v="1633.9618"/>
        <n v="37607.527699999999"/>
        <n v="18648.421699999999"/>
        <n v="1241.5650000000001"/>
        <n v="16232.847"/>
        <n v="15828.82173"/>
        <n v="4415.1588000000002"/>
        <n v="6474.0129999999999"/>
        <n v="11436.738149999999"/>
        <n v="11305.93455"/>
        <n v="30063.580549999999"/>
        <n v="10197.772199999999"/>
        <n v="4544.2348000000002"/>
        <n v="3277.1610000000001"/>
        <n v="6770.1925000000001"/>
        <n v="7337.7479999999996"/>
        <n v="10370.912549999999"/>
        <n v="26926.5144"/>
        <n v="10704.47"/>
        <n v="34254.053350000002"/>
        <n v="1880.4870000000001"/>
        <n v="8615.2999999999993"/>
        <n v="3292.5298499999999"/>
        <n v="3021.80915"/>
        <n v="14478.33015"/>
        <n v="4747.0528999999997"/>
        <n v="17043.341400000001"/>
        <n v="10959.33"/>
        <n v="2741.9479999999999"/>
        <n v="4357.0436499999996"/>
        <n v="22462.043750000001"/>
        <n v="4189.1130999999996"/>
        <n v="8283.6807000000008"/>
        <n v="24535.698550000001"/>
        <n v="14283.4594"/>
        <n v="1720.3536999999999"/>
        <n v="47403.88"/>
        <n v="8534.6718000000001"/>
        <n v="3732.6251000000002"/>
        <n v="5472.4489999999996"/>
        <n v="38344.565999999999"/>
        <n v="7147.4727999999996"/>
        <n v="7133.9025000000001"/>
        <n v="34828.654000000002"/>
        <n v="1515.3449000000001"/>
        <n v="9301.8935500000007"/>
        <n v="11931.125249999999"/>
        <n v="1964.78"/>
        <n v="1708.9257500000001"/>
        <n v="4340.4408999999996"/>
        <n v="5261.4694499999996"/>
        <n v="2710.8285500000002"/>
        <n v="62592.873090000001"/>
        <n v="46718.163249999998"/>
        <n v="3208.7869999999998"/>
        <n v="37829.724199999997"/>
        <n v="21259.377949999998"/>
        <n v="2464.6188000000002"/>
        <n v="16115.3045"/>
        <n v="21472.478800000001"/>
        <n v="33900.652999999998"/>
        <n v="6875.9610000000002"/>
        <n v="6940.90985"/>
        <n v="4571.4130500000001"/>
        <n v="4536.259"/>
        <n v="36397.576000000001"/>
        <n v="18765.87545"/>
        <n v="11272.331389999999"/>
        <n v="1731.6769999999999"/>
        <n v="1163.4627"/>
        <n v="19496.71917"/>
        <n v="7201.7008500000002"/>
        <n v="5425.0233500000004"/>
        <n v="28101.333050000001"/>
        <n v="12981.3457"/>
        <n v="43896.376300000004"/>
        <n v="4239.8926499999998"/>
        <n v="13143.336649999999"/>
        <n v="7050.0213000000003"/>
        <n v="9377.9046999999991"/>
        <n v="22395.74424"/>
        <n v="10325.206"/>
        <n v="12629.1656"/>
        <n v="10795.937330000001"/>
        <n v="11411.684999999999"/>
        <n v="10600.5483"/>
        <n v="2205.9807999999998"/>
        <n v="1629.8335"/>
        <n v="2007.9449999999999"/>
        <n v="29141.36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  <x v="0"/>
    <x v="0"/>
    <x v="0"/>
    <x v="0"/>
    <x v="0"/>
  </r>
  <r>
    <x v="1"/>
    <x v="1"/>
    <x v="1"/>
    <x v="1"/>
    <x v="1"/>
    <x v="1"/>
    <x v="1"/>
  </r>
  <r>
    <x v="2"/>
    <x v="1"/>
    <x v="2"/>
    <x v="2"/>
    <x v="1"/>
    <x v="1"/>
    <x v="2"/>
  </r>
  <r>
    <x v="3"/>
    <x v="1"/>
    <x v="3"/>
    <x v="0"/>
    <x v="1"/>
    <x v="2"/>
    <x v="3"/>
  </r>
  <r>
    <x v="4"/>
    <x v="1"/>
    <x v="4"/>
    <x v="0"/>
    <x v="1"/>
    <x v="2"/>
    <x v="4"/>
  </r>
  <r>
    <x v="5"/>
    <x v="0"/>
    <x v="5"/>
    <x v="0"/>
    <x v="1"/>
    <x v="1"/>
    <x v="5"/>
  </r>
  <r>
    <x v="6"/>
    <x v="0"/>
    <x v="6"/>
    <x v="1"/>
    <x v="1"/>
    <x v="1"/>
    <x v="6"/>
  </r>
  <r>
    <x v="7"/>
    <x v="0"/>
    <x v="7"/>
    <x v="2"/>
    <x v="1"/>
    <x v="2"/>
    <x v="7"/>
  </r>
  <r>
    <x v="7"/>
    <x v="1"/>
    <x v="8"/>
    <x v="3"/>
    <x v="1"/>
    <x v="3"/>
    <x v="8"/>
  </r>
  <r>
    <x v="8"/>
    <x v="0"/>
    <x v="9"/>
    <x v="0"/>
    <x v="1"/>
    <x v="2"/>
    <x v="9"/>
  </r>
  <r>
    <x v="9"/>
    <x v="1"/>
    <x v="10"/>
    <x v="0"/>
    <x v="1"/>
    <x v="3"/>
    <x v="10"/>
  </r>
  <r>
    <x v="10"/>
    <x v="0"/>
    <x v="11"/>
    <x v="0"/>
    <x v="0"/>
    <x v="1"/>
    <x v="11"/>
  </r>
  <r>
    <x v="11"/>
    <x v="1"/>
    <x v="12"/>
    <x v="0"/>
    <x v="1"/>
    <x v="0"/>
    <x v="12"/>
  </r>
  <r>
    <x v="12"/>
    <x v="0"/>
    <x v="13"/>
    <x v="0"/>
    <x v="1"/>
    <x v="1"/>
    <x v="13"/>
  </r>
  <r>
    <x v="13"/>
    <x v="1"/>
    <x v="14"/>
    <x v="0"/>
    <x v="0"/>
    <x v="1"/>
    <x v="14"/>
  </r>
  <r>
    <x v="0"/>
    <x v="1"/>
    <x v="15"/>
    <x v="1"/>
    <x v="1"/>
    <x v="0"/>
    <x v="15"/>
  </r>
  <r>
    <x v="14"/>
    <x v="0"/>
    <x v="16"/>
    <x v="1"/>
    <x v="1"/>
    <x v="3"/>
    <x v="16"/>
  </r>
  <r>
    <x v="11"/>
    <x v="1"/>
    <x v="17"/>
    <x v="0"/>
    <x v="1"/>
    <x v="3"/>
    <x v="17"/>
  </r>
  <r>
    <x v="12"/>
    <x v="1"/>
    <x v="18"/>
    <x v="0"/>
    <x v="1"/>
    <x v="0"/>
    <x v="18"/>
  </r>
  <r>
    <x v="15"/>
    <x v="1"/>
    <x v="19"/>
    <x v="0"/>
    <x v="0"/>
    <x v="0"/>
    <x v="19"/>
  </r>
  <r>
    <x v="8"/>
    <x v="0"/>
    <x v="20"/>
    <x v="0"/>
    <x v="1"/>
    <x v="3"/>
    <x v="20"/>
  </r>
  <r>
    <x v="15"/>
    <x v="0"/>
    <x v="21"/>
    <x v="1"/>
    <x v="1"/>
    <x v="0"/>
    <x v="21"/>
  </r>
  <r>
    <x v="1"/>
    <x v="1"/>
    <x v="22"/>
    <x v="0"/>
    <x v="1"/>
    <x v="1"/>
    <x v="22"/>
  </r>
  <r>
    <x v="16"/>
    <x v="0"/>
    <x v="23"/>
    <x v="1"/>
    <x v="0"/>
    <x v="3"/>
    <x v="23"/>
  </r>
  <r>
    <x v="7"/>
    <x v="1"/>
    <x v="24"/>
    <x v="3"/>
    <x v="1"/>
    <x v="2"/>
    <x v="24"/>
  </r>
  <r>
    <x v="17"/>
    <x v="0"/>
    <x v="25"/>
    <x v="2"/>
    <x v="1"/>
    <x v="1"/>
    <x v="25"/>
  </r>
  <r>
    <x v="18"/>
    <x v="0"/>
    <x v="26"/>
    <x v="0"/>
    <x v="1"/>
    <x v="3"/>
    <x v="26"/>
  </r>
  <r>
    <x v="19"/>
    <x v="0"/>
    <x v="27"/>
    <x v="3"/>
    <x v="1"/>
    <x v="2"/>
    <x v="27"/>
  </r>
  <r>
    <x v="11"/>
    <x v="1"/>
    <x v="28"/>
    <x v="1"/>
    <x v="1"/>
    <x v="2"/>
    <x v="28"/>
  </r>
  <r>
    <x v="5"/>
    <x v="1"/>
    <x v="29"/>
    <x v="3"/>
    <x v="0"/>
    <x v="0"/>
    <x v="29"/>
  </r>
  <r>
    <x v="20"/>
    <x v="1"/>
    <x v="30"/>
    <x v="0"/>
    <x v="0"/>
    <x v="0"/>
    <x v="30"/>
  </r>
  <r>
    <x v="1"/>
    <x v="0"/>
    <x v="31"/>
    <x v="0"/>
    <x v="1"/>
    <x v="3"/>
    <x v="31"/>
  </r>
  <r>
    <x v="0"/>
    <x v="0"/>
    <x v="32"/>
    <x v="4"/>
    <x v="1"/>
    <x v="0"/>
    <x v="32"/>
  </r>
  <r>
    <x v="18"/>
    <x v="1"/>
    <x v="33"/>
    <x v="0"/>
    <x v="1"/>
    <x v="2"/>
    <x v="33"/>
  </r>
  <r>
    <x v="2"/>
    <x v="1"/>
    <x v="34"/>
    <x v="1"/>
    <x v="0"/>
    <x v="0"/>
    <x v="34"/>
  </r>
  <r>
    <x v="0"/>
    <x v="1"/>
    <x v="35"/>
    <x v="0"/>
    <x v="1"/>
    <x v="2"/>
    <x v="35"/>
  </r>
  <r>
    <x v="10"/>
    <x v="0"/>
    <x v="36"/>
    <x v="2"/>
    <x v="1"/>
    <x v="2"/>
    <x v="36"/>
  </r>
  <r>
    <x v="21"/>
    <x v="1"/>
    <x v="37"/>
    <x v="0"/>
    <x v="1"/>
    <x v="0"/>
    <x v="37"/>
  </r>
  <r>
    <x v="22"/>
    <x v="1"/>
    <x v="38"/>
    <x v="1"/>
    <x v="0"/>
    <x v="3"/>
    <x v="38"/>
  </r>
  <r>
    <x v="8"/>
    <x v="1"/>
    <x v="39"/>
    <x v="0"/>
    <x v="0"/>
    <x v="0"/>
    <x v="39"/>
  </r>
  <r>
    <x v="23"/>
    <x v="0"/>
    <x v="40"/>
    <x v="0"/>
    <x v="1"/>
    <x v="3"/>
    <x v="40"/>
  </r>
  <r>
    <x v="5"/>
    <x v="0"/>
    <x v="41"/>
    <x v="3"/>
    <x v="1"/>
    <x v="1"/>
    <x v="41"/>
  </r>
  <r>
    <x v="24"/>
    <x v="1"/>
    <x v="42"/>
    <x v="1"/>
    <x v="1"/>
    <x v="1"/>
    <x v="42"/>
  </r>
  <r>
    <x v="7"/>
    <x v="0"/>
    <x v="43"/>
    <x v="3"/>
    <x v="1"/>
    <x v="1"/>
    <x v="43"/>
  </r>
  <r>
    <x v="25"/>
    <x v="1"/>
    <x v="44"/>
    <x v="1"/>
    <x v="1"/>
    <x v="3"/>
    <x v="44"/>
  </r>
  <r>
    <x v="19"/>
    <x v="1"/>
    <x v="45"/>
    <x v="0"/>
    <x v="1"/>
    <x v="0"/>
    <x v="45"/>
  </r>
  <r>
    <x v="1"/>
    <x v="0"/>
    <x v="46"/>
    <x v="3"/>
    <x v="1"/>
    <x v="3"/>
    <x v="46"/>
  </r>
  <r>
    <x v="2"/>
    <x v="0"/>
    <x v="47"/>
    <x v="0"/>
    <x v="1"/>
    <x v="2"/>
    <x v="47"/>
  </r>
  <r>
    <x v="8"/>
    <x v="0"/>
    <x v="48"/>
    <x v="0"/>
    <x v="1"/>
    <x v="1"/>
    <x v="48"/>
  </r>
  <r>
    <x v="26"/>
    <x v="1"/>
    <x v="49"/>
    <x v="1"/>
    <x v="0"/>
    <x v="1"/>
    <x v="49"/>
  </r>
  <r>
    <x v="1"/>
    <x v="0"/>
    <x v="50"/>
    <x v="0"/>
    <x v="1"/>
    <x v="3"/>
    <x v="50"/>
  </r>
  <r>
    <x v="27"/>
    <x v="0"/>
    <x v="51"/>
    <x v="3"/>
    <x v="1"/>
    <x v="2"/>
    <x v="51"/>
  </r>
  <r>
    <x v="28"/>
    <x v="1"/>
    <x v="52"/>
    <x v="1"/>
    <x v="0"/>
    <x v="0"/>
    <x v="52"/>
  </r>
  <r>
    <x v="26"/>
    <x v="1"/>
    <x v="53"/>
    <x v="0"/>
    <x v="0"/>
    <x v="1"/>
    <x v="53"/>
  </r>
  <r>
    <x v="29"/>
    <x v="0"/>
    <x v="54"/>
    <x v="2"/>
    <x v="1"/>
    <x v="2"/>
    <x v="54"/>
  </r>
  <r>
    <x v="30"/>
    <x v="1"/>
    <x v="55"/>
    <x v="3"/>
    <x v="0"/>
    <x v="2"/>
    <x v="55"/>
  </r>
  <r>
    <x v="30"/>
    <x v="0"/>
    <x v="56"/>
    <x v="3"/>
    <x v="1"/>
    <x v="3"/>
    <x v="56"/>
  </r>
  <r>
    <x v="1"/>
    <x v="1"/>
    <x v="57"/>
    <x v="3"/>
    <x v="0"/>
    <x v="1"/>
    <x v="57"/>
  </r>
  <r>
    <x v="31"/>
    <x v="0"/>
    <x v="58"/>
    <x v="1"/>
    <x v="0"/>
    <x v="1"/>
    <x v="58"/>
  </r>
  <r>
    <x v="16"/>
    <x v="0"/>
    <x v="59"/>
    <x v="3"/>
    <x v="1"/>
    <x v="2"/>
    <x v="59"/>
  </r>
  <r>
    <x v="32"/>
    <x v="1"/>
    <x v="60"/>
    <x v="2"/>
    <x v="1"/>
    <x v="3"/>
    <x v="60"/>
  </r>
  <r>
    <x v="9"/>
    <x v="1"/>
    <x v="61"/>
    <x v="5"/>
    <x v="1"/>
    <x v="1"/>
    <x v="61"/>
  </r>
  <r>
    <x v="33"/>
    <x v="1"/>
    <x v="62"/>
    <x v="1"/>
    <x v="1"/>
    <x v="2"/>
    <x v="62"/>
  </r>
  <r>
    <x v="2"/>
    <x v="0"/>
    <x v="63"/>
    <x v="1"/>
    <x v="1"/>
    <x v="2"/>
    <x v="63"/>
  </r>
  <r>
    <x v="34"/>
    <x v="0"/>
    <x v="64"/>
    <x v="0"/>
    <x v="0"/>
    <x v="2"/>
    <x v="64"/>
  </r>
  <r>
    <x v="0"/>
    <x v="0"/>
    <x v="65"/>
    <x v="0"/>
    <x v="1"/>
    <x v="0"/>
    <x v="65"/>
  </r>
  <r>
    <x v="35"/>
    <x v="0"/>
    <x v="66"/>
    <x v="3"/>
    <x v="1"/>
    <x v="0"/>
    <x v="66"/>
  </r>
  <r>
    <x v="29"/>
    <x v="1"/>
    <x v="31"/>
    <x v="1"/>
    <x v="1"/>
    <x v="2"/>
    <x v="67"/>
  </r>
  <r>
    <x v="29"/>
    <x v="0"/>
    <x v="67"/>
    <x v="0"/>
    <x v="1"/>
    <x v="1"/>
    <x v="68"/>
  </r>
  <r>
    <x v="2"/>
    <x v="1"/>
    <x v="68"/>
    <x v="2"/>
    <x v="0"/>
    <x v="1"/>
    <x v="69"/>
  </r>
  <r>
    <x v="13"/>
    <x v="0"/>
    <x v="69"/>
    <x v="0"/>
    <x v="0"/>
    <x v="1"/>
    <x v="70"/>
  </r>
  <r>
    <x v="5"/>
    <x v="1"/>
    <x v="70"/>
    <x v="4"/>
    <x v="1"/>
    <x v="3"/>
    <x v="71"/>
  </r>
  <r>
    <x v="31"/>
    <x v="0"/>
    <x v="71"/>
    <x v="2"/>
    <x v="1"/>
    <x v="0"/>
    <x v="72"/>
  </r>
  <r>
    <x v="30"/>
    <x v="1"/>
    <x v="72"/>
    <x v="1"/>
    <x v="1"/>
    <x v="1"/>
    <x v="73"/>
  </r>
  <r>
    <x v="36"/>
    <x v="1"/>
    <x v="73"/>
    <x v="3"/>
    <x v="1"/>
    <x v="0"/>
    <x v="74"/>
  </r>
  <r>
    <x v="37"/>
    <x v="1"/>
    <x v="74"/>
    <x v="0"/>
    <x v="1"/>
    <x v="2"/>
    <x v="75"/>
  </r>
  <r>
    <x v="38"/>
    <x v="0"/>
    <x v="75"/>
    <x v="1"/>
    <x v="1"/>
    <x v="1"/>
    <x v="76"/>
  </r>
  <r>
    <x v="27"/>
    <x v="1"/>
    <x v="76"/>
    <x v="0"/>
    <x v="1"/>
    <x v="1"/>
    <x v="77"/>
  </r>
  <r>
    <x v="20"/>
    <x v="0"/>
    <x v="77"/>
    <x v="0"/>
    <x v="1"/>
    <x v="3"/>
    <x v="78"/>
  </r>
  <r>
    <x v="24"/>
    <x v="0"/>
    <x v="36"/>
    <x v="0"/>
    <x v="1"/>
    <x v="2"/>
    <x v="79"/>
  </r>
  <r>
    <x v="5"/>
    <x v="1"/>
    <x v="78"/>
    <x v="1"/>
    <x v="1"/>
    <x v="3"/>
    <x v="80"/>
  </r>
  <r>
    <x v="39"/>
    <x v="0"/>
    <x v="79"/>
    <x v="0"/>
    <x v="1"/>
    <x v="3"/>
    <x v="81"/>
  </r>
  <r>
    <x v="20"/>
    <x v="1"/>
    <x v="80"/>
    <x v="1"/>
    <x v="0"/>
    <x v="1"/>
    <x v="82"/>
  </r>
  <r>
    <x v="28"/>
    <x v="0"/>
    <x v="81"/>
    <x v="5"/>
    <x v="1"/>
    <x v="2"/>
    <x v="83"/>
  </r>
  <r>
    <x v="7"/>
    <x v="0"/>
    <x v="82"/>
    <x v="3"/>
    <x v="0"/>
    <x v="0"/>
    <x v="84"/>
  </r>
  <r>
    <x v="39"/>
    <x v="1"/>
    <x v="83"/>
    <x v="3"/>
    <x v="0"/>
    <x v="2"/>
    <x v="85"/>
  </r>
  <r>
    <x v="37"/>
    <x v="0"/>
    <x v="84"/>
    <x v="0"/>
    <x v="0"/>
    <x v="2"/>
    <x v="86"/>
  </r>
  <r>
    <x v="12"/>
    <x v="0"/>
    <x v="85"/>
    <x v="0"/>
    <x v="1"/>
    <x v="0"/>
    <x v="87"/>
  </r>
  <r>
    <x v="6"/>
    <x v="0"/>
    <x v="7"/>
    <x v="0"/>
    <x v="1"/>
    <x v="2"/>
    <x v="88"/>
  </r>
  <r>
    <x v="19"/>
    <x v="0"/>
    <x v="86"/>
    <x v="0"/>
    <x v="1"/>
    <x v="2"/>
    <x v="89"/>
  </r>
  <r>
    <x v="27"/>
    <x v="0"/>
    <x v="87"/>
    <x v="0"/>
    <x v="1"/>
    <x v="1"/>
    <x v="90"/>
  </r>
  <r>
    <x v="31"/>
    <x v="0"/>
    <x v="88"/>
    <x v="1"/>
    <x v="1"/>
    <x v="2"/>
    <x v="91"/>
  </r>
  <r>
    <x v="17"/>
    <x v="1"/>
    <x v="8"/>
    <x v="2"/>
    <x v="0"/>
    <x v="3"/>
    <x v="92"/>
  </r>
  <r>
    <x v="22"/>
    <x v="1"/>
    <x v="47"/>
    <x v="3"/>
    <x v="1"/>
    <x v="2"/>
    <x v="93"/>
  </r>
  <r>
    <x v="33"/>
    <x v="0"/>
    <x v="89"/>
    <x v="3"/>
    <x v="0"/>
    <x v="0"/>
    <x v="94"/>
  </r>
  <r>
    <x v="2"/>
    <x v="0"/>
    <x v="80"/>
    <x v="1"/>
    <x v="1"/>
    <x v="1"/>
    <x v="95"/>
  </r>
  <r>
    <x v="40"/>
    <x v="0"/>
    <x v="43"/>
    <x v="2"/>
    <x v="1"/>
    <x v="0"/>
    <x v="96"/>
  </r>
  <r>
    <x v="19"/>
    <x v="1"/>
    <x v="90"/>
    <x v="0"/>
    <x v="1"/>
    <x v="1"/>
    <x v="97"/>
  </r>
  <r>
    <x v="12"/>
    <x v="1"/>
    <x v="91"/>
    <x v="0"/>
    <x v="0"/>
    <x v="3"/>
    <x v="98"/>
  </r>
  <r>
    <x v="25"/>
    <x v="1"/>
    <x v="92"/>
    <x v="0"/>
    <x v="0"/>
    <x v="0"/>
    <x v="99"/>
  </r>
  <r>
    <x v="24"/>
    <x v="0"/>
    <x v="93"/>
    <x v="0"/>
    <x v="1"/>
    <x v="0"/>
    <x v="100"/>
  </r>
  <r>
    <x v="15"/>
    <x v="1"/>
    <x v="94"/>
    <x v="0"/>
    <x v="1"/>
    <x v="3"/>
    <x v="101"/>
  </r>
  <r>
    <x v="1"/>
    <x v="0"/>
    <x v="95"/>
    <x v="0"/>
    <x v="1"/>
    <x v="3"/>
    <x v="102"/>
  </r>
  <r>
    <x v="35"/>
    <x v="0"/>
    <x v="96"/>
    <x v="2"/>
    <x v="0"/>
    <x v="1"/>
    <x v="103"/>
  </r>
  <r>
    <x v="16"/>
    <x v="0"/>
    <x v="97"/>
    <x v="1"/>
    <x v="1"/>
    <x v="0"/>
    <x v="104"/>
  </r>
  <r>
    <x v="34"/>
    <x v="1"/>
    <x v="24"/>
    <x v="1"/>
    <x v="0"/>
    <x v="2"/>
    <x v="105"/>
  </r>
  <r>
    <x v="0"/>
    <x v="0"/>
    <x v="98"/>
    <x v="1"/>
    <x v="1"/>
    <x v="0"/>
    <x v="106"/>
  </r>
  <r>
    <x v="21"/>
    <x v="1"/>
    <x v="99"/>
    <x v="3"/>
    <x v="1"/>
    <x v="2"/>
    <x v="107"/>
  </r>
  <r>
    <x v="38"/>
    <x v="1"/>
    <x v="100"/>
    <x v="0"/>
    <x v="1"/>
    <x v="1"/>
    <x v="108"/>
  </r>
  <r>
    <x v="18"/>
    <x v="1"/>
    <x v="101"/>
    <x v="0"/>
    <x v="0"/>
    <x v="1"/>
    <x v="109"/>
  </r>
  <r>
    <x v="40"/>
    <x v="1"/>
    <x v="51"/>
    <x v="1"/>
    <x v="1"/>
    <x v="2"/>
    <x v="110"/>
  </r>
  <r>
    <x v="19"/>
    <x v="0"/>
    <x v="102"/>
    <x v="3"/>
    <x v="1"/>
    <x v="0"/>
    <x v="111"/>
  </r>
  <r>
    <x v="7"/>
    <x v="1"/>
    <x v="43"/>
    <x v="0"/>
    <x v="1"/>
    <x v="0"/>
    <x v="112"/>
  </r>
  <r>
    <x v="27"/>
    <x v="0"/>
    <x v="103"/>
    <x v="0"/>
    <x v="1"/>
    <x v="2"/>
    <x v="113"/>
  </r>
  <r>
    <x v="14"/>
    <x v="1"/>
    <x v="104"/>
    <x v="2"/>
    <x v="1"/>
    <x v="3"/>
    <x v="114"/>
  </r>
  <r>
    <x v="8"/>
    <x v="1"/>
    <x v="105"/>
    <x v="0"/>
    <x v="1"/>
    <x v="3"/>
    <x v="115"/>
  </r>
  <r>
    <x v="30"/>
    <x v="1"/>
    <x v="106"/>
    <x v="0"/>
    <x v="1"/>
    <x v="1"/>
    <x v="116"/>
  </r>
  <r>
    <x v="38"/>
    <x v="0"/>
    <x v="100"/>
    <x v="1"/>
    <x v="0"/>
    <x v="1"/>
    <x v="117"/>
  </r>
  <r>
    <x v="41"/>
    <x v="0"/>
    <x v="107"/>
    <x v="0"/>
    <x v="1"/>
    <x v="1"/>
    <x v="118"/>
  </r>
  <r>
    <x v="7"/>
    <x v="0"/>
    <x v="108"/>
    <x v="3"/>
    <x v="1"/>
    <x v="2"/>
    <x v="119"/>
  </r>
  <r>
    <x v="36"/>
    <x v="1"/>
    <x v="109"/>
    <x v="3"/>
    <x v="1"/>
    <x v="0"/>
    <x v="120"/>
  </r>
  <r>
    <x v="1"/>
    <x v="1"/>
    <x v="110"/>
    <x v="0"/>
    <x v="1"/>
    <x v="3"/>
    <x v="121"/>
  </r>
  <r>
    <x v="34"/>
    <x v="0"/>
    <x v="111"/>
    <x v="0"/>
    <x v="1"/>
    <x v="2"/>
    <x v="122"/>
  </r>
  <r>
    <x v="36"/>
    <x v="1"/>
    <x v="112"/>
    <x v="1"/>
    <x v="0"/>
    <x v="3"/>
    <x v="123"/>
  </r>
  <r>
    <x v="42"/>
    <x v="0"/>
    <x v="113"/>
    <x v="2"/>
    <x v="1"/>
    <x v="2"/>
    <x v="124"/>
  </r>
  <r>
    <x v="21"/>
    <x v="0"/>
    <x v="114"/>
    <x v="0"/>
    <x v="1"/>
    <x v="3"/>
    <x v="125"/>
  </r>
  <r>
    <x v="0"/>
    <x v="0"/>
    <x v="115"/>
    <x v="0"/>
    <x v="0"/>
    <x v="0"/>
    <x v="126"/>
  </r>
  <r>
    <x v="14"/>
    <x v="0"/>
    <x v="116"/>
    <x v="0"/>
    <x v="1"/>
    <x v="0"/>
    <x v="127"/>
  </r>
  <r>
    <x v="4"/>
    <x v="0"/>
    <x v="117"/>
    <x v="3"/>
    <x v="0"/>
    <x v="2"/>
    <x v="128"/>
  </r>
  <r>
    <x v="25"/>
    <x v="1"/>
    <x v="118"/>
    <x v="3"/>
    <x v="1"/>
    <x v="0"/>
    <x v="129"/>
  </r>
  <r>
    <x v="17"/>
    <x v="0"/>
    <x v="119"/>
    <x v="0"/>
    <x v="1"/>
    <x v="3"/>
    <x v="130"/>
  </r>
  <r>
    <x v="35"/>
    <x v="0"/>
    <x v="120"/>
    <x v="0"/>
    <x v="1"/>
    <x v="3"/>
    <x v="131"/>
  </r>
  <r>
    <x v="31"/>
    <x v="0"/>
    <x v="121"/>
    <x v="3"/>
    <x v="1"/>
    <x v="0"/>
    <x v="132"/>
  </r>
  <r>
    <x v="0"/>
    <x v="1"/>
    <x v="122"/>
    <x v="0"/>
    <x v="1"/>
    <x v="2"/>
    <x v="133"/>
  </r>
  <r>
    <x v="34"/>
    <x v="0"/>
    <x v="114"/>
    <x v="0"/>
    <x v="1"/>
    <x v="3"/>
    <x v="134"/>
  </r>
  <r>
    <x v="20"/>
    <x v="0"/>
    <x v="123"/>
    <x v="0"/>
    <x v="1"/>
    <x v="1"/>
    <x v="135"/>
  </r>
  <r>
    <x v="0"/>
    <x v="1"/>
    <x v="22"/>
    <x v="0"/>
    <x v="1"/>
    <x v="0"/>
    <x v="136"/>
  </r>
  <r>
    <x v="20"/>
    <x v="1"/>
    <x v="124"/>
    <x v="0"/>
    <x v="1"/>
    <x v="2"/>
    <x v="137"/>
  </r>
  <r>
    <x v="40"/>
    <x v="0"/>
    <x v="125"/>
    <x v="2"/>
    <x v="1"/>
    <x v="1"/>
    <x v="138"/>
  </r>
  <r>
    <x v="20"/>
    <x v="0"/>
    <x v="126"/>
    <x v="0"/>
    <x v="1"/>
    <x v="0"/>
    <x v="139"/>
  </r>
  <r>
    <x v="16"/>
    <x v="1"/>
    <x v="64"/>
    <x v="3"/>
    <x v="1"/>
    <x v="3"/>
    <x v="140"/>
  </r>
  <r>
    <x v="21"/>
    <x v="1"/>
    <x v="127"/>
    <x v="1"/>
    <x v="1"/>
    <x v="3"/>
    <x v="141"/>
  </r>
  <r>
    <x v="16"/>
    <x v="1"/>
    <x v="128"/>
    <x v="3"/>
    <x v="0"/>
    <x v="1"/>
    <x v="142"/>
  </r>
  <r>
    <x v="38"/>
    <x v="1"/>
    <x v="129"/>
    <x v="3"/>
    <x v="1"/>
    <x v="2"/>
    <x v="143"/>
  </r>
  <r>
    <x v="15"/>
    <x v="1"/>
    <x v="54"/>
    <x v="2"/>
    <x v="0"/>
    <x v="2"/>
    <x v="144"/>
  </r>
  <r>
    <x v="38"/>
    <x v="0"/>
    <x v="130"/>
    <x v="2"/>
    <x v="1"/>
    <x v="1"/>
    <x v="145"/>
  </r>
  <r>
    <x v="6"/>
    <x v="1"/>
    <x v="131"/>
    <x v="2"/>
    <x v="0"/>
    <x v="2"/>
    <x v="146"/>
  </r>
  <r>
    <x v="43"/>
    <x v="0"/>
    <x v="132"/>
    <x v="1"/>
    <x v="1"/>
    <x v="1"/>
    <x v="147"/>
  </r>
  <r>
    <x v="31"/>
    <x v="0"/>
    <x v="133"/>
    <x v="1"/>
    <x v="1"/>
    <x v="2"/>
    <x v="148"/>
  </r>
  <r>
    <x v="0"/>
    <x v="1"/>
    <x v="98"/>
    <x v="1"/>
    <x v="1"/>
    <x v="0"/>
    <x v="149"/>
  </r>
  <r>
    <x v="22"/>
    <x v="1"/>
    <x v="134"/>
    <x v="1"/>
    <x v="1"/>
    <x v="2"/>
    <x v="150"/>
  </r>
  <r>
    <x v="28"/>
    <x v="1"/>
    <x v="102"/>
    <x v="0"/>
    <x v="1"/>
    <x v="1"/>
    <x v="151"/>
  </r>
  <r>
    <x v="4"/>
    <x v="0"/>
    <x v="135"/>
    <x v="2"/>
    <x v="1"/>
    <x v="3"/>
    <x v="152"/>
  </r>
  <r>
    <x v="44"/>
    <x v="0"/>
    <x v="108"/>
    <x v="0"/>
    <x v="0"/>
    <x v="3"/>
    <x v="153"/>
  </r>
  <r>
    <x v="29"/>
    <x v="0"/>
    <x v="94"/>
    <x v="1"/>
    <x v="1"/>
    <x v="3"/>
    <x v="154"/>
  </r>
  <r>
    <x v="36"/>
    <x v="1"/>
    <x v="136"/>
    <x v="0"/>
    <x v="1"/>
    <x v="2"/>
    <x v="155"/>
  </r>
  <r>
    <x v="28"/>
    <x v="1"/>
    <x v="137"/>
    <x v="0"/>
    <x v="0"/>
    <x v="1"/>
    <x v="156"/>
  </r>
  <r>
    <x v="1"/>
    <x v="1"/>
    <x v="124"/>
    <x v="0"/>
    <x v="0"/>
    <x v="3"/>
    <x v="157"/>
  </r>
  <r>
    <x v="15"/>
    <x v="1"/>
    <x v="76"/>
    <x v="0"/>
    <x v="0"/>
    <x v="1"/>
    <x v="158"/>
  </r>
  <r>
    <x v="45"/>
    <x v="0"/>
    <x v="138"/>
    <x v="2"/>
    <x v="1"/>
    <x v="1"/>
    <x v="159"/>
  </r>
  <r>
    <x v="44"/>
    <x v="0"/>
    <x v="40"/>
    <x v="0"/>
    <x v="0"/>
    <x v="2"/>
    <x v="160"/>
  </r>
  <r>
    <x v="1"/>
    <x v="0"/>
    <x v="139"/>
    <x v="0"/>
    <x v="0"/>
    <x v="1"/>
    <x v="161"/>
  </r>
  <r>
    <x v="40"/>
    <x v="1"/>
    <x v="140"/>
    <x v="1"/>
    <x v="1"/>
    <x v="0"/>
    <x v="162"/>
  </r>
  <r>
    <x v="4"/>
    <x v="0"/>
    <x v="141"/>
    <x v="3"/>
    <x v="1"/>
    <x v="0"/>
    <x v="163"/>
  </r>
  <r>
    <x v="7"/>
    <x v="1"/>
    <x v="142"/>
    <x v="0"/>
    <x v="1"/>
    <x v="2"/>
    <x v="164"/>
  </r>
  <r>
    <x v="42"/>
    <x v="1"/>
    <x v="143"/>
    <x v="5"/>
    <x v="1"/>
    <x v="3"/>
    <x v="165"/>
  </r>
  <r>
    <x v="34"/>
    <x v="0"/>
    <x v="144"/>
    <x v="4"/>
    <x v="1"/>
    <x v="0"/>
    <x v="166"/>
  </r>
  <r>
    <x v="4"/>
    <x v="0"/>
    <x v="145"/>
    <x v="2"/>
    <x v="1"/>
    <x v="2"/>
    <x v="167"/>
  </r>
  <r>
    <x v="0"/>
    <x v="0"/>
    <x v="56"/>
    <x v="1"/>
    <x v="1"/>
    <x v="2"/>
    <x v="168"/>
  </r>
  <r>
    <x v="13"/>
    <x v="1"/>
    <x v="146"/>
    <x v="2"/>
    <x v="1"/>
    <x v="3"/>
    <x v="169"/>
  </r>
  <r>
    <x v="18"/>
    <x v="1"/>
    <x v="147"/>
    <x v="0"/>
    <x v="1"/>
    <x v="1"/>
    <x v="170"/>
  </r>
  <r>
    <x v="41"/>
    <x v="1"/>
    <x v="148"/>
    <x v="0"/>
    <x v="1"/>
    <x v="0"/>
    <x v="171"/>
  </r>
  <r>
    <x v="1"/>
    <x v="1"/>
    <x v="149"/>
    <x v="0"/>
    <x v="1"/>
    <x v="3"/>
    <x v="172"/>
  </r>
  <r>
    <x v="22"/>
    <x v="0"/>
    <x v="82"/>
    <x v="1"/>
    <x v="1"/>
    <x v="0"/>
    <x v="173"/>
  </r>
  <r>
    <x v="23"/>
    <x v="0"/>
    <x v="150"/>
    <x v="0"/>
    <x v="1"/>
    <x v="2"/>
    <x v="174"/>
  </r>
  <r>
    <x v="18"/>
    <x v="0"/>
    <x v="151"/>
    <x v="0"/>
    <x v="0"/>
    <x v="0"/>
    <x v="175"/>
  </r>
  <r>
    <x v="25"/>
    <x v="1"/>
    <x v="152"/>
    <x v="3"/>
    <x v="1"/>
    <x v="2"/>
    <x v="176"/>
  </r>
  <r>
    <x v="40"/>
    <x v="1"/>
    <x v="153"/>
    <x v="1"/>
    <x v="1"/>
    <x v="0"/>
    <x v="177"/>
  </r>
  <r>
    <x v="6"/>
    <x v="0"/>
    <x v="65"/>
    <x v="3"/>
    <x v="1"/>
    <x v="0"/>
    <x v="178"/>
  </r>
  <r>
    <x v="24"/>
    <x v="0"/>
    <x v="145"/>
    <x v="2"/>
    <x v="1"/>
    <x v="3"/>
    <x v="179"/>
  </r>
  <r>
    <x v="30"/>
    <x v="1"/>
    <x v="105"/>
    <x v="0"/>
    <x v="1"/>
    <x v="2"/>
    <x v="180"/>
  </r>
  <r>
    <x v="1"/>
    <x v="0"/>
    <x v="90"/>
    <x v="0"/>
    <x v="1"/>
    <x v="1"/>
    <x v="181"/>
  </r>
  <r>
    <x v="20"/>
    <x v="1"/>
    <x v="91"/>
    <x v="2"/>
    <x v="1"/>
    <x v="3"/>
    <x v="182"/>
  </r>
  <r>
    <x v="36"/>
    <x v="0"/>
    <x v="154"/>
    <x v="0"/>
    <x v="1"/>
    <x v="2"/>
    <x v="183"/>
  </r>
  <r>
    <x v="36"/>
    <x v="1"/>
    <x v="155"/>
    <x v="3"/>
    <x v="1"/>
    <x v="1"/>
    <x v="184"/>
  </r>
  <r>
    <x v="26"/>
    <x v="1"/>
    <x v="156"/>
    <x v="2"/>
    <x v="0"/>
    <x v="3"/>
    <x v="185"/>
  </r>
  <r>
    <x v="21"/>
    <x v="0"/>
    <x v="96"/>
    <x v="3"/>
    <x v="1"/>
    <x v="1"/>
    <x v="186"/>
  </r>
  <r>
    <x v="15"/>
    <x v="0"/>
    <x v="157"/>
    <x v="2"/>
    <x v="1"/>
    <x v="0"/>
    <x v="187"/>
  </r>
  <r>
    <x v="24"/>
    <x v="0"/>
    <x v="158"/>
    <x v="1"/>
    <x v="1"/>
    <x v="0"/>
    <x v="188"/>
  </r>
  <r>
    <x v="38"/>
    <x v="0"/>
    <x v="159"/>
    <x v="3"/>
    <x v="1"/>
    <x v="2"/>
    <x v="189"/>
  </r>
  <r>
    <x v="35"/>
    <x v="1"/>
    <x v="160"/>
    <x v="0"/>
    <x v="1"/>
    <x v="1"/>
    <x v="190"/>
  </r>
  <r>
    <x v="26"/>
    <x v="0"/>
    <x v="161"/>
    <x v="0"/>
    <x v="1"/>
    <x v="0"/>
    <x v="191"/>
  </r>
  <r>
    <x v="9"/>
    <x v="1"/>
    <x v="5"/>
    <x v="0"/>
    <x v="1"/>
    <x v="1"/>
    <x v="192"/>
  </r>
  <r>
    <x v="12"/>
    <x v="0"/>
    <x v="40"/>
    <x v="1"/>
    <x v="1"/>
    <x v="2"/>
    <x v="193"/>
  </r>
  <r>
    <x v="1"/>
    <x v="1"/>
    <x v="53"/>
    <x v="0"/>
    <x v="1"/>
    <x v="1"/>
    <x v="194"/>
  </r>
  <r>
    <x v="0"/>
    <x v="1"/>
    <x v="162"/>
    <x v="0"/>
    <x v="1"/>
    <x v="2"/>
    <x v="195"/>
  </r>
  <r>
    <x v="46"/>
    <x v="0"/>
    <x v="163"/>
    <x v="0"/>
    <x v="1"/>
    <x v="0"/>
    <x v="196"/>
  </r>
  <r>
    <x v="39"/>
    <x v="0"/>
    <x v="32"/>
    <x v="3"/>
    <x v="1"/>
    <x v="1"/>
    <x v="197"/>
  </r>
  <r>
    <x v="43"/>
    <x v="0"/>
    <x v="164"/>
    <x v="0"/>
    <x v="1"/>
    <x v="2"/>
    <x v="198"/>
  </r>
  <r>
    <x v="33"/>
    <x v="0"/>
    <x v="165"/>
    <x v="0"/>
    <x v="1"/>
    <x v="3"/>
    <x v="199"/>
  </r>
  <r>
    <x v="0"/>
    <x v="0"/>
    <x v="159"/>
    <x v="0"/>
    <x v="1"/>
    <x v="2"/>
    <x v="200"/>
  </r>
  <r>
    <x v="28"/>
    <x v="0"/>
    <x v="166"/>
    <x v="1"/>
    <x v="1"/>
    <x v="1"/>
    <x v="201"/>
  </r>
  <r>
    <x v="8"/>
    <x v="0"/>
    <x v="167"/>
    <x v="0"/>
    <x v="1"/>
    <x v="2"/>
    <x v="202"/>
  </r>
  <r>
    <x v="13"/>
    <x v="0"/>
    <x v="168"/>
    <x v="0"/>
    <x v="0"/>
    <x v="1"/>
    <x v="203"/>
  </r>
  <r>
    <x v="6"/>
    <x v="1"/>
    <x v="169"/>
    <x v="0"/>
    <x v="1"/>
    <x v="0"/>
    <x v="204"/>
  </r>
  <r>
    <x v="2"/>
    <x v="0"/>
    <x v="4"/>
    <x v="1"/>
    <x v="1"/>
    <x v="3"/>
    <x v="205"/>
  </r>
  <r>
    <x v="17"/>
    <x v="1"/>
    <x v="170"/>
    <x v="0"/>
    <x v="1"/>
    <x v="1"/>
    <x v="206"/>
  </r>
  <r>
    <x v="22"/>
    <x v="1"/>
    <x v="7"/>
    <x v="3"/>
    <x v="0"/>
    <x v="3"/>
    <x v="207"/>
  </r>
  <r>
    <x v="18"/>
    <x v="0"/>
    <x v="171"/>
    <x v="0"/>
    <x v="1"/>
    <x v="0"/>
    <x v="208"/>
  </r>
  <r>
    <x v="29"/>
    <x v="1"/>
    <x v="81"/>
    <x v="1"/>
    <x v="1"/>
    <x v="3"/>
    <x v="209"/>
  </r>
  <r>
    <x v="34"/>
    <x v="1"/>
    <x v="2"/>
    <x v="1"/>
    <x v="1"/>
    <x v="0"/>
    <x v="210"/>
  </r>
  <r>
    <x v="29"/>
    <x v="1"/>
    <x v="99"/>
    <x v="5"/>
    <x v="1"/>
    <x v="2"/>
    <x v="211"/>
  </r>
  <r>
    <x v="23"/>
    <x v="1"/>
    <x v="70"/>
    <x v="3"/>
    <x v="1"/>
    <x v="2"/>
    <x v="212"/>
  </r>
  <r>
    <x v="16"/>
    <x v="0"/>
    <x v="172"/>
    <x v="1"/>
    <x v="1"/>
    <x v="1"/>
    <x v="213"/>
  </r>
  <r>
    <x v="39"/>
    <x v="0"/>
    <x v="157"/>
    <x v="3"/>
    <x v="1"/>
    <x v="0"/>
    <x v="214"/>
  </r>
  <r>
    <x v="24"/>
    <x v="0"/>
    <x v="109"/>
    <x v="3"/>
    <x v="1"/>
    <x v="0"/>
    <x v="215"/>
  </r>
  <r>
    <x v="31"/>
    <x v="0"/>
    <x v="40"/>
    <x v="0"/>
    <x v="1"/>
    <x v="2"/>
    <x v="216"/>
  </r>
  <r>
    <x v="13"/>
    <x v="1"/>
    <x v="173"/>
    <x v="0"/>
    <x v="1"/>
    <x v="1"/>
    <x v="217"/>
  </r>
  <r>
    <x v="21"/>
    <x v="0"/>
    <x v="96"/>
    <x v="1"/>
    <x v="1"/>
    <x v="1"/>
    <x v="218"/>
  </r>
  <r>
    <x v="23"/>
    <x v="0"/>
    <x v="174"/>
    <x v="0"/>
    <x v="1"/>
    <x v="1"/>
    <x v="219"/>
  </r>
  <r>
    <x v="16"/>
    <x v="0"/>
    <x v="175"/>
    <x v="1"/>
    <x v="1"/>
    <x v="0"/>
    <x v="220"/>
  </r>
  <r>
    <x v="31"/>
    <x v="0"/>
    <x v="176"/>
    <x v="0"/>
    <x v="1"/>
    <x v="3"/>
    <x v="221"/>
  </r>
  <r>
    <x v="4"/>
    <x v="1"/>
    <x v="43"/>
    <x v="2"/>
    <x v="1"/>
    <x v="0"/>
    <x v="222"/>
  </r>
  <r>
    <x v="0"/>
    <x v="1"/>
    <x v="82"/>
    <x v="0"/>
    <x v="0"/>
    <x v="0"/>
    <x v="223"/>
  </r>
  <r>
    <x v="44"/>
    <x v="1"/>
    <x v="177"/>
    <x v="0"/>
    <x v="0"/>
    <x v="1"/>
    <x v="224"/>
  </r>
  <r>
    <x v="19"/>
    <x v="1"/>
    <x v="178"/>
    <x v="2"/>
    <x v="1"/>
    <x v="1"/>
    <x v="225"/>
  </r>
  <r>
    <x v="2"/>
    <x v="1"/>
    <x v="179"/>
    <x v="0"/>
    <x v="1"/>
    <x v="1"/>
    <x v="226"/>
  </r>
  <r>
    <x v="30"/>
    <x v="0"/>
    <x v="180"/>
    <x v="0"/>
    <x v="1"/>
    <x v="1"/>
    <x v="227"/>
  </r>
  <r>
    <x v="24"/>
    <x v="0"/>
    <x v="181"/>
    <x v="1"/>
    <x v="1"/>
    <x v="3"/>
    <x v="228"/>
  </r>
  <r>
    <x v="42"/>
    <x v="1"/>
    <x v="94"/>
    <x v="3"/>
    <x v="1"/>
    <x v="3"/>
    <x v="229"/>
  </r>
  <r>
    <x v="44"/>
    <x v="0"/>
    <x v="182"/>
    <x v="1"/>
    <x v="1"/>
    <x v="2"/>
    <x v="230"/>
  </r>
  <r>
    <x v="17"/>
    <x v="0"/>
    <x v="138"/>
    <x v="2"/>
    <x v="1"/>
    <x v="1"/>
    <x v="231"/>
  </r>
  <r>
    <x v="0"/>
    <x v="0"/>
    <x v="183"/>
    <x v="0"/>
    <x v="1"/>
    <x v="0"/>
    <x v="232"/>
  </r>
  <r>
    <x v="17"/>
    <x v="1"/>
    <x v="97"/>
    <x v="1"/>
    <x v="1"/>
    <x v="0"/>
    <x v="233"/>
  </r>
  <r>
    <x v="46"/>
    <x v="1"/>
    <x v="184"/>
    <x v="3"/>
    <x v="1"/>
    <x v="2"/>
    <x v="234"/>
  </r>
  <r>
    <x v="29"/>
    <x v="0"/>
    <x v="185"/>
    <x v="3"/>
    <x v="0"/>
    <x v="1"/>
    <x v="235"/>
  </r>
  <r>
    <x v="1"/>
    <x v="0"/>
    <x v="172"/>
    <x v="0"/>
    <x v="1"/>
    <x v="1"/>
    <x v="236"/>
  </r>
  <r>
    <x v="5"/>
    <x v="1"/>
    <x v="186"/>
    <x v="3"/>
    <x v="1"/>
    <x v="1"/>
    <x v="237"/>
  </r>
  <r>
    <x v="0"/>
    <x v="1"/>
    <x v="187"/>
    <x v="0"/>
    <x v="0"/>
    <x v="2"/>
    <x v="238"/>
  </r>
  <r>
    <x v="36"/>
    <x v="1"/>
    <x v="179"/>
    <x v="1"/>
    <x v="1"/>
    <x v="1"/>
    <x v="239"/>
  </r>
  <r>
    <x v="11"/>
    <x v="0"/>
    <x v="38"/>
    <x v="3"/>
    <x v="0"/>
    <x v="3"/>
    <x v="240"/>
  </r>
  <r>
    <x v="3"/>
    <x v="0"/>
    <x v="188"/>
    <x v="1"/>
    <x v="1"/>
    <x v="3"/>
    <x v="241"/>
  </r>
  <r>
    <x v="19"/>
    <x v="0"/>
    <x v="189"/>
    <x v="1"/>
    <x v="1"/>
    <x v="0"/>
    <x v="242"/>
  </r>
  <r>
    <x v="29"/>
    <x v="1"/>
    <x v="19"/>
    <x v="2"/>
    <x v="1"/>
    <x v="0"/>
    <x v="243"/>
  </r>
  <r>
    <x v="18"/>
    <x v="0"/>
    <x v="7"/>
    <x v="0"/>
    <x v="0"/>
    <x v="3"/>
    <x v="244"/>
  </r>
  <r>
    <x v="40"/>
    <x v="1"/>
    <x v="190"/>
    <x v="0"/>
    <x v="1"/>
    <x v="2"/>
    <x v="245"/>
  </r>
  <r>
    <x v="8"/>
    <x v="0"/>
    <x v="179"/>
    <x v="0"/>
    <x v="1"/>
    <x v="1"/>
    <x v="246"/>
  </r>
  <r>
    <x v="23"/>
    <x v="1"/>
    <x v="191"/>
    <x v="0"/>
    <x v="1"/>
    <x v="1"/>
    <x v="247"/>
  </r>
  <r>
    <x v="0"/>
    <x v="1"/>
    <x v="192"/>
    <x v="1"/>
    <x v="1"/>
    <x v="0"/>
    <x v="248"/>
  </r>
  <r>
    <x v="38"/>
    <x v="1"/>
    <x v="111"/>
    <x v="1"/>
    <x v="1"/>
    <x v="3"/>
    <x v="249"/>
  </r>
  <r>
    <x v="1"/>
    <x v="1"/>
    <x v="193"/>
    <x v="3"/>
    <x v="0"/>
    <x v="3"/>
    <x v="250"/>
  </r>
  <r>
    <x v="18"/>
    <x v="0"/>
    <x v="158"/>
    <x v="3"/>
    <x v="0"/>
    <x v="0"/>
    <x v="251"/>
  </r>
  <r>
    <x v="40"/>
    <x v="1"/>
    <x v="194"/>
    <x v="3"/>
    <x v="0"/>
    <x v="1"/>
    <x v="252"/>
  </r>
  <r>
    <x v="13"/>
    <x v="1"/>
    <x v="148"/>
    <x v="2"/>
    <x v="1"/>
    <x v="0"/>
    <x v="253"/>
  </r>
  <r>
    <x v="45"/>
    <x v="1"/>
    <x v="56"/>
    <x v="0"/>
    <x v="0"/>
    <x v="3"/>
    <x v="254"/>
  </r>
  <r>
    <x v="19"/>
    <x v="0"/>
    <x v="195"/>
    <x v="2"/>
    <x v="1"/>
    <x v="3"/>
    <x v="255"/>
  </r>
  <r>
    <x v="12"/>
    <x v="1"/>
    <x v="51"/>
    <x v="0"/>
    <x v="0"/>
    <x v="2"/>
    <x v="256"/>
  </r>
  <r>
    <x v="25"/>
    <x v="0"/>
    <x v="196"/>
    <x v="0"/>
    <x v="1"/>
    <x v="1"/>
    <x v="257"/>
  </r>
  <r>
    <x v="43"/>
    <x v="1"/>
    <x v="197"/>
    <x v="5"/>
    <x v="1"/>
    <x v="2"/>
    <x v="258"/>
  </r>
  <r>
    <x v="0"/>
    <x v="1"/>
    <x v="23"/>
    <x v="0"/>
    <x v="0"/>
    <x v="2"/>
    <x v="259"/>
  </r>
  <r>
    <x v="30"/>
    <x v="0"/>
    <x v="198"/>
    <x v="0"/>
    <x v="1"/>
    <x v="0"/>
    <x v="260"/>
  </r>
  <r>
    <x v="34"/>
    <x v="0"/>
    <x v="199"/>
    <x v="1"/>
    <x v="0"/>
    <x v="1"/>
    <x v="261"/>
  </r>
  <r>
    <x v="14"/>
    <x v="1"/>
    <x v="200"/>
    <x v="2"/>
    <x v="0"/>
    <x v="3"/>
    <x v="262"/>
  </r>
  <r>
    <x v="0"/>
    <x v="1"/>
    <x v="55"/>
    <x v="0"/>
    <x v="0"/>
    <x v="2"/>
    <x v="263"/>
  </r>
  <r>
    <x v="31"/>
    <x v="0"/>
    <x v="179"/>
    <x v="2"/>
    <x v="1"/>
    <x v="1"/>
    <x v="264"/>
  </r>
  <r>
    <x v="6"/>
    <x v="1"/>
    <x v="201"/>
    <x v="2"/>
    <x v="0"/>
    <x v="1"/>
    <x v="265"/>
  </r>
  <r>
    <x v="29"/>
    <x v="1"/>
    <x v="202"/>
    <x v="1"/>
    <x v="0"/>
    <x v="1"/>
    <x v="266"/>
  </r>
  <r>
    <x v="17"/>
    <x v="0"/>
    <x v="203"/>
    <x v="2"/>
    <x v="1"/>
    <x v="3"/>
    <x v="267"/>
  </r>
  <r>
    <x v="39"/>
    <x v="1"/>
    <x v="204"/>
    <x v="1"/>
    <x v="1"/>
    <x v="0"/>
    <x v="268"/>
  </r>
  <r>
    <x v="41"/>
    <x v="1"/>
    <x v="9"/>
    <x v="1"/>
    <x v="1"/>
    <x v="3"/>
    <x v="269"/>
  </r>
  <r>
    <x v="1"/>
    <x v="1"/>
    <x v="205"/>
    <x v="1"/>
    <x v="1"/>
    <x v="1"/>
    <x v="270"/>
  </r>
  <r>
    <x v="45"/>
    <x v="1"/>
    <x v="206"/>
    <x v="3"/>
    <x v="0"/>
    <x v="0"/>
    <x v="271"/>
  </r>
  <r>
    <x v="24"/>
    <x v="1"/>
    <x v="44"/>
    <x v="3"/>
    <x v="1"/>
    <x v="2"/>
    <x v="272"/>
  </r>
  <r>
    <x v="45"/>
    <x v="1"/>
    <x v="207"/>
    <x v="1"/>
    <x v="1"/>
    <x v="3"/>
    <x v="273"/>
  </r>
  <r>
    <x v="9"/>
    <x v="1"/>
    <x v="208"/>
    <x v="0"/>
    <x v="1"/>
    <x v="2"/>
    <x v="274"/>
  </r>
  <r>
    <x v="42"/>
    <x v="0"/>
    <x v="40"/>
    <x v="3"/>
    <x v="1"/>
    <x v="3"/>
    <x v="275"/>
  </r>
  <r>
    <x v="0"/>
    <x v="1"/>
    <x v="209"/>
    <x v="3"/>
    <x v="1"/>
    <x v="2"/>
    <x v="276"/>
  </r>
  <r>
    <x v="20"/>
    <x v="0"/>
    <x v="210"/>
    <x v="0"/>
    <x v="1"/>
    <x v="0"/>
    <x v="277"/>
  </r>
  <r>
    <x v="17"/>
    <x v="1"/>
    <x v="211"/>
    <x v="3"/>
    <x v="1"/>
    <x v="1"/>
    <x v="278"/>
  </r>
  <r>
    <x v="43"/>
    <x v="0"/>
    <x v="212"/>
    <x v="1"/>
    <x v="1"/>
    <x v="1"/>
    <x v="279"/>
  </r>
  <r>
    <x v="29"/>
    <x v="0"/>
    <x v="213"/>
    <x v="1"/>
    <x v="0"/>
    <x v="3"/>
    <x v="280"/>
  </r>
  <r>
    <x v="40"/>
    <x v="1"/>
    <x v="214"/>
    <x v="2"/>
    <x v="0"/>
    <x v="3"/>
    <x v="281"/>
  </r>
  <r>
    <x v="15"/>
    <x v="1"/>
    <x v="215"/>
    <x v="1"/>
    <x v="1"/>
    <x v="3"/>
    <x v="282"/>
  </r>
  <r>
    <x v="19"/>
    <x v="0"/>
    <x v="203"/>
    <x v="1"/>
    <x v="1"/>
    <x v="3"/>
    <x v="283"/>
  </r>
  <r>
    <x v="14"/>
    <x v="0"/>
    <x v="216"/>
    <x v="0"/>
    <x v="1"/>
    <x v="0"/>
    <x v="284"/>
  </r>
  <r>
    <x v="6"/>
    <x v="1"/>
    <x v="217"/>
    <x v="1"/>
    <x v="1"/>
    <x v="1"/>
    <x v="285"/>
  </r>
  <r>
    <x v="6"/>
    <x v="0"/>
    <x v="218"/>
    <x v="3"/>
    <x v="1"/>
    <x v="3"/>
    <x v="286"/>
  </r>
  <r>
    <x v="18"/>
    <x v="0"/>
    <x v="10"/>
    <x v="0"/>
    <x v="1"/>
    <x v="2"/>
    <x v="287"/>
  </r>
  <r>
    <x v="17"/>
    <x v="0"/>
    <x v="219"/>
    <x v="1"/>
    <x v="0"/>
    <x v="3"/>
    <x v="288"/>
  </r>
  <r>
    <x v="14"/>
    <x v="1"/>
    <x v="170"/>
    <x v="2"/>
    <x v="1"/>
    <x v="1"/>
    <x v="289"/>
  </r>
  <r>
    <x v="2"/>
    <x v="0"/>
    <x v="220"/>
    <x v="0"/>
    <x v="1"/>
    <x v="0"/>
    <x v="290"/>
  </r>
  <r>
    <x v="38"/>
    <x v="1"/>
    <x v="142"/>
    <x v="1"/>
    <x v="1"/>
    <x v="3"/>
    <x v="291"/>
  </r>
  <r>
    <x v="9"/>
    <x v="1"/>
    <x v="221"/>
    <x v="3"/>
    <x v="0"/>
    <x v="1"/>
    <x v="292"/>
  </r>
  <r>
    <x v="20"/>
    <x v="0"/>
    <x v="222"/>
    <x v="0"/>
    <x v="1"/>
    <x v="1"/>
    <x v="293"/>
  </r>
  <r>
    <x v="9"/>
    <x v="1"/>
    <x v="189"/>
    <x v="2"/>
    <x v="1"/>
    <x v="0"/>
    <x v="294"/>
  </r>
  <r>
    <x v="1"/>
    <x v="1"/>
    <x v="223"/>
    <x v="0"/>
    <x v="1"/>
    <x v="3"/>
    <x v="295"/>
  </r>
  <r>
    <x v="0"/>
    <x v="1"/>
    <x v="224"/>
    <x v="0"/>
    <x v="0"/>
    <x v="0"/>
    <x v="296"/>
  </r>
  <r>
    <x v="42"/>
    <x v="1"/>
    <x v="225"/>
    <x v="1"/>
    <x v="0"/>
    <x v="1"/>
    <x v="297"/>
  </r>
  <r>
    <x v="5"/>
    <x v="1"/>
    <x v="226"/>
    <x v="2"/>
    <x v="0"/>
    <x v="2"/>
    <x v="298"/>
  </r>
  <r>
    <x v="28"/>
    <x v="0"/>
    <x v="4"/>
    <x v="1"/>
    <x v="1"/>
    <x v="2"/>
    <x v="299"/>
  </r>
  <r>
    <x v="26"/>
    <x v="1"/>
    <x v="208"/>
    <x v="2"/>
    <x v="1"/>
    <x v="3"/>
    <x v="300"/>
  </r>
  <r>
    <x v="31"/>
    <x v="0"/>
    <x v="227"/>
    <x v="2"/>
    <x v="0"/>
    <x v="3"/>
    <x v="301"/>
  </r>
  <r>
    <x v="12"/>
    <x v="0"/>
    <x v="228"/>
    <x v="3"/>
    <x v="1"/>
    <x v="1"/>
    <x v="302"/>
  </r>
  <r>
    <x v="2"/>
    <x v="0"/>
    <x v="2"/>
    <x v="3"/>
    <x v="1"/>
    <x v="1"/>
    <x v="303"/>
  </r>
  <r>
    <x v="37"/>
    <x v="0"/>
    <x v="229"/>
    <x v="3"/>
    <x v="1"/>
    <x v="0"/>
    <x v="304"/>
  </r>
  <r>
    <x v="38"/>
    <x v="1"/>
    <x v="150"/>
    <x v="3"/>
    <x v="1"/>
    <x v="2"/>
    <x v="305"/>
  </r>
  <r>
    <x v="2"/>
    <x v="0"/>
    <x v="97"/>
    <x v="3"/>
    <x v="1"/>
    <x v="0"/>
    <x v="306"/>
  </r>
  <r>
    <x v="15"/>
    <x v="0"/>
    <x v="230"/>
    <x v="1"/>
    <x v="1"/>
    <x v="1"/>
    <x v="307"/>
  </r>
  <r>
    <x v="30"/>
    <x v="1"/>
    <x v="231"/>
    <x v="0"/>
    <x v="1"/>
    <x v="3"/>
    <x v="308"/>
  </r>
  <r>
    <x v="24"/>
    <x v="0"/>
    <x v="232"/>
    <x v="3"/>
    <x v="1"/>
    <x v="2"/>
    <x v="309"/>
  </r>
  <r>
    <x v="45"/>
    <x v="1"/>
    <x v="40"/>
    <x v="0"/>
    <x v="1"/>
    <x v="0"/>
    <x v="310"/>
  </r>
  <r>
    <x v="0"/>
    <x v="0"/>
    <x v="62"/>
    <x v="0"/>
    <x v="1"/>
    <x v="0"/>
    <x v="311"/>
  </r>
  <r>
    <x v="32"/>
    <x v="1"/>
    <x v="233"/>
    <x v="2"/>
    <x v="0"/>
    <x v="1"/>
    <x v="312"/>
  </r>
  <r>
    <x v="41"/>
    <x v="1"/>
    <x v="191"/>
    <x v="0"/>
    <x v="1"/>
    <x v="1"/>
    <x v="313"/>
  </r>
  <r>
    <x v="13"/>
    <x v="0"/>
    <x v="234"/>
    <x v="0"/>
    <x v="0"/>
    <x v="0"/>
    <x v="314"/>
  </r>
  <r>
    <x v="14"/>
    <x v="1"/>
    <x v="176"/>
    <x v="0"/>
    <x v="1"/>
    <x v="3"/>
    <x v="315"/>
  </r>
  <r>
    <x v="45"/>
    <x v="1"/>
    <x v="104"/>
    <x v="0"/>
    <x v="1"/>
    <x v="2"/>
    <x v="316"/>
  </r>
  <r>
    <x v="40"/>
    <x v="1"/>
    <x v="27"/>
    <x v="0"/>
    <x v="1"/>
    <x v="3"/>
    <x v="317"/>
  </r>
  <r>
    <x v="36"/>
    <x v="0"/>
    <x v="215"/>
    <x v="0"/>
    <x v="1"/>
    <x v="2"/>
    <x v="318"/>
  </r>
  <r>
    <x v="4"/>
    <x v="1"/>
    <x v="59"/>
    <x v="1"/>
    <x v="1"/>
    <x v="3"/>
    <x v="319"/>
  </r>
  <r>
    <x v="16"/>
    <x v="1"/>
    <x v="235"/>
    <x v="1"/>
    <x v="1"/>
    <x v="2"/>
    <x v="320"/>
  </r>
  <r>
    <x v="21"/>
    <x v="0"/>
    <x v="142"/>
    <x v="5"/>
    <x v="1"/>
    <x v="3"/>
    <x v="321"/>
  </r>
  <r>
    <x v="16"/>
    <x v="1"/>
    <x v="43"/>
    <x v="0"/>
    <x v="0"/>
    <x v="0"/>
    <x v="322"/>
  </r>
  <r>
    <x v="37"/>
    <x v="1"/>
    <x v="236"/>
    <x v="0"/>
    <x v="1"/>
    <x v="3"/>
    <x v="323"/>
  </r>
  <r>
    <x v="38"/>
    <x v="1"/>
    <x v="85"/>
    <x v="0"/>
    <x v="1"/>
    <x v="0"/>
    <x v="324"/>
  </r>
  <r>
    <x v="29"/>
    <x v="1"/>
    <x v="237"/>
    <x v="1"/>
    <x v="1"/>
    <x v="3"/>
    <x v="325"/>
  </r>
  <r>
    <x v="13"/>
    <x v="0"/>
    <x v="174"/>
    <x v="1"/>
    <x v="1"/>
    <x v="1"/>
    <x v="326"/>
  </r>
  <r>
    <x v="39"/>
    <x v="1"/>
    <x v="238"/>
    <x v="3"/>
    <x v="0"/>
    <x v="2"/>
    <x v="327"/>
  </r>
  <r>
    <x v="33"/>
    <x v="0"/>
    <x v="239"/>
    <x v="1"/>
    <x v="0"/>
    <x v="0"/>
    <x v="328"/>
  </r>
  <r>
    <x v="14"/>
    <x v="1"/>
    <x v="240"/>
    <x v="0"/>
    <x v="1"/>
    <x v="0"/>
    <x v="329"/>
  </r>
  <r>
    <x v="35"/>
    <x v="0"/>
    <x v="241"/>
    <x v="1"/>
    <x v="0"/>
    <x v="3"/>
    <x v="330"/>
  </r>
  <r>
    <x v="14"/>
    <x v="1"/>
    <x v="60"/>
    <x v="0"/>
    <x v="0"/>
    <x v="2"/>
    <x v="331"/>
  </r>
  <r>
    <x v="35"/>
    <x v="0"/>
    <x v="84"/>
    <x v="0"/>
    <x v="1"/>
    <x v="2"/>
    <x v="332"/>
  </r>
  <r>
    <x v="12"/>
    <x v="0"/>
    <x v="114"/>
    <x v="0"/>
    <x v="1"/>
    <x v="3"/>
    <x v="333"/>
  </r>
  <r>
    <x v="32"/>
    <x v="0"/>
    <x v="103"/>
    <x v="3"/>
    <x v="1"/>
    <x v="3"/>
    <x v="334"/>
  </r>
  <r>
    <x v="33"/>
    <x v="1"/>
    <x v="242"/>
    <x v="0"/>
    <x v="1"/>
    <x v="0"/>
    <x v="335"/>
  </r>
  <r>
    <x v="8"/>
    <x v="1"/>
    <x v="5"/>
    <x v="0"/>
    <x v="1"/>
    <x v="1"/>
    <x v="336"/>
  </r>
  <r>
    <x v="10"/>
    <x v="1"/>
    <x v="208"/>
    <x v="1"/>
    <x v="1"/>
    <x v="2"/>
    <x v="337"/>
  </r>
  <r>
    <x v="45"/>
    <x v="1"/>
    <x v="243"/>
    <x v="1"/>
    <x v="0"/>
    <x v="3"/>
    <x v="338"/>
  </r>
  <r>
    <x v="6"/>
    <x v="0"/>
    <x v="25"/>
    <x v="1"/>
    <x v="1"/>
    <x v="1"/>
    <x v="339"/>
  </r>
  <r>
    <x v="23"/>
    <x v="0"/>
    <x v="244"/>
    <x v="0"/>
    <x v="1"/>
    <x v="0"/>
    <x v="340"/>
  </r>
  <r>
    <x v="10"/>
    <x v="1"/>
    <x v="190"/>
    <x v="0"/>
    <x v="1"/>
    <x v="2"/>
    <x v="341"/>
  </r>
  <r>
    <x v="8"/>
    <x v="0"/>
    <x v="208"/>
    <x v="0"/>
    <x v="1"/>
    <x v="3"/>
    <x v="342"/>
  </r>
  <r>
    <x v="18"/>
    <x v="1"/>
    <x v="219"/>
    <x v="0"/>
    <x v="1"/>
    <x v="3"/>
    <x v="343"/>
  </r>
  <r>
    <x v="41"/>
    <x v="0"/>
    <x v="147"/>
    <x v="5"/>
    <x v="1"/>
    <x v="1"/>
    <x v="344"/>
  </r>
  <r>
    <x v="16"/>
    <x v="0"/>
    <x v="245"/>
    <x v="2"/>
    <x v="1"/>
    <x v="1"/>
    <x v="345"/>
  </r>
  <r>
    <x v="3"/>
    <x v="1"/>
    <x v="246"/>
    <x v="3"/>
    <x v="1"/>
    <x v="1"/>
    <x v="346"/>
  </r>
  <r>
    <x v="6"/>
    <x v="1"/>
    <x v="150"/>
    <x v="1"/>
    <x v="1"/>
    <x v="3"/>
    <x v="347"/>
  </r>
  <r>
    <x v="26"/>
    <x v="0"/>
    <x v="96"/>
    <x v="1"/>
    <x v="1"/>
    <x v="1"/>
    <x v="348"/>
  </r>
  <r>
    <x v="0"/>
    <x v="1"/>
    <x v="152"/>
    <x v="0"/>
    <x v="1"/>
    <x v="2"/>
    <x v="349"/>
  </r>
  <r>
    <x v="37"/>
    <x v="0"/>
    <x v="247"/>
    <x v="0"/>
    <x v="1"/>
    <x v="2"/>
    <x v="350"/>
  </r>
  <r>
    <x v="45"/>
    <x v="0"/>
    <x v="248"/>
    <x v="0"/>
    <x v="1"/>
    <x v="0"/>
    <x v="351"/>
  </r>
  <r>
    <x v="15"/>
    <x v="0"/>
    <x v="224"/>
    <x v="0"/>
    <x v="1"/>
    <x v="0"/>
    <x v="352"/>
  </r>
  <r>
    <x v="3"/>
    <x v="1"/>
    <x v="249"/>
    <x v="0"/>
    <x v="1"/>
    <x v="3"/>
    <x v="353"/>
  </r>
  <r>
    <x v="1"/>
    <x v="0"/>
    <x v="90"/>
    <x v="0"/>
    <x v="1"/>
    <x v="1"/>
    <x v="354"/>
  </r>
  <r>
    <x v="6"/>
    <x v="1"/>
    <x v="244"/>
    <x v="0"/>
    <x v="1"/>
    <x v="0"/>
    <x v="355"/>
  </r>
  <r>
    <x v="6"/>
    <x v="1"/>
    <x v="250"/>
    <x v="2"/>
    <x v="1"/>
    <x v="1"/>
    <x v="356"/>
  </r>
  <r>
    <x v="42"/>
    <x v="1"/>
    <x v="8"/>
    <x v="2"/>
    <x v="1"/>
    <x v="2"/>
    <x v="357"/>
  </r>
  <r>
    <x v="11"/>
    <x v="1"/>
    <x v="180"/>
    <x v="0"/>
    <x v="1"/>
    <x v="1"/>
    <x v="358"/>
  </r>
  <r>
    <x v="1"/>
    <x v="0"/>
    <x v="251"/>
    <x v="0"/>
    <x v="1"/>
    <x v="1"/>
    <x v="359"/>
  </r>
  <r>
    <x v="28"/>
    <x v="0"/>
    <x v="243"/>
    <x v="3"/>
    <x v="1"/>
    <x v="3"/>
    <x v="360"/>
  </r>
  <r>
    <x v="22"/>
    <x v="1"/>
    <x v="252"/>
    <x v="1"/>
    <x v="1"/>
    <x v="0"/>
    <x v="361"/>
  </r>
  <r>
    <x v="0"/>
    <x v="0"/>
    <x v="253"/>
    <x v="0"/>
    <x v="0"/>
    <x v="0"/>
    <x v="362"/>
  </r>
  <r>
    <x v="27"/>
    <x v="0"/>
    <x v="170"/>
    <x v="1"/>
    <x v="1"/>
    <x v="0"/>
    <x v="363"/>
  </r>
  <r>
    <x v="27"/>
    <x v="0"/>
    <x v="254"/>
    <x v="3"/>
    <x v="1"/>
    <x v="1"/>
    <x v="364"/>
  </r>
  <r>
    <x v="41"/>
    <x v="0"/>
    <x v="16"/>
    <x v="1"/>
    <x v="1"/>
    <x v="3"/>
    <x v="365"/>
  </r>
  <r>
    <x v="12"/>
    <x v="0"/>
    <x v="243"/>
    <x v="2"/>
    <x v="1"/>
    <x v="3"/>
    <x v="366"/>
  </r>
  <r>
    <x v="44"/>
    <x v="0"/>
    <x v="255"/>
    <x v="3"/>
    <x v="1"/>
    <x v="2"/>
    <x v="367"/>
  </r>
  <r>
    <x v="36"/>
    <x v="1"/>
    <x v="256"/>
    <x v="3"/>
    <x v="1"/>
    <x v="2"/>
    <x v="368"/>
  </r>
  <r>
    <x v="1"/>
    <x v="1"/>
    <x v="257"/>
    <x v="2"/>
    <x v="1"/>
    <x v="3"/>
    <x v="369"/>
  </r>
  <r>
    <x v="35"/>
    <x v="0"/>
    <x v="258"/>
    <x v="0"/>
    <x v="1"/>
    <x v="2"/>
    <x v="370"/>
  </r>
  <r>
    <x v="37"/>
    <x v="0"/>
    <x v="259"/>
    <x v="0"/>
    <x v="1"/>
    <x v="3"/>
    <x v="371"/>
  </r>
  <r>
    <x v="44"/>
    <x v="0"/>
    <x v="145"/>
    <x v="1"/>
    <x v="1"/>
    <x v="3"/>
    <x v="372"/>
  </r>
  <r>
    <x v="21"/>
    <x v="1"/>
    <x v="260"/>
    <x v="3"/>
    <x v="0"/>
    <x v="0"/>
    <x v="373"/>
  </r>
  <r>
    <x v="34"/>
    <x v="1"/>
    <x v="230"/>
    <x v="0"/>
    <x v="1"/>
    <x v="1"/>
    <x v="374"/>
  </r>
  <r>
    <x v="11"/>
    <x v="0"/>
    <x v="33"/>
    <x v="0"/>
    <x v="0"/>
    <x v="2"/>
    <x v="375"/>
  </r>
  <r>
    <x v="46"/>
    <x v="0"/>
    <x v="261"/>
    <x v="2"/>
    <x v="0"/>
    <x v="3"/>
    <x v="376"/>
  </r>
  <r>
    <x v="23"/>
    <x v="1"/>
    <x v="196"/>
    <x v="0"/>
    <x v="0"/>
    <x v="1"/>
    <x v="377"/>
  </r>
  <r>
    <x v="33"/>
    <x v="0"/>
    <x v="95"/>
    <x v="2"/>
    <x v="1"/>
    <x v="2"/>
    <x v="378"/>
  </r>
  <r>
    <x v="10"/>
    <x v="1"/>
    <x v="262"/>
    <x v="1"/>
    <x v="1"/>
    <x v="1"/>
    <x v="379"/>
  </r>
  <r>
    <x v="13"/>
    <x v="0"/>
    <x v="263"/>
    <x v="3"/>
    <x v="0"/>
    <x v="3"/>
    <x v="380"/>
  </r>
  <r>
    <x v="19"/>
    <x v="1"/>
    <x v="264"/>
    <x v="0"/>
    <x v="0"/>
    <x v="3"/>
    <x v="381"/>
  </r>
  <r>
    <x v="19"/>
    <x v="1"/>
    <x v="2"/>
    <x v="0"/>
    <x v="1"/>
    <x v="1"/>
    <x v="382"/>
  </r>
  <r>
    <x v="22"/>
    <x v="0"/>
    <x v="265"/>
    <x v="3"/>
    <x v="1"/>
    <x v="1"/>
    <x v="383"/>
  </r>
  <r>
    <x v="36"/>
    <x v="1"/>
    <x v="188"/>
    <x v="3"/>
    <x v="1"/>
    <x v="3"/>
    <x v="384"/>
  </r>
  <r>
    <x v="0"/>
    <x v="1"/>
    <x v="12"/>
    <x v="0"/>
    <x v="1"/>
    <x v="0"/>
    <x v="385"/>
  </r>
  <r>
    <x v="30"/>
    <x v="0"/>
    <x v="266"/>
    <x v="0"/>
    <x v="1"/>
    <x v="1"/>
    <x v="386"/>
  </r>
  <r>
    <x v="45"/>
    <x v="1"/>
    <x v="195"/>
    <x v="3"/>
    <x v="1"/>
    <x v="2"/>
    <x v="387"/>
  </r>
  <r>
    <x v="21"/>
    <x v="0"/>
    <x v="227"/>
    <x v="0"/>
    <x v="1"/>
    <x v="2"/>
    <x v="388"/>
  </r>
  <r>
    <x v="23"/>
    <x v="0"/>
    <x v="267"/>
    <x v="2"/>
    <x v="1"/>
    <x v="2"/>
    <x v="389"/>
  </r>
  <r>
    <x v="28"/>
    <x v="1"/>
    <x v="50"/>
    <x v="5"/>
    <x v="1"/>
    <x v="3"/>
    <x v="390"/>
  </r>
  <r>
    <x v="0"/>
    <x v="0"/>
    <x v="133"/>
    <x v="0"/>
    <x v="1"/>
    <x v="2"/>
    <x v="391"/>
  </r>
  <r>
    <x v="28"/>
    <x v="1"/>
    <x v="268"/>
    <x v="1"/>
    <x v="1"/>
    <x v="3"/>
    <x v="392"/>
  </r>
  <r>
    <x v="41"/>
    <x v="1"/>
    <x v="112"/>
    <x v="1"/>
    <x v="1"/>
    <x v="3"/>
    <x v="393"/>
  </r>
  <r>
    <x v="6"/>
    <x v="0"/>
    <x v="243"/>
    <x v="3"/>
    <x v="1"/>
    <x v="3"/>
    <x v="394"/>
  </r>
  <r>
    <x v="6"/>
    <x v="1"/>
    <x v="269"/>
    <x v="0"/>
    <x v="1"/>
    <x v="2"/>
    <x v="395"/>
  </r>
  <r>
    <x v="32"/>
    <x v="0"/>
    <x v="12"/>
    <x v="2"/>
    <x v="1"/>
    <x v="0"/>
    <x v="396"/>
  </r>
  <r>
    <x v="27"/>
    <x v="1"/>
    <x v="270"/>
    <x v="0"/>
    <x v="1"/>
    <x v="1"/>
    <x v="397"/>
  </r>
  <r>
    <x v="33"/>
    <x v="1"/>
    <x v="248"/>
    <x v="3"/>
    <x v="1"/>
    <x v="0"/>
    <x v="398"/>
  </r>
  <r>
    <x v="1"/>
    <x v="0"/>
    <x v="271"/>
    <x v="0"/>
    <x v="1"/>
    <x v="1"/>
    <x v="399"/>
  </r>
  <r>
    <x v="43"/>
    <x v="0"/>
    <x v="272"/>
    <x v="0"/>
    <x v="1"/>
    <x v="0"/>
    <x v="400"/>
  </r>
  <r>
    <x v="42"/>
    <x v="1"/>
    <x v="273"/>
    <x v="1"/>
    <x v="1"/>
    <x v="1"/>
    <x v="401"/>
  </r>
  <r>
    <x v="33"/>
    <x v="0"/>
    <x v="36"/>
    <x v="0"/>
    <x v="1"/>
    <x v="2"/>
    <x v="402"/>
  </r>
  <r>
    <x v="41"/>
    <x v="1"/>
    <x v="243"/>
    <x v="2"/>
    <x v="1"/>
    <x v="2"/>
    <x v="403"/>
  </r>
  <r>
    <x v="5"/>
    <x v="1"/>
    <x v="274"/>
    <x v="0"/>
    <x v="1"/>
    <x v="0"/>
    <x v="404"/>
  </r>
  <r>
    <x v="14"/>
    <x v="0"/>
    <x v="275"/>
    <x v="3"/>
    <x v="1"/>
    <x v="3"/>
    <x v="405"/>
  </r>
  <r>
    <x v="3"/>
    <x v="0"/>
    <x v="276"/>
    <x v="0"/>
    <x v="1"/>
    <x v="1"/>
    <x v="406"/>
  </r>
  <r>
    <x v="42"/>
    <x v="0"/>
    <x v="277"/>
    <x v="1"/>
    <x v="1"/>
    <x v="0"/>
    <x v="407"/>
  </r>
  <r>
    <x v="25"/>
    <x v="1"/>
    <x v="278"/>
    <x v="2"/>
    <x v="1"/>
    <x v="1"/>
    <x v="408"/>
  </r>
  <r>
    <x v="4"/>
    <x v="1"/>
    <x v="279"/>
    <x v="1"/>
    <x v="1"/>
    <x v="1"/>
    <x v="409"/>
  </r>
  <r>
    <x v="0"/>
    <x v="1"/>
    <x v="280"/>
    <x v="0"/>
    <x v="1"/>
    <x v="2"/>
    <x v="410"/>
  </r>
  <r>
    <x v="36"/>
    <x v="0"/>
    <x v="281"/>
    <x v="1"/>
    <x v="0"/>
    <x v="3"/>
    <x v="411"/>
  </r>
  <r>
    <x v="21"/>
    <x v="0"/>
    <x v="282"/>
    <x v="3"/>
    <x v="0"/>
    <x v="3"/>
    <x v="412"/>
  </r>
  <r>
    <x v="9"/>
    <x v="1"/>
    <x v="283"/>
    <x v="4"/>
    <x v="1"/>
    <x v="0"/>
    <x v="413"/>
  </r>
  <r>
    <x v="0"/>
    <x v="0"/>
    <x v="284"/>
    <x v="0"/>
    <x v="1"/>
    <x v="2"/>
    <x v="414"/>
  </r>
  <r>
    <x v="32"/>
    <x v="0"/>
    <x v="285"/>
    <x v="1"/>
    <x v="1"/>
    <x v="1"/>
    <x v="415"/>
  </r>
  <r>
    <x v="14"/>
    <x v="1"/>
    <x v="22"/>
    <x v="0"/>
    <x v="1"/>
    <x v="1"/>
    <x v="416"/>
  </r>
  <r>
    <x v="26"/>
    <x v="0"/>
    <x v="286"/>
    <x v="3"/>
    <x v="0"/>
    <x v="0"/>
    <x v="417"/>
  </r>
  <r>
    <x v="33"/>
    <x v="1"/>
    <x v="287"/>
    <x v="1"/>
    <x v="1"/>
    <x v="1"/>
    <x v="418"/>
  </r>
  <r>
    <x v="18"/>
    <x v="0"/>
    <x v="86"/>
    <x v="0"/>
    <x v="0"/>
    <x v="2"/>
    <x v="419"/>
  </r>
  <r>
    <x v="33"/>
    <x v="1"/>
    <x v="178"/>
    <x v="0"/>
    <x v="0"/>
    <x v="1"/>
    <x v="420"/>
  </r>
  <r>
    <x v="35"/>
    <x v="1"/>
    <x v="191"/>
    <x v="0"/>
    <x v="0"/>
    <x v="1"/>
    <x v="421"/>
  </r>
  <r>
    <x v="29"/>
    <x v="1"/>
    <x v="27"/>
    <x v="1"/>
    <x v="0"/>
    <x v="3"/>
    <x v="422"/>
  </r>
  <r>
    <x v="9"/>
    <x v="1"/>
    <x v="162"/>
    <x v="0"/>
    <x v="1"/>
    <x v="3"/>
    <x v="423"/>
  </r>
  <r>
    <x v="28"/>
    <x v="1"/>
    <x v="204"/>
    <x v="3"/>
    <x v="1"/>
    <x v="0"/>
    <x v="424"/>
  </r>
  <r>
    <x v="39"/>
    <x v="1"/>
    <x v="276"/>
    <x v="4"/>
    <x v="1"/>
    <x v="1"/>
    <x v="425"/>
  </r>
  <r>
    <x v="25"/>
    <x v="0"/>
    <x v="288"/>
    <x v="1"/>
    <x v="1"/>
    <x v="3"/>
    <x v="426"/>
  </r>
  <r>
    <x v="1"/>
    <x v="0"/>
    <x v="289"/>
    <x v="0"/>
    <x v="1"/>
    <x v="3"/>
    <x v="427"/>
  </r>
  <r>
    <x v="27"/>
    <x v="0"/>
    <x v="290"/>
    <x v="1"/>
    <x v="1"/>
    <x v="3"/>
    <x v="428"/>
  </r>
  <r>
    <x v="13"/>
    <x v="0"/>
    <x v="257"/>
    <x v="2"/>
    <x v="1"/>
    <x v="2"/>
    <x v="429"/>
  </r>
  <r>
    <x v="0"/>
    <x v="1"/>
    <x v="291"/>
    <x v="0"/>
    <x v="1"/>
    <x v="0"/>
    <x v="430"/>
  </r>
  <r>
    <x v="38"/>
    <x v="0"/>
    <x v="281"/>
    <x v="3"/>
    <x v="1"/>
    <x v="2"/>
    <x v="431"/>
  </r>
  <r>
    <x v="44"/>
    <x v="1"/>
    <x v="292"/>
    <x v="0"/>
    <x v="1"/>
    <x v="0"/>
    <x v="432"/>
  </r>
  <r>
    <x v="8"/>
    <x v="0"/>
    <x v="252"/>
    <x v="0"/>
    <x v="1"/>
    <x v="0"/>
    <x v="433"/>
  </r>
  <r>
    <x v="5"/>
    <x v="1"/>
    <x v="105"/>
    <x v="1"/>
    <x v="1"/>
    <x v="2"/>
    <x v="434"/>
  </r>
  <r>
    <x v="8"/>
    <x v="1"/>
    <x v="293"/>
    <x v="2"/>
    <x v="1"/>
    <x v="1"/>
    <x v="435"/>
  </r>
  <r>
    <x v="20"/>
    <x v="1"/>
    <x v="294"/>
    <x v="0"/>
    <x v="1"/>
    <x v="3"/>
    <x v="436"/>
  </r>
  <r>
    <x v="22"/>
    <x v="1"/>
    <x v="65"/>
    <x v="2"/>
    <x v="1"/>
    <x v="0"/>
    <x v="437"/>
  </r>
  <r>
    <x v="14"/>
    <x v="0"/>
    <x v="295"/>
    <x v="4"/>
    <x v="1"/>
    <x v="1"/>
    <x v="438"/>
  </r>
  <r>
    <x v="21"/>
    <x v="1"/>
    <x v="296"/>
    <x v="0"/>
    <x v="1"/>
    <x v="3"/>
    <x v="439"/>
  </r>
  <r>
    <x v="5"/>
    <x v="0"/>
    <x v="297"/>
    <x v="1"/>
    <x v="1"/>
    <x v="2"/>
    <x v="440"/>
  </r>
  <r>
    <x v="3"/>
    <x v="0"/>
    <x v="298"/>
    <x v="0"/>
    <x v="0"/>
    <x v="0"/>
    <x v="441"/>
  </r>
  <r>
    <x v="1"/>
    <x v="1"/>
    <x v="299"/>
    <x v="0"/>
    <x v="1"/>
    <x v="1"/>
    <x v="442"/>
  </r>
  <r>
    <x v="17"/>
    <x v="0"/>
    <x v="300"/>
    <x v="1"/>
    <x v="1"/>
    <x v="1"/>
    <x v="443"/>
  </r>
  <r>
    <x v="12"/>
    <x v="1"/>
    <x v="301"/>
    <x v="1"/>
    <x v="0"/>
    <x v="2"/>
    <x v="444"/>
  </r>
  <r>
    <x v="39"/>
    <x v="0"/>
    <x v="291"/>
    <x v="0"/>
    <x v="1"/>
    <x v="0"/>
    <x v="445"/>
  </r>
  <r>
    <x v="8"/>
    <x v="1"/>
    <x v="142"/>
    <x v="0"/>
    <x v="1"/>
    <x v="3"/>
    <x v="446"/>
  </r>
  <r>
    <x v="12"/>
    <x v="0"/>
    <x v="302"/>
    <x v="0"/>
    <x v="1"/>
    <x v="2"/>
    <x v="447"/>
  </r>
  <r>
    <x v="29"/>
    <x v="0"/>
    <x v="303"/>
    <x v="0"/>
    <x v="1"/>
    <x v="0"/>
    <x v="448"/>
  </r>
  <r>
    <x v="22"/>
    <x v="1"/>
    <x v="304"/>
    <x v="1"/>
    <x v="1"/>
    <x v="0"/>
    <x v="449"/>
  </r>
  <r>
    <x v="46"/>
    <x v="1"/>
    <x v="303"/>
    <x v="5"/>
    <x v="1"/>
    <x v="0"/>
    <x v="450"/>
  </r>
  <r>
    <x v="15"/>
    <x v="1"/>
    <x v="134"/>
    <x v="1"/>
    <x v="1"/>
    <x v="2"/>
    <x v="451"/>
  </r>
  <r>
    <x v="23"/>
    <x v="1"/>
    <x v="305"/>
    <x v="0"/>
    <x v="1"/>
    <x v="0"/>
    <x v="452"/>
  </r>
  <r>
    <x v="34"/>
    <x v="1"/>
    <x v="129"/>
    <x v="0"/>
    <x v="1"/>
    <x v="2"/>
    <x v="453"/>
  </r>
  <r>
    <x v="4"/>
    <x v="1"/>
    <x v="306"/>
    <x v="3"/>
    <x v="1"/>
    <x v="1"/>
    <x v="454"/>
  </r>
  <r>
    <x v="17"/>
    <x v="1"/>
    <x v="116"/>
    <x v="0"/>
    <x v="1"/>
    <x v="0"/>
    <x v="455"/>
  </r>
  <r>
    <x v="19"/>
    <x v="0"/>
    <x v="307"/>
    <x v="3"/>
    <x v="1"/>
    <x v="1"/>
    <x v="456"/>
  </r>
  <r>
    <x v="37"/>
    <x v="0"/>
    <x v="131"/>
    <x v="0"/>
    <x v="1"/>
    <x v="2"/>
    <x v="457"/>
  </r>
  <r>
    <x v="12"/>
    <x v="1"/>
    <x v="140"/>
    <x v="0"/>
    <x v="1"/>
    <x v="0"/>
    <x v="458"/>
  </r>
  <r>
    <x v="29"/>
    <x v="0"/>
    <x v="2"/>
    <x v="2"/>
    <x v="1"/>
    <x v="1"/>
    <x v="459"/>
  </r>
  <r>
    <x v="41"/>
    <x v="0"/>
    <x v="41"/>
    <x v="2"/>
    <x v="1"/>
    <x v="1"/>
    <x v="460"/>
  </r>
  <r>
    <x v="44"/>
    <x v="1"/>
    <x v="308"/>
    <x v="0"/>
    <x v="0"/>
    <x v="0"/>
    <x v="461"/>
  </r>
  <r>
    <x v="10"/>
    <x v="0"/>
    <x v="309"/>
    <x v="3"/>
    <x v="1"/>
    <x v="3"/>
    <x v="462"/>
  </r>
  <r>
    <x v="12"/>
    <x v="1"/>
    <x v="63"/>
    <x v="0"/>
    <x v="1"/>
    <x v="3"/>
    <x v="463"/>
  </r>
  <r>
    <x v="0"/>
    <x v="1"/>
    <x v="124"/>
    <x v="0"/>
    <x v="1"/>
    <x v="2"/>
    <x v="464"/>
  </r>
  <r>
    <x v="15"/>
    <x v="0"/>
    <x v="310"/>
    <x v="1"/>
    <x v="0"/>
    <x v="1"/>
    <x v="465"/>
  </r>
  <r>
    <x v="8"/>
    <x v="0"/>
    <x v="311"/>
    <x v="1"/>
    <x v="1"/>
    <x v="0"/>
    <x v="466"/>
  </r>
  <r>
    <x v="12"/>
    <x v="0"/>
    <x v="312"/>
    <x v="3"/>
    <x v="1"/>
    <x v="2"/>
    <x v="467"/>
  </r>
  <r>
    <x v="2"/>
    <x v="0"/>
    <x v="200"/>
    <x v="1"/>
    <x v="1"/>
    <x v="3"/>
    <x v="468"/>
  </r>
  <r>
    <x v="1"/>
    <x v="0"/>
    <x v="313"/>
    <x v="1"/>
    <x v="1"/>
    <x v="1"/>
    <x v="469"/>
  </r>
  <r>
    <x v="13"/>
    <x v="1"/>
    <x v="314"/>
    <x v="0"/>
    <x v="1"/>
    <x v="1"/>
    <x v="470"/>
  </r>
  <r>
    <x v="1"/>
    <x v="0"/>
    <x v="95"/>
    <x v="0"/>
    <x v="1"/>
    <x v="3"/>
    <x v="471"/>
  </r>
  <r>
    <x v="0"/>
    <x v="0"/>
    <x v="141"/>
    <x v="0"/>
    <x v="1"/>
    <x v="0"/>
    <x v="472"/>
  </r>
  <r>
    <x v="42"/>
    <x v="0"/>
    <x v="150"/>
    <x v="0"/>
    <x v="1"/>
    <x v="3"/>
    <x v="473"/>
  </r>
  <r>
    <x v="40"/>
    <x v="1"/>
    <x v="315"/>
    <x v="2"/>
    <x v="0"/>
    <x v="0"/>
    <x v="474"/>
  </r>
  <r>
    <x v="35"/>
    <x v="1"/>
    <x v="33"/>
    <x v="1"/>
    <x v="0"/>
    <x v="2"/>
    <x v="475"/>
  </r>
  <r>
    <x v="23"/>
    <x v="1"/>
    <x v="70"/>
    <x v="0"/>
    <x v="0"/>
    <x v="3"/>
    <x v="476"/>
  </r>
  <r>
    <x v="9"/>
    <x v="1"/>
    <x v="50"/>
    <x v="0"/>
    <x v="1"/>
    <x v="2"/>
    <x v="477"/>
  </r>
  <r>
    <x v="27"/>
    <x v="1"/>
    <x v="139"/>
    <x v="0"/>
    <x v="1"/>
    <x v="1"/>
    <x v="478"/>
  </r>
  <r>
    <x v="11"/>
    <x v="1"/>
    <x v="316"/>
    <x v="0"/>
    <x v="1"/>
    <x v="1"/>
    <x v="479"/>
  </r>
  <r>
    <x v="18"/>
    <x v="1"/>
    <x v="317"/>
    <x v="2"/>
    <x v="1"/>
    <x v="2"/>
    <x v="480"/>
  </r>
  <r>
    <x v="41"/>
    <x v="1"/>
    <x v="228"/>
    <x v="3"/>
    <x v="1"/>
    <x v="1"/>
    <x v="481"/>
  </r>
  <r>
    <x v="1"/>
    <x v="0"/>
    <x v="112"/>
    <x v="0"/>
    <x v="1"/>
    <x v="1"/>
    <x v="482"/>
  </r>
  <r>
    <x v="43"/>
    <x v="0"/>
    <x v="318"/>
    <x v="1"/>
    <x v="1"/>
    <x v="0"/>
    <x v="483"/>
  </r>
  <r>
    <x v="28"/>
    <x v="1"/>
    <x v="319"/>
    <x v="2"/>
    <x v="1"/>
    <x v="0"/>
    <x v="484"/>
  </r>
  <r>
    <x v="5"/>
    <x v="0"/>
    <x v="320"/>
    <x v="0"/>
    <x v="1"/>
    <x v="3"/>
    <x v="485"/>
  </r>
  <r>
    <x v="40"/>
    <x v="0"/>
    <x v="321"/>
    <x v="2"/>
    <x v="1"/>
    <x v="2"/>
    <x v="486"/>
  </r>
  <r>
    <x v="0"/>
    <x v="1"/>
    <x v="311"/>
    <x v="0"/>
    <x v="1"/>
    <x v="0"/>
    <x v="487"/>
  </r>
  <r>
    <x v="36"/>
    <x v="0"/>
    <x v="179"/>
    <x v="0"/>
    <x v="0"/>
    <x v="1"/>
    <x v="488"/>
  </r>
  <r>
    <x v="31"/>
    <x v="1"/>
    <x v="84"/>
    <x v="1"/>
    <x v="1"/>
    <x v="2"/>
    <x v="489"/>
  </r>
  <r>
    <x v="0"/>
    <x v="0"/>
    <x v="260"/>
    <x v="0"/>
    <x v="1"/>
    <x v="0"/>
    <x v="490"/>
  </r>
  <r>
    <x v="35"/>
    <x v="0"/>
    <x v="322"/>
    <x v="0"/>
    <x v="1"/>
    <x v="1"/>
    <x v="491"/>
  </r>
  <r>
    <x v="1"/>
    <x v="0"/>
    <x v="322"/>
    <x v="0"/>
    <x v="1"/>
    <x v="3"/>
    <x v="492"/>
  </r>
  <r>
    <x v="35"/>
    <x v="1"/>
    <x v="323"/>
    <x v="0"/>
    <x v="1"/>
    <x v="0"/>
    <x v="493"/>
  </r>
  <r>
    <x v="27"/>
    <x v="1"/>
    <x v="324"/>
    <x v="5"/>
    <x v="0"/>
    <x v="0"/>
    <x v="494"/>
  </r>
  <r>
    <x v="34"/>
    <x v="1"/>
    <x v="325"/>
    <x v="0"/>
    <x v="1"/>
    <x v="3"/>
    <x v="495"/>
  </r>
  <r>
    <x v="5"/>
    <x v="0"/>
    <x v="277"/>
    <x v="3"/>
    <x v="1"/>
    <x v="0"/>
    <x v="496"/>
  </r>
  <r>
    <x v="39"/>
    <x v="1"/>
    <x v="311"/>
    <x v="3"/>
    <x v="1"/>
    <x v="0"/>
    <x v="497"/>
  </r>
  <r>
    <x v="36"/>
    <x v="0"/>
    <x v="68"/>
    <x v="3"/>
    <x v="1"/>
    <x v="1"/>
    <x v="498"/>
  </r>
  <r>
    <x v="10"/>
    <x v="0"/>
    <x v="326"/>
    <x v="0"/>
    <x v="1"/>
    <x v="0"/>
    <x v="499"/>
  </r>
  <r>
    <x v="38"/>
    <x v="1"/>
    <x v="12"/>
    <x v="0"/>
    <x v="0"/>
    <x v="0"/>
    <x v="500"/>
  </r>
  <r>
    <x v="32"/>
    <x v="1"/>
    <x v="327"/>
    <x v="0"/>
    <x v="1"/>
    <x v="3"/>
    <x v="501"/>
  </r>
  <r>
    <x v="43"/>
    <x v="1"/>
    <x v="174"/>
    <x v="1"/>
    <x v="0"/>
    <x v="1"/>
    <x v="502"/>
  </r>
  <r>
    <x v="0"/>
    <x v="1"/>
    <x v="328"/>
    <x v="0"/>
    <x v="0"/>
    <x v="1"/>
    <x v="503"/>
  </r>
  <r>
    <x v="25"/>
    <x v="0"/>
    <x v="329"/>
    <x v="1"/>
    <x v="1"/>
    <x v="1"/>
    <x v="504"/>
  </r>
  <r>
    <x v="7"/>
    <x v="1"/>
    <x v="99"/>
    <x v="2"/>
    <x v="1"/>
    <x v="2"/>
    <x v="505"/>
  </r>
  <r>
    <x v="20"/>
    <x v="1"/>
    <x v="112"/>
    <x v="1"/>
    <x v="1"/>
    <x v="2"/>
    <x v="506"/>
  </r>
  <r>
    <x v="27"/>
    <x v="1"/>
    <x v="110"/>
    <x v="3"/>
    <x v="1"/>
    <x v="2"/>
    <x v="507"/>
  </r>
  <r>
    <x v="23"/>
    <x v="0"/>
    <x v="235"/>
    <x v="0"/>
    <x v="1"/>
    <x v="3"/>
    <x v="508"/>
  </r>
  <r>
    <x v="37"/>
    <x v="0"/>
    <x v="311"/>
    <x v="0"/>
    <x v="1"/>
    <x v="0"/>
    <x v="509"/>
  </r>
  <r>
    <x v="12"/>
    <x v="1"/>
    <x v="159"/>
    <x v="1"/>
    <x v="1"/>
    <x v="3"/>
    <x v="510"/>
  </r>
  <r>
    <x v="13"/>
    <x v="1"/>
    <x v="61"/>
    <x v="0"/>
    <x v="1"/>
    <x v="1"/>
    <x v="511"/>
  </r>
  <r>
    <x v="43"/>
    <x v="1"/>
    <x v="64"/>
    <x v="0"/>
    <x v="1"/>
    <x v="3"/>
    <x v="512"/>
  </r>
  <r>
    <x v="0"/>
    <x v="1"/>
    <x v="257"/>
    <x v="0"/>
    <x v="1"/>
    <x v="0"/>
    <x v="513"/>
  </r>
  <r>
    <x v="46"/>
    <x v="1"/>
    <x v="115"/>
    <x v="1"/>
    <x v="0"/>
    <x v="0"/>
    <x v="514"/>
  </r>
  <r>
    <x v="30"/>
    <x v="1"/>
    <x v="330"/>
    <x v="0"/>
    <x v="1"/>
    <x v="0"/>
    <x v="515"/>
  </r>
  <r>
    <x v="34"/>
    <x v="1"/>
    <x v="331"/>
    <x v="1"/>
    <x v="1"/>
    <x v="1"/>
    <x v="516"/>
  </r>
  <r>
    <x v="39"/>
    <x v="1"/>
    <x v="131"/>
    <x v="3"/>
    <x v="1"/>
    <x v="2"/>
    <x v="517"/>
  </r>
  <r>
    <x v="22"/>
    <x v="0"/>
    <x v="332"/>
    <x v="1"/>
    <x v="1"/>
    <x v="0"/>
    <x v="518"/>
  </r>
  <r>
    <x v="5"/>
    <x v="1"/>
    <x v="99"/>
    <x v="0"/>
    <x v="1"/>
    <x v="3"/>
    <x v="519"/>
  </r>
  <r>
    <x v="45"/>
    <x v="0"/>
    <x v="60"/>
    <x v="0"/>
    <x v="1"/>
    <x v="3"/>
    <x v="520"/>
  </r>
  <r>
    <x v="4"/>
    <x v="0"/>
    <x v="333"/>
    <x v="0"/>
    <x v="1"/>
    <x v="1"/>
    <x v="521"/>
  </r>
  <r>
    <x v="43"/>
    <x v="0"/>
    <x v="113"/>
    <x v="0"/>
    <x v="1"/>
    <x v="3"/>
    <x v="522"/>
  </r>
  <r>
    <x v="25"/>
    <x v="0"/>
    <x v="132"/>
    <x v="0"/>
    <x v="1"/>
    <x v="1"/>
    <x v="523"/>
  </r>
  <r>
    <x v="44"/>
    <x v="1"/>
    <x v="334"/>
    <x v="1"/>
    <x v="0"/>
    <x v="1"/>
    <x v="524"/>
  </r>
  <r>
    <x v="1"/>
    <x v="0"/>
    <x v="178"/>
    <x v="0"/>
    <x v="1"/>
    <x v="1"/>
    <x v="525"/>
  </r>
  <r>
    <x v="0"/>
    <x v="0"/>
    <x v="162"/>
    <x v="3"/>
    <x v="1"/>
    <x v="2"/>
    <x v="526"/>
  </r>
  <r>
    <x v="43"/>
    <x v="0"/>
    <x v="335"/>
    <x v="1"/>
    <x v="1"/>
    <x v="0"/>
    <x v="527"/>
  </r>
  <r>
    <x v="6"/>
    <x v="1"/>
    <x v="336"/>
    <x v="1"/>
    <x v="1"/>
    <x v="3"/>
    <x v="528"/>
  </r>
  <r>
    <x v="1"/>
    <x v="1"/>
    <x v="94"/>
    <x v="0"/>
    <x v="1"/>
    <x v="3"/>
    <x v="529"/>
  </r>
  <r>
    <x v="37"/>
    <x v="1"/>
    <x v="14"/>
    <x v="1"/>
    <x v="0"/>
    <x v="1"/>
    <x v="530"/>
  </r>
  <r>
    <x v="10"/>
    <x v="0"/>
    <x v="294"/>
    <x v="0"/>
    <x v="1"/>
    <x v="3"/>
    <x v="531"/>
  </r>
  <r>
    <x v="17"/>
    <x v="1"/>
    <x v="102"/>
    <x v="3"/>
    <x v="1"/>
    <x v="1"/>
    <x v="532"/>
  </r>
  <r>
    <x v="7"/>
    <x v="1"/>
    <x v="67"/>
    <x v="0"/>
    <x v="1"/>
    <x v="1"/>
    <x v="533"/>
  </r>
  <r>
    <x v="33"/>
    <x v="1"/>
    <x v="337"/>
    <x v="0"/>
    <x v="1"/>
    <x v="1"/>
    <x v="534"/>
  </r>
  <r>
    <x v="25"/>
    <x v="1"/>
    <x v="24"/>
    <x v="1"/>
    <x v="1"/>
    <x v="3"/>
    <x v="535"/>
  </r>
  <r>
    <x v="3"/>
    <x v="0"/>
    <x v="338"/>
    <x v="2"/>
    <x v="1"/>
    <x v="0"/>
    <x v="536"/>
  </r>
  <r>
    <x v="6"/>
    <x v="0"/>
    <x v="204"/>
    <x v="3"/>
    <x v="1"/>
    <x v="0"/>
    <x v="537"/>
  </r>
  <r>
    <x v="6"/>
    <x v="0"/>
    <x v="123"/>
    <x v="1"/>
    <x v="1"/>
    <x v="1"/>
    <x v="538"/>
  </r>
  <r>
    <x v="31"/>
    <x v="1"/>
    <x v="112"/>
    <x v="0"/>
    <x v="1"/>
    <x v="1"/>
    <x v="539"/>
  </r>
  <r>
    <x v="16"/>
    <x v="0"/>
    <x v="229"/>
    <x v="2"/>
    <x v="1"/>
    <x v="0"/>
    <x v="540"/>
  </r>
  <r>
    <x v="34"/>
    <x v="0"/>
    <x v="211"/>
    <x v="3"/>
    <x v="1"/>
    <x v="1"/>
    <x v="541"/>
  </r>
  <r>
    <x v="18"/>
    <x v="0"/>
    <x v="29"/>
    <x v="0"/>
    <x v="1"/>
    <x v="1"/>
    <x v="542"/>
  </r>
  <r>
    <x v="40"/>
    <x v="0"/>
    <x v="339"/>
    <x v="0"/>
    <x v="0"/>
    <x v="1"/>
    <x v="543"/>
  </r>
  <r>
    <x v="40"/>
    <x v="1"/>
    <x v="267"/>
    <x v="0"/>
    <x v="1"/>
    <x v="2"/>
    <x v="544"/>
  </r>
  <r>
    <x v="41"/>
    <x v="1"/>
    <x v="9"/>
    <x v="3"/>
    <x v="0"/>
    <x v="2"/>
    <x v="545"/>
  </r>
  <r>
    <x v="2"/>
    <x v="1"/>
    <x v="340"/>
    <x v="0"/>
    <x v="1"/>
    <x v="3"/>
    <x v="546"/>
  </r>
  <r>
    <x v="40"/>
    <x v="0"/>
    <x v="341"/>
    <x v="3"/>
    <x v="1"/>
    <x v="0"/>
    <x v="547"/>
  </r>
  <r>
    <x v="9"/>
    <x v="0"/>
    <x v="105"/>
    <x v="0"/>
    <x v="1"/>
    <x v="3"/>
    <x v="548"/>
  </r>
  <r>
    <x v="32"/>
    <x v="0"/>
    <x v="342"/>
    <x v="0"/>
    <x v="0"/>
    <x v="1"/>
    <x v="549"/>
  </r>
  <r>
    <x v="18"/>
    <x v="1"/>
    <x v="43"/>
    <x v="0"/>
    <x v="1"/>
    <x v="0"/>
    <x v="550"/>
  </r>
  <r>
    <x v="4"/>
    <x v="0"/>
    <x v="329"/>
    <x v="0"/>
    <x v="1"/>
    <x v="1"/>
    <x v="551"/>
  </r>
  <r>
    <x v="10"/>
    <x v="1"/>
    <x v="343"/>
    <x v="0"/>
    <x v="1"/>
    <x v="0"/>
    <x v="552"/>
  </r>
  <r>
    <x v="14"/>
    <x v="0"/>
    <x v="294"/>
    <x v="3"/>
    <x v="1"/>
    <x v="2"/>
    <x v="553"/>
  </r>
  <r>
    <x v="9"/>
    <x v="0"/>
    <x v="317"/>
    <x v="0"/>
    <x v="1"/>
    <x v="3"/>
    <x v="554"/>
  </r>
  <r>
    <x v="2"/>
    <x v="1"/>
    <x v="344"/>
    <x v="3"/>
    <x v="1"/>
    <x v="0"/>
    <x v="555"/>
  </r>
  <r>
    <x v="6"/>
    <x v="1"/>
    <x v="6"/>
    <x v="1"/>
    <x v="1"/>
    <x v="3"/>
    <x v="556"/>
  </r>
  <r>
    <x v="16"/>
    <x v="1"/>
    <x v="194"/>
    <x v="0"/>
    <x v="1"/>
    <x v="1"/>
    <x v="557"/>
  </r>
  <r>
    <x v="22"/>
    <x v="0"/>
    <x v="237"/>
    <x v="2"/>
    <x v="0"/>
    <x v="2"/>
    <x v="558"/>
  </r>
  <r>
    <x v="0"/>
    <x v="1"/>
    <x v="76"/>
    <x v="0"/>
    <x v="1"/>
    <x v="2"/>
    <x v="559"/>
  </r>
  <r>
    <x v="6"/>
    <x v="0"/>
    <x v="91"/>
    <x v="3"/>
    <x v="1"/>
    <x v="2"/>
    <x v="560"/>
  </r>
  <r>
    <x v="40"/>
    <x v="0"/>
    <x v="297"/>
    <x v="0"/>
    <x v="1"/>
    <x v="3"/>
    <x v="561"/>
  </r>
  <r>
    <x v="13"/>
    <x v="1"/>
    <x v="252"/>
    <x v="0"/>
    <x v="1"/>
    <x v="0"/>
    <x v="562"/>
  </r>
  <r>
    <x v="45"/>
    <x v="1"/>
    <x v="345"/>
    <x v="1"/>
    <x v="1"/>
    <x v="1"/>
    <x v="563"/>
  </r>
  <r>
    <x v="1"/>
    <x v="0"/>
    <x v="346"/>
    <x v="3"/>
    <x v="1"/>
    <x v="1"/>
    <x v="564"/>
  </r>
  <r>
    <x v="0"/>
    <x v="0"/>
    <x v="131"/>
    <x v="0"/>
    <x v="1"/>
    <x v="2"/>
    <x v="565"/>
  </r>
  <r>
    <x v="25"/>
    <x v="0"/>
    <x v="214"/>
    <x v="1"/>
    <x v="1"/>
    <x v="2"/>
    <x v="566"/>
  </r>
  <r>
    <x v="24"/>
    <x v="1"/>
    <x v="162"/>
    <x v="3"/>
    <x v="1"/>
    <x v="2"/>
    <x v="567"/>
  </r>
  <r>
    <x v="41"/>
    <x v="0"/>
    <x v="125"/>
    <x v="4"/>
    <x v="1"/>
    <x v="0"/>
    <x v="568"/>
  </r>
  <r>
    <x v="28"/>
    <x v="1"/>
    <x v="214"/>
    <x v="3"/>
    <x v="0"/>
    <x v="2"/>
    <x v="569"/>
  </r>
  <r>
    <x v="5"/>
    <x v="0"/>
    <x v="347"/>
    <x v="0"/>
    <x v="1"/>
    <x v="0"/>
    <x v="570"/>
  </r>
  <r>
    <x v="1"/>
    <x v="0"/>
    <x v="348"/>
    <x v="1"/>
    <x v="1"/>
    <x v="1"/>
    <x v="571"/>
  </r>
  <r>
    <x v="15"/>
    <x v="0"/>
    <x v="349"/>
    <x v="3"/>
    <x v="1"/>
    <x v="1"/>
    <x v="572"/>
  </r>
  <r>
    <x v="10"/>
    <x v="0"/>
    <x v="350"/>
    <x v="1"/>
    <x v="1"/>
    <x v="3"/>
    <x v="573"/>
  </r>
  <r>
    <x v="37"/>
    <x v="0"/>
    <x v="351"/>
    <x v="3"/>
    <x v="1"/>
    <x v="3"/>
    <x v="574"/>
  </r>
  <r>
    <x v="30"/>
    <x v="0"/>
    <x v="107"/>
    <x v="0"/>
    <x v="1"/>
    <x v="2"/>
    <x v="575"/>
  </r>
  <r>
    <x v="20"/>
    <x v="1"/>
    <x v="199"/>
    <x v="0"/>
    <x v="1"/>
    <x v="1"/>
    <x v="576"/>
  </r>
  <r>
    <x v="5"/>
    <x v="0"/>
    <x v="309"/>
    <x v="1"/>
    <x v="0"/>
    <x v="3"/>
    <x v="577"/>
  </r>
  <r>
    <x v="14"/>
    <x v="1"/>
    <x v="204"/>
    <x v="1"/>
    <x v="1"/>
    <x v="0"/>
    <x v="578"/>
  </r>
  <r>
    <x v="9"/>
    <x v="0"/>
    <x v="352"/>
    <x v="0"/>
    <x v="1"/>
    <x v="3"/>
    <x v="579"/>
  </r>
  <r>
    <x v="17"/>
    <x v="1"/>
    <x v="94"/>
    <x v="1"/>
    <x v="1"/>
    <x v="3"/>
    <x v="580"/>
  </r>
  <r>
    <x v="0"/>
    <x v="1"/>
    <x v="162"/>
    <x v="0"/>
    <x v="1"/>
    <x v="2"/>
    <x v="195"/>
  </r>
  <r>
    <x v="46"/>
    <x v="1"/>
    <x v="353"/>
    <x v="3"/>
    <x v="1"/>
    <x v="1"/>
    <x v="581"/>
  </r>
  <r>
    <x v="4"/>
    <x v="0"/>
    <x v="354"/>
    <x v="1"/>
    <x v="1"/>
    <x v="1"/>
    <x v="582"/>
  </r>
  <r>
    <x v="0"/>
    <x v="1"/>
    <x v="355"/>
    <x v="0"/>
    <x v="1"/>
    <x v="0"/>
    <x v="583"/>
  </r>
  <r>
    <x v="3"/>
    <x v="0"/>
    <x v="356"/>
    <x v="1"/>
    <x v="1"/>
    <x v="1"/>
    <x v="584"/>
  </r>
  <r>
    <x v="27"/>
    <x v="1"/>
    <x v="281"/>
    <x v="2"/>
    <x v="1"/>
    <x v="3"/>
    <x v="585"/>
  </r>
  <r>
    <x v="16"/>
    <x v="0"/>
    <x v="267"/>
    <x v="1"/>
    <x v="0"/>
    <x v="2"/>
    <x v="586"/>
  </r>
  <r>
    <x v="35"/>
    <x v="0"/>
    <x v="357"/>
    <x v="0"/>
    <x v="1"/>
    <x v="3"/>
    <x v="587"/>
  </r>
  <r>
    <x v="25"/>
    <x v="0"/>
    <x v="155"/>
    <x v="1"/>
    <x v="1"/>
    <x v="1"/>
    <x v="588"/>
  </r>
  <r>
    <x v="30"/>
    <x v="0"/>
    <x v="358"/>
    <x v="0"/>
    <x v="1"/>
    <x v="0"/>
    <x v="589"/>
  </r>
  <r>
    <x v="42"/>
    <x v="1"/>
    <x v="359"/>
    <x v="1"/>
    <x v="1"/>
    <x v="2"/>
    <x v="590"/>
  </r>
  <r>
    <x v="34"/>
    <x v="1"/>
    <x v="360"/>
    <x v="3"/>
    <x v="1"/>
    <x v="1"/>
    <x v="591"/>
  </r>
  <r>
    <x v="27"/>
    <x v="0"/>
    <x v="361"/>
    <x v="1"/>
    <x v="0"/>
    <x v="3"/>
    <x v="592"/>
  </r>
  <r>
    <x v="24"/>
    <x v="1"/>
    <x v="362"/>
    <x v="0"/>
    <x v="1"/>
    <x v="1"/>
    <x v="593"/>
  </r>
  <r>
    <x v="6"/>
    <x v="0"/>
    <x v="363"/>
    <x v="1"/>
    <x v="1"/>
    <x v="3"/>
    <x v="594"/>
  </r>
  <r>
    <x v="44"/>
    <x v="0"/>
    <x v="364"/>
    <x v="3"/>
    <x v="1"/>
    <x v="1"/>
    <x v="595"/>
  </r>
  <r>
    <x v="16"/>
    <x v="0"/>
    <x v="176"/>
    <x v="1"/>
    <x v="1"/>
    <x v="3"/>
    <x v="596"/>
  </r>
  <r>
    <x v="32"/>
    <x v="1"/>
    <x v="365"/>
    <x v="3"/>
    <x v="1"/>
    <x v="0"/>
    <x v="597"/>
  </r>
  <r>
    <x v="14"/>
    <x v="0"/>
    <x v="366"/>
    <x v="3"/>
    <x v="1"/>
    <x v="2"/>
    <x v="598"/>
  </r>
  <r>
    <x v="1"/>
    <x v="0"/>
    <x v="287"/>
    <x v="0"/>
    <x v="1"/>
    <x v="1"/>
    <x v="599"/>
  </r>
  <r>
    <x v="43"/>
    <x v="1"/>
    <x v="181"/>
    <x v="0"/>
    <x v="1"/>
    <x v="2"/>
    <x v="600"/>
  </r>
  <r>
    <x v="12"/>
    <x v="0"/>
    <x v="128"/>
    <x v="0"/>
    <x v="1"/>
    <x v="0"/>
    <x v="601"/>
  </r>
  <r>
    <x v="33"/>
    <x v="0"/>
    <x v="266"/>
    <x v="2"/>
    <x v="1"/>
    <x v="1"/>
    <x v="602"/>
  </r>
  <r>
    <x v="0"/>
    <x v="0"/>
    <x v="33"/>
    <x v="0"/>
    <x v="0"/>
    <x v="2"/>
    <x v="603"/>
  </r>
  <r>
    <x v="43"/>
    <x v="0"/>
    <x v="22"/>
    <x v="0"/>
    <x v="1"/>
    <x v="1"/>
    <x v="604"/>
  </r>
  <r>
    <x v="13"/>
    <x v="0"/>
    <x v="124"/>
    <x v="0"/>
    <x v="1"/>
    <x v="3"/>
    <x v="605"/>
  </r>
  <r>
    <x v="17"/>
    <x v="0"/>
    <x v="367"/>
    <x v="0"/>
    <x v="0"/>
    <x v="2"/>
    <x v="606"/>
  </r>
  <r>
    <x v="2"/>
    <x v="1"/>
    <x v="86"/>
    <x v="3"/>
    <x v="1"/>
    <x v="3"/>
    <x v="607"/>
  </r>
  <r>
    <x v="15"/>
    <x v="1"/>
    <x v="368"/>
    <x v="3"/>
    <x v="0"/>
    <x v="0"/>
    <x v="608"/>
  </r>
  <r>
    <x v="42"/>
    <x v="0"/>
    <x v="205"/>
    <x v="1"/>
    <x v="1"/>
    <x v="1"/>
    <x v="609"/>
  </r>
  <r>
    <x v="25"/>
    <x v="0"/>
    <x v="82"/>
    <x v="3"/>
    <x v="1"/>
    <x v="0"/>
    <x v="610"/>
  </r>
  <r>
    <x v="1"/>
    <x v="0"/>
    <x v="145"/>
    <x v="0"/>
    <x v="1"/>
    <x v="3"/>
    <x v="611"/>
  </r>
  <r>
    <x v="16"/>
    <x v="0"/>
    <x v="369"/>
    <x v="2"/>
    <x v="1"/>
    <x v="3"/>
    <x v="612"/>
  </r>
  <r>
    <x v="34"/>
    <x v="0"/>
    <x v="2"/>
    <x v="0"/>
    <x v="1"/>
    <x v="1"/>
    <x v="613"/>
  </r>
  <r>
    <x v="42"/>
    <x v="0"/>
    <x v="41"/>
    <x v="1"/>
    <x v="0"/>
    <x v="1"/>
    <x v="614"/>
  </r>
  <r>
    <x v="12"/>
    <x v="0"/>
    <x v="105"/>
    <x v="0"/>
    <x v="1"/>
    <x v="3"/>
    <x v="615"/>
  </r>
  <r>
    <x v="41"/>
    <x v="1"/>
    <x v="248"/>
    <x v="3"/>
    <x v="0"/>
    <x v="0"/>
    <x v="616"/>
  </r>
  <r>
    <x v="0"/>
    <x v="0"/>
    <x v="293"/>
    <x v="0"/>
    <x v="0"/>
    <x v="1"/>
    <x v="617"/>
  </r>
  <r>
    <x v="19"/>
    <x v="0"/>
    <x v="109"/>
    <x v="0"/>
    <x v="1"/>
    <x v="0"/>
    <x v="618"/>
  </r>
  <r>
    <x v="15"/>
    <x v="1"/>
    <x v="234"/>
    <x v="1"/>
    <x v="1"/>
    <x v="0"/>
    <x v="619"/>
  </r>
  <r>
    <x v="7"/>
    <x v="1"/>
    <x v="22"/>
    <x v="5"/>
    <x v="0"/>
    <x v="0"/>
    <x v="620"/>
  </r>
  <r>
    <x v="41"/>
    <x v="0"/>
    <x v="370"/>
    <x v="1"/>
    <x v="1"/>
    <x v="0"/>
    <x v="621"/>
  </r>
  <r>
    <x v="1"/>
    <x v="1"/>
    <x v="371"/>
    <x v="0"/>
    <x v="0"/>
    <x v="3"/>
    <x v="622"/>
  </r>
  <r>
    <x v="17"/>
    <x v="1"/>
    <x v="114"/>
    <x v="0"/>
    <x v="1"/>
    <x v="2"/>
    <x v="623"/>
  </r>
  <r>
    <x v="38"/>
    <x v="0"/>
    <x v="327"/>
    <x v="0"/>
    <x v="1"/>
    <x v="2"/>
    <x v="624"/>
  </r>
  <r>
    <x v="26"/>
    <x v="1"/>
    <x v="4"/>
    <x v="2"/>
    <x v="1"/>
    <x v="3"/>
    <x v="625"/>
  </r>
  <r>
    <x v="3"/>
    <x v="1"/>
    <x v="372"/>
    <x v="1"/>
    <x v="1"/>
    <x v="1"/>
    <x v="626"/>
  </r>
  <r>
    <x v="30"/>
    <x v="1"/>
    <x v="229"/>
    <x v="0"/>
    <x v="1"/>
    <x v="0"/>
    <x v="627"/>
  </r>
  <r>
    <x v="36"/>
    <x v="0"/>
    <x v="373"/>
    <x v="0"/>
    <x v="0"/>
    <x v="2"/>
    <x v="628"/>
  </r>
  <r>
    <x v="31"/>
    <x v="1"/>
    <x v="374"/>
    <x v="1"/>
    <x v="1"/>
    <x v="0"/>
    <x v="629"/>
  </r>
  <r>
    <x v="23"/>
    <x v="1"/>
    <x v="375"/>
    <x v="0"/>
    <x v="1"/>
    <x v="0"/>
    <x v="630"/>
  </r>
  <r>
    <x v="38"/>
    <x v="0"/>
    <x v="76"/>
    <x v="0"/>
    <x v="1"/>
    <x v="1"/>
    <x v="631"/>
  </r>
  <r>
    <x v="29"/>
    <x v="1"/>
    <x v="3"/>
    <x v="3"/>
    <x v="1"/>
    <x v="3"/>
    <x v="632"/>
  </r>
  <r>
    <x v="43"/>
    <x v="1"/>
    <x v="376"/>
    <x v="1"/>
    <x v="1"/>
    <x v="0"/>
    <x v="633"/>
  </r>
  <r>
    <x v="33"/>
    <x v="1"/>
    <x v="377"/>
    <x v="0"/>
    <x v="1"/>
    <x v="3"/>
    <x v="634"/>
  </r>
  <r>
    <x v="0"/>
    <x v="0"/>
    <x v="184"/>
    <x v="1"/>
    <x v="1"/>
    <x v="2"/>
    <x v="635"/>
  </r>
  <r>
    <x v="22"/>
    <x v="0"/>
    <x v="309"/>
    <x v="3"/>
    <x v="1"/>
    <x v="3"/>
    <x v="636"/>
  </r>
  <r>
    <x v="46"/>
    <x v="1"/>
    <x v="154"/>
    <x v="0"/>
    <x v="0"/>
    <x v="3"/>
    <x v="637"/>
  </r>
  <r>
    <x v="12"/>
    <x v="1"/>
    <x v="61"/>
    <x v="5"/>
    <x v="1"/>
    <x v="1"/>
    <x v="638"/>
  </r>
  <r>
    <x v="3"/>
    <x v="1"/>
    <x v="378"/>
    <x v="4"/>
    <x v="1"/>
    <x v="0"/>
    <x v="639"/>
  </r>
  <r>
    <x v="44"/>
    <x v="1"/>
    <x v="33"/>
    <x v="2"/>
    <x v="0"/>
    <x v="2"/>
    <x v="640"/>
  </r>
  <r>
    <x v="35"/>
    <x v="1"/>
    <x v="113"/>
    <x v="0"/>
    <x v="1"/>
    <x v="3"/>
    <x v="641"/>
  </r>
  <r>
    <x v="11"/>
    <x v="0"/>
    <x v="379"/>
    <x v="2"/>
    <x v="1"/>
    <x v="2"/>
    <x v="642"/>
  </r>
  <r>
    <x v="32"/>
    <x v="1"/>
    <x v="331"/>
    <x v="3"/>
    <x v="1"/>
    <x v="1"/>
    <x v="643"/>
  </r>
  <r>
    <x v="28"/>
    <x v="1"/>
    <x v="16"/>
    <x v="2"/>
    <x v="1"/>
    <x v="3"/>
    <x v="644"/>
  </r>
  <r>
    <x v="46"/>
    <x v="1"/>
    <x v="10"/>
    <x v="1"/>
    <x v="1"/>
    <x v="2"/>
    <x v="645"/>
  </r>
  <r>
    <x v="29"/>
    <x v="0"/>
    <x v="108"/>
    <x v="2"/>
    <x v="1"/>
    <x v="3"/>
    <x v="646"/>
  </r>
  <r>
    <x v="1"/>
    <x v="1"/>
    <x v="70"/>
    <x v="0"/>
    <x v="1"/>
    <x v="3"/>
    <x v="647"/>
  </r>
  <r>
    <x v="30"/>
    <x v="0"/>
    <x v="36"/>
    <x v="0"/>
    <x v="1"/>
    <x v="3"/>
    <x v="648"/>
  </r>
  <r>
    <x v="41"/>
    <x v="0"/>
    <x v="380"/>
    <x v="3"/>
    <x v="1"/>
    <x v="1"/>
    <x v="649"/>
  </r>
  <r>
    <x v="31"/>
    <x v="0"/>
    <x v="140"/>
    <x v="1"/>
    <x v="1"/>
    <x v="1"/>
    <x v="650"/>
  </r>
  <r>
    <x v="28"/>
    <x v="0"/>
    <x v="360"/>
    <x v="0"/>
    <x v="1"/>
    <x v="1"/>
    <x v="651"/>
  </r>
  <r>
    <x v="39"/>
    <x v="0"/>
    <x v="29"/>
    <x v="3"/>
    <x v="1"/>
    <x v="1"/>
    <x v="652"/>
  </r>
  <r>
    <x v="17"/>
    <x v="0"/>
    <x v="49"/>
    <x v="0"/>
    <x v="1"/>
    <x v="1"/>
    <x v="653"/>
  </r>
  <r>
    <x v="14"/>
    <x v="0"/>
    <x v="128"/>
    <x v="3"/>
    <x v="0"/>
    <x v="1"/>
    <x v="654"/>
  </r>
  <r>
    <x v="21"/>
    <x v="0"/>
    <x v="378"/>
    <x v="1"/>
    <x v="1"/>
    <x v="0"/>
    <x v="655"/>
  </r>
  <r>
    <x v="13"/>
    <x v="1"/>
    <x v="145"/>
    <x v="3"/>
    <x v="1"/>
    <x v="2"/>
    <x v="656"/>
  </r>
  <r>
    <x v="28"/>
    <x v="0"/>
    <x v="357"/>
    <x v="1"/>
    <x v="1"/>
    <x v="3"/>
    <x v="657"/>
  </r>
  <r>
    <x v="37"/>
    <x v="0"/>
    <x v="114"/>
    <x v="5"/>
    <x v="1"/>
    <x v="3"/>
    <x v="658"/>
  </r>
  <r>
    <x v="7"/>
    <x v="1"/>
    <x v="306"/>
    <x v="2"/>
    <x v="1"/>
    <x v="1"/>
    <x v="659"/>
  </r>
  <r>
    <x v="37"/>
    <x v="0"/>
    <x v="68"/>
    <x v="1"/>
    <x v="1"/>
    <x v="1"/>
    <x v="660"/>
  </r>
  <r>
    <x v="4"/>
    <x v="0"/>
    <x v="381"/>
    <x v="1"/>
    <x v="1"/>
    <x v="3"/>
    <x v="661"/>
  </r>
  <r>
    <x v="1"/>
    <x v="1"/>
    <x v="61"/>
    <x v="0"/>
    <x v="1"/>
    <x v="1"/>
    <x v="662"/>
  </r>
  <r>
    <x v="33"/>
    <x v="0"/>
    <x v="223"/>
    <x v="0"/>
    <x v="0"/>
    <x v="1"/>
    <x v="663"/>
  </r>
  <r>
    <x v="32"/>
    <x v="1"/>
    <x v="179"/>
    <x v="3"/>
    <x v="0"/>
    <x v="1"/>
    <x v="664"/>
  </r>
  <r>
    <x v="41"/>
    <x v="1"/>
    <x v="311"/>
    <x v="1"/>
    <x v="1"/>
    <x v="0"/>
    <x v="665"/>
  </r>
  <r>
    <x v="29"/>
    <x v="0"/>
    <x v="27"/>
    <x v="3"/>
    <x v="0"/>
    <x v="2"/>
    <x v="666"/>
  </r>
  <r>
    <x v="10"/>
    <x v="1"/>
    <x v="256"/>
    <x v="0"/>
    <x v="0"/>
    <x v="3"/>
    <x v="667"/>
  </r>
  <r>
    <x v="29"/>
    <x v="0"/>
    <x v="382"/>
    <x v="1"/>
    <x v="1"/>
    <x v="1"/>
    <x v="668"/>
  </r>
  <r>
    <x v="15"/>
    <x v="1"/>
    <x v="160"/>
    <x v="2"/>
    <x v="1"/>
    <x v="1"/>
    <x v="669"/>
  </r>
  <r>
    <x v="38"/>
    <x v="0"/>
    <x v="84"/>
    <x v="0"/>
    <x v="1"/>
    <x v="3"/>
    <x v="670"/>
  </r>
  <r>
    <x v="26"/>
    <x v="1"/>
    <x v="102"/>
    <x v="0"/>
    <x v="1"/>
    <x v="1"/>
    <x v="671"/>
  </r>
  <r>
    <x v="24"/>
    <x v="0"/>
    <x v="270"/>
    <x v="0"/>
    <x v="1"/>
    <x v="1"/>
    <x v="672"/>
  </r>
  <r>
    <x v="36"/>
    <x v="0"/>
    <x v="250"/>
    <x v="3"/>
    <x v="0"/>
    <x v="1"/>
    <x v="673"/>
  </r>
  <r>
    <x v="39"/>
    <x v="1"/>
    <x v="383"/>
    <x v="0"/>
    <x v="1"/>
    <x v="2"/>
    <x v="674"/>
  </r>
  <r>
    <x v="19"/>
    <x v="0"/>
    <x v="384"/>
    <x v="2"/>
    <x v="1"/>
    <x v="1"/>
    <x v="675"/>
  </r>
  <r>
    <x v="8"/>
    <x v="1"/>
    <x v="112"/>
    <x v="2"/>
    <x v="0"/>
    <x v="2"/>
    <x v="676"/>
  </r>
  <r>
    <x v="12"/>
    <x v="1"/>
    <x v="374"/>
    <x v="2"/>
    <x v="1"/>
    <x v="0"/>
    <x v="677"/>
  </r>
  <r>
    <x v="41"/>
    <x v="0"/>
    <x v="247"/>
    <x v="3"/>
    <x v="1"/>
    <x v="2"/>
    <x v="678"/>
  </r>
  <r>
    <x v="27"/>
    <x v="0"/>
    <x v="385"/>
    <x v="1"/>
    <x v="1"/>
    <x v="0"/>
    <x v="679"/>
  </r>
  <r>
    <x v="0"/>
    <x v="1"/>
    <x v="386"/>
    <x v="0"/>
    <x v="1"/>
    <x v="0"/>
    <x v="680"/>
  </r>
  <r>
    <x v="46"/>
    <x v="1"/>
    <x v="19"/>
    <x v="3"/>
    <x v="0"/>
    <x v="0"/>
    <x v="681"/>
  </r>
  <r>
    <x v="31"/>
    <x v="1"/>
    <x v="200"/>
    <x v="0"/>
    <x v="1"/>
    <x v="2"/>
    <x v="682"/>
  </r>
  <r>
    <x v="3"/>
    <x v="0"/>
    <x v="387"/>
    <x v="1"/>
    <x v="1"/>
    <x v="0"/>
    <x v="683"/>
  </r>
  <r>
    <x v="31"/>
    <x v="1"/>
    <x v="154"/>
    <x v="3"/>
    <x v="1"/>
    <x v="3"/>
    <x v="684"/>
  </r>
  <r>
    <x v="44"/>
    <x v="1"/>
    <x v="388"/>
    <x v="3"/>
    <x v="1"/>
    <x v="3"/>
    <x v="685"/>
  </r>
  <r>
    <x v="29"/>
    <x v="1"/>
    <x v="389"/>
    <x v="0"/>
    <x v="1"/>
    <x v="1"/>
    <x v="686"/>
  </r>
  <r>
    <x v="42"/>
    <x v="0"/>
    <x v="390"/>
    <x v="1"/>
    <x v="1"/>
    <x v="0"/>
    <x v="687"/>
  </r>
  <r>
    <x v="13"/>
    <x v="1"/>
    <x v="360"/>
    <x v="1"/>
    <x v="0"/>
    <x v="1"/>
    <x v="688"/>
  </r>
  <r>
    <x v="27"/>
    <x v="1"/>
    <x v="60"/>
    <x v="0"/>
    <x v="1"/>
    <x v="3"/>
    <x v="689"/>
  </r>
  <r>
    <x v="42"/>
    <x v="1"/>
    <x v="391"/>
    <x v="1"/>
    <x v="1"/>
    <x v="0"/>
    <x v="690"/>
  </r>
  <r>
    <x v="34"/>
    <x v="1"/>
    <x v="203"/>
    <x v="1"/>
    <x v="1"/>
    <x v="2"/>
    <x v="691"/>
  </r>
  <r>
    <x v="23"/>
    <x v="1"/>
    <x v="367"/>
    <x v="0"/>
    <x v="1"/>
    <x v="2"/>
    <x v="692"/>
  </r>
  <r>
    <x v="13"/>
    <x v="0"/>
    <x v="82"/>
    <x v="1"/>
    <x v="1"/>
    <x v="0"/>
    <x v="693"/>
  </r>
  <r>
    <x v="21"/>
    <x v="0"/>
    <x v="392"/>
    <x v="0"/>
    <x v="1"/>
    <x v="2"/>
    <x v="694"/>
  </r>
  <r>
    <x v="31"/>
    <x v="0"/>
    <x v="243"/>
    <x v="3"/>
    <x v="1"/>
    <x v="3"/>
    <x v="695"/>
  </r>
  <r>
    <x v="24"/>
    <x v="1"/>
    <x v="246"/>
    <x v="1"/>
    <x v="0"/>
    <x v="1"/>
    <x v="696"/>
  </r>
  <r>
    <x v="12"/>
    <x v="1"/>
    <x v="363"/>
    <x v="0"/>
    <x v="1"/>
    <x v="2"/>
    <x v="697"/>
  </r>
  <r>
    <x v="11"/>
    <x v="0"/>
    <x v="393"/>
    <x v="3"/>
    <x v="1"/>
    <x v="1"/>
    <x v="698"/>
  </r>
  <r>
    <x v="27"/>
    <x v="0"/>
    <x v="394"/>
    <x v="0"/>
    <x v="1"/>
    <x v="1"/>
    <x v="699"/>
  </r>
  <r>
    <x v="45"/>
    <x v="0"/>
    <x v="395"/>
    <x v="0"/>
    <x v="1"/>
    <x v="3"/>
    <x v="700"/>
  </r>
  <r>
    <x v="31"/>
    <x v="1"/>
    <x v="147"/>
    <x v="0"/>
    <x v="1"/>
    <x v="1"/>
    <x v="701"/>
  </r>
  <r>
    <x v="16"/>
    <x v="0"/>
    <x v="154"/>
    <x v="1"/>
    <x v="1"/>
    <x v="2"/>
    <x v="702"/>
  </r>
  <r>
    <x v="42"/>
    <x v="0"/>
    <x v="396"/>
    <x v="1"/>
    <x v="1"/>
    <x v="2"/>
    <x v="703"/>
  </r>
  <r>
    <x v="3"/>
    <x v="0"/>
    <x v="260"/>
    <x v="3"/>
    <x v="1"/>
    <x v="0"/>
    <x v="704"/>
  </r>
  <r>
    <x v="43"/>
    <x v="0"/>
    <x v="179"/>
    <x v="0"/>
    <x v="0"/>
    <x v="1"/>
    <x v="705"/>
  </r>
  <r>
    <x v="41"/>
    <x v="1"/>
    <x v="54"/>
    <x v="2"/>
    <x v="1"/>
    <x v="2"/>
    <x v="706"/>
  </r>
  <r>
    <x v="5"/>
    <x v="0"/>
    <x v="131"/>
    <x v="2"/>
    <x v="1"/>
    <x v="3"/>
    <x v="707"/>
  </r>
  <r>
    <x v="26"/>
    <x v="0"/>
    <x v="7"/>
    <x v="0"/>
    <x v="1"/>
    <x v="3"/>
    <x v="708"/>
  </r>
  <r>
    <x v="1"/>
    <x v="1"/>
    <x v="49"/>
    <x v="1"/>
    <x v="1"/>
    <x v="1"/>
    <x v="709"/>
  </r>
  <r>
    <x v="45"/>
    <x v="0"/>
    <x v="397"/>
    <x v="3"/>
    <x v="1"/>
    <x v="1"/>
    <x v="710"/>
  </r>
  <r>
    <x v="32"/>
    <x v="0"/>
    <x v="264"/>
    <x v="3"/>
    <x v="1"/>
    <x v="2"/>
    <x v="711"/>
  </r>
  <r>
    <x v="34"/>
    <x v="1"/>
    <x v="398"/>
    <x v="0"/>
    <x v="1"/>
    <x v="3"/>
    <x v="712"/>
  </r>
  <r>
    <x v="23"/>
    <x v="0"/>
    <x v="286"/>
    <x v="0"/>
    <x v="1"/>
    <x v="0"/>
    <x v="713"/>
  </r>
  <r>
    <x v="8"/>
    <x v="1"/>
    <x v="65"/>
    <x v="0"/>
    <x v="1"/>
    <x v="0"/>
    <x v="714"/>
  </r>
  <r>
    <x v="41"/>
    <x v="0"/>
    <x v="227"/>
    <x v="1"/>
    <x v="1"/>
    <x v="2"/>
    <x v="715"/>
  </r>
  <r>
    <x v="8"/>
    <x v="1"/>
    <x v="200"/>
    <x v="1"/>
    <x v="1"/>
    <x v="2"/>
    <x v="716"/>
  </r>
  <r>
    <x v="43"/>
    <x v="0"/>
    <x v="38"/>
    <x v="3"/>
    <x v="1"/>
    <x v="2"/>
    <x v="717"/>
  </r>
  <r>
    <x v="30"/>
    <x v="0"/>
    <x v="6"/>
    <x v="0"/>
    <x v="1"/>
    <x v="2"/>
    <x v="718"/>
  </r>
  <r>
    <x v="43"/>
    <x v="0"/>
    <x v="399"/>
    <x v="0"/>
    <x v="1"/>
    <x v="3"/>
    <x v="719"/>
  </r>
  <r>
    <x v="31"/>
    <x v="1"/>
    <x v="400"/>
    <x v="2"/>
    <x v="1"/>
    <x v="0"/>
    <x v="720"/>
  </r>
  <r>
    <x v="10"/>
    <x v="1"/>
    <x v="116"/>
    <x v="0"/>
    <x v="1"/>
    <x v="0"/>
    <x v="721"/>
  </r>
  <r>
    <x v="0"/>
    <x v="1"/>
    <x v="401"/>
    <x v="0"/>
    <x v="1"/>
    <x v="0"/>
    <x v="722"/>
  </r>
  <r>
    <x v="45"/>
    <x v="0"/>
    <x v="402"/>
    <x v="1"/>
    <x v="1"/>
    <x v="3"/>
    <x v="723"/>
  </r>
  <r>
    <x v="15"/>
    <x v="0"/>
    <x v="266"/>
    <x v="2"/>
    <x v="0"/>
    <x v="1"/>
    <x v="724"/>
  </r>
  <r>
    <x v="24"/>
    <x v="1"/>
    <x v="403"/>
    <x v="1"/>
    <x v="1"/>
    <x v="2"/>
    <x v="725"/>
  </r>
  <r>
    <x v="38"/>
    <x v="0"/>
    <x v="404"/>
    <x v="1"/>
    <x v="0"/>
    <x v="3"/>
    <x v="726"/>
  </r>
  <r>
    <x v="1"/>
    <x v="0"/>
    <x v="405"/>
    <x v="0"/>
    <x v="1"/>
    <x v="3"/>
    <x v="727"/>
  </r>
  <r>
    <x v="24"/>
    <x v="0"/>
    <x v="168"/>
    <x v="1"/>
    <x v="1"/>
    <x v="1"/>
    <x v="728"/>
  </r>
  <r>
    <x v="22"/>
    <x v="1"/>
    <x v="137"/>
    <x v="2"/>
    <x v="0"/>
    <x v="1"/>
    <x v="729"/>
  </r>
  <r>
    <x v="31"/>
    <x v="1"/>
    <x v="343"/>
    <x v="1"/>
    <x v="1"/>
    <x v="0"/>
    <x v="730"/>
  </r>
  <r>
    <x v="23"/>
    <x v="0"/>
    <x v="406"/>
    <x v="2"/>
    <x v="1"/>
    <x v="0"/>
    <x v="731"/>
  </r>
  <r>
    <x v="28"/>
    <x v="0"/>
    <x v="288"/>
    <x v="1"/>
    <x v="1"/>
    <x v="3"/>
    <x v="732"/>
  </r>
  <r>
    <x v="17"/>
    <x v="0"/>
    <x v="407"/>
    <x v="2"/>
    <x v="1"/>
    <x v="0"/>
    <x v="733"/>
  </r>
  <r>
    <x v="41"/>
    <x v="0"/>
    <x v="47"/>
    <x v="1"/>
    <x v="1"/>
    <x v="2"/>
    <x v="734"/>
  </r>
  <r>
    <x v="7"/>
    <x v="0"/>
    <x v="186"/>
    <x v="0"/>
    <x v="0"/>
    <x v="1"/>
    <x v="735"/>
  </r>
  <r>
    <x v="21"/>
    <x v="1"/>
    <x v="408"/>
    <x v="3"/>
    <x v="1"/>
    <x v="0"/>
    <x v="736"/>
  </r>
  <r>
    <x v="11"/>
    <x v="1"/>
    <x v="294"/>
    <x v="2"/>
    <x v="0"/>
    <x v="3"/>
    <x v="737"/>
  </r>
  <r>
    <x v="38"/>
    <x v="1"/>
    <x v="409"/>
    <x v="3"/>
    <x v="0"/>
    <x v="0"/>
    <x v="738"/>
  </r>
  <r>
    <x v="39"/>
    <x v="1"/>
    <x v="167"/>
    <x v="3"/>
    <x v="1"/>
    <x v="3"/>
    <x v="739"/>
  </r>
  <r>
    <x v="13"/>
    <x v="1"/>
    <x v="410"/>
    <x v="0"/>
    <x v="0"/>
    <x v="1"/>
    <x v="740"/>
  </r>
  <r>
    <x v="31"/>
    <x v="1"/>
    <x v="237"/>
    <x v="0"/>
    <x v="0"/>
    <x v="3"/>
    <x v="741"/>
  </r>
  <r>
    <x v="5"/>
    <x v="0"/>
    <x v="217"/>
    <x v="0"/>
    <x v="1"/>
    <x v="1"/>
    <x v="742"/>
  </r>
  <r>
    <x v="45"/>
    <x v="1"/>
    <x v="154"/>
    <x v="0"/>
    <x v="1"/>
    <x v="2"/>
    <x v="743"/>
  </r>
  <r>
    <x v="45"/>
    <x v="0"/>
    <x v="95"/>
    <x v="1"/>
    <x v="1"/>
    <x v="2"/>
    <x v="744"/>
  </r>
  <r>
    <x v="16"/>
    <x v="1"/>
    <x v="411"/>
    <x v="3"/>
    <x v="1"/>
    <x v="0"/>
    <x v="745"/>
  </r>
  <r>
    <x v="0"/>
    <x v="1"/>
    <x v="404"/>
    <x v="0"/>
    <x v="1"/>
    <x v="2"/>
    <x v="746"/>
  </r>
  <r>
    <x v="42"/>
    <x v="0"/>
    <x v="126"/>
    <x v="1"/>
    <x v="1"/>
    <x v="0"/>
    <x v="747"/>
  </r>
  <r>
    <x v="2"/>
    <x v="1"/>
    <x v="99"/>
    <x v="0"/>
    <x v="1"/>
    <x v="2"/>
    <x v="748"/>
  </r>
  <r>
    <x v="7"/>
    <x v="0"/>
    <x v="170"/>
    <x v="0"/>
    <x v="0"/>
    <x v="1"/>
    <x v="749"/>
  </r>
  <r>
    <x v="27"/>
    <x v="1"/>
    <x v="111"/>
    <x v="0"/>
    <x v="1"/>
    <x v="2"/>
    <x v="750"/>
  </r>
  <r>
    <x v="33"/>
    <x v="1"/>
    <x v="412"/>
    <x v="0"/>
    <x v="1"/>
    <x v="2"/>
    <x v="751"/>
  </r>
  <r>
    <x v="30"/>
    <x v="0"/>
    <x v="413"/>
    <x v="0"/>
    <x v="1"/>
    <x v="1"/>
    <x v="752"/>
  </r>
  <r>
    <x v="23"/>
    <x v="1"/>
    <x v="51"/>
    <x v="5"/>
    <x v="1"/>
    <x v="3"/>
    <x v="753"/>
  </r>
  <r>
    <x v="5"/>
    <x v="1"/>
    <x v="215"/>
    <x v="3"/>
    <x v="1"/>
    <x v="3"/>
    <x v="754"/>
  </r>
  <r>
    <x v="46"/>
    <x v="0"/>
    <x v="414"/>
    <x v="2"/>
    <x v="1"/>
    <x v="3"/>
    <x v="755"/>
  </r>
  <r>
    <x v="42"/>
    <x v="0"/>
    <x v="138"/>
    <x v="0"/>
    <x v="0"/>
    <x v="1"/>
    <x v="756"/>
  </r>
  <r>
    <x v="15"/>
    <x v="1"/>
    <x v="133"/>
    <x v="2"/>
    <x v="1"/>
    <x v="3"/>
    <x v="757"/>
  </r>
  <r>
    <x v="1"/>
    <x v="1"/>
    <x v="271"/>
    <x v="0"/>
    <x v="0"/>
    <x v="1"/>
    <x v="758"/>
  </r>
  <r>
    <x v="20"/>
    <x v="0"/>
    <x v="415"/>
    <x v="3"/>
    <x v="1"/>
    <x v="3"/>
    <x v="759"/>
  </r>
  <r>
    <x v="11"/>
    <x v="1"/>
    <x v="49"/>
    <x v="1"/>
    <x v="1"/>
    <x v="0"/>
    <x v="760"/>
  </r>
  <r>
    <x v="3"/>
    <x v="1"/>
    <x v="416"/>
    <x v="1"/>
    <x v="0"/>
    <x v="0"/>
    <x v="761"/>
  </r>
  <r>
    <x v="13"/>
    <x v="1"/>
    <x v="327"/>
    <x v="0"/>
    <x v="1"/>
    <x v="3"/>
    <x v="762"/>
  </r>
  <r>
    <x v="39"/>
    <x v="0"/>
    <x v="124"/>
    <x v="3"/>
    <x v="1"/>
    <x v="3"/>
    <x v="763"/>
  </r>
  <r>
    <x v="37"/>
    <x v="0"/>
    <x v="56"/>
    <x v="0"/>
    <x v="1"/>
    <x v="2"/>
    <x v="764"/>
  </r>
  <r>
    <x v="42"/>
    <x v="1"/>
    <x v="243"/>
    <x v="1"/>
    <x v="1"/>
    <x v="0"/>
    <x v="765"/>
  </r>
  <r>
    <x v="44"/>
    <x v="0"/>
    <x v="358"/>
    <x v="1"/>
    <x v="1"/>
    <x v="0"/>
    <x v="766"/>
  </r>
  <r>
    <x v="33"/>
    <x v="0"/>
    <x v="376"/>
    <x v="0"/>
    <x v="1"/>
    <x v="0"/>
    <x v="767"/>
  </r>
  <r>
    <x v="25"/>
    <x v="0"/>
    <x v="417"/>
    <x v="3"/>
    <x v="1"/>
    <x v="2"/>
    <x v="768"/>
  </r>
  <r>
    <x v="35"/>
    <x v="1"/>
    <x v="374"/>
    <x v="2"/>
    <x v="1"/>
    <x v="0"/>
    <x v="769"/>
  </r>
  <r>
    <x v="31"/>
    <x v="0"/>
    <x v="418"/>
    <x v="3"/>
    <x v="1"/>
    <x v="0"/>
    <x v="770"/>
  </r>
  <r>
    <x v="36"/>
    <x v="0"/>
    <x v="238"/>
    <x v="0"/>
    <x v="1"/>
    <x v="3"/>
    <x v="771"/>
  </r>
  <r>
    <x v="0"/>
    <x v="0"/>
    <x v="4"/>
    <x v="0"/>
    <x v="0"/>
    <x v="2"/>
    <x v="772"/>
  </r>
  <r>
    <x v="24"/>
    <x v="1"/>
    <x v="206"/>
    <x v="3"/>
    <x v="1"/>
    <x v="2"/>
    <x v="773"/>
  </r>
  <r>
    <x v="43"/>
    <x v="1"/>
    <x v="230"/>
    <x v="2"/>
    <x v="1"/>
    <x v="1"/>
    <x v="774"/>
  </r>
  <r>
    <x v="29"/>
    <x v="1"/>
    <x v="243"/>
    <x v="3"/>
    <x v="1"/>
    <x v="2"/>
    <x v="775"/>
  </r>
  <r>
    <x v="39"/>
    <x v="1"/>
    <x v="77"/>
    <x v="0"/>
    <x v="1"/>
    <x v="3"/>
    <x v="776"/>
  </r>
  <r>
    <x v="22"/>
    <x v="1"/>
    <x v="419"/>
    <x v="2"/>
    <x v="1"/>
    <x v="1"/>
    <x v="777"/>
  </r>
  <r>
    <x v="31"/>
    <x v="1"/>
    <x v="4"/>
    <x v="0"/>
    <x v="1"/>
    <x v="2"/>
    <x v="778"/>
  </r>
  <r>
    <x v="15"/>
    <x v="1"/>
    <x v="420"/>
    <x v="2"/>
    <x v="0"/>
    <x v="0"/>
    <x v="779"/>
  </r>
  <r>
    <x v="1"/>
    <x v="1"/>
    <x v="421"/>
    <x v="0"/>
    <x v="1"/>
    <x v="1"/>
    <x v="780"/>
  </r>
  <r>
    <x v="43"/>
    <x v="1"/>
    <x v="233"/>
    <x v="1"/>
    <x v="1"/>
    <x v="1"/>
    <x v="781"/>
  </r>
  <r>
    <x v="45"/>
    <x v="0"/>
    <x v="244"/>
    <x v="1"/>
    <x v="0"/>
    <x v="0"/>
    <x v="782"/>
  </r>
  <r>
    <x v="5"/>
    <x v="0"/>
    <x v="245"/>
    <x v="1"/>
    <x v="1"/>
    <x v="1"/>
    <x v="783"/>
  </r>
  <r>
    <x v="22"/>
    <x v="0"/>
    <x v="224"/>
    <x v="2"/>
    <x v="1"/>
    <x v="0"/>
    <x v="784"/>
  </r>
  <r>
    <x v="8"/>
    <x v="1"/>
    <x v="55"/>
    <x v="0"/>
    <x v="1"/>
    <x v="3"/>
    <x v="785"/>
  </r>
  <r>
    <x v="27"/>
    <x v="1"/>
    <x v="350"/>
    <x v="0"/>
    <x v="1"/>
    <x v="2"/>
    <x v="786"/>
  </r>
  <r>
    <x v="38"/>
    <x v="1"/>
    <x v="422"/>
    <x v="2"/>
    <x v="1"/>
    <x v="3"/>
    <x v="787"/>
  </r>
  <r>
    <x v="10"/>
    <x v="0"/>
    <x v="96"/>
    <x v="0"/>
    <x v="1"/>
    <x v="1"/>
    <x v="788"/>
  </r>
  <r>
    <x v="46"/>
    <x v="0"/>
    <x v="423"/>
    <x v="0"/>
    <x v="1"/>
    <x v="1"/>
    <x v="789"/>
  </r>
  <r>
    <x v="0"/>
    <x v="1"/>
    <x v="244"/>
    <x v="0"/>
    <x v="1"/>
    <x v="0"/>
    <x v="790"/>
  </r>
  <r>
    <x v="20"/>
    <x v="0"/>
    <x v="247"/>
    <x v="0"/>
    <x v="1"/>
    <x v="3"/>
    <x v="791"/>
  </r>
  <r>
    <x v="31"/>
    <x v="1"/>
    <x v="192"/>
    <x v="0"/>
    <x v="0"/>
    <x v="1"/>
    <x v="792"/>
  </r>
  <r>
    <x v="46"/>
    <x v="0"/>
    <x v="23"/>
    <x v="3"/>
    <x v="1"/>
    <x v="2"/>
    <x v="793"/>
  </r>
  <r>
    <x v="13"/>
    <x v="1"/>
    <x v="70"/>
    <x v="0"/>
    <x v="0"/>
    <x v="2"/>
    <x v="794"/>
  </r>
  <r>
    <x v="15"/>
    <x v="1"/>
    <x v="333"/>
    <x v="3"/>
    <x v="1"/>
    <x v="1"/>
    <x v="795"/>
  </r>
  <r>
    <x v="15"/>
    <x v="0"/>
    <x v="83"/>
    <x v="1"/>
    <x v="1"/>
    <x v="3"/>
    <x v="796"/>
  </r>
  <r>
    <x v="30"/>
    <x v="0"/>
    <x v="291"/>
    <x v="0"/>
    <x v="1"/>
    <x v="0"/>
    <x v="797"/>
  </r>
  <r>
    <x v="3"/>
    <x v="1"/>
    <x v="88"/>
    <x v="0"/>
    <x v="0"/>
    <x v="3"/>
    <x v="798"/>
  </r>
  <r>
    <x v="44"/>
    <x v="0"/>
    <x v="424"/>
    <x v="1"/>
    <x v="1"/>
    <x v="1"/>
    <x v="799"/>
  </r>
  <r>
    <x v="33"/>
    <x v="0"/>
    <x v="233"/>
    <x v="0"/>
    <x v="1"/>
    <x v="1"/>
    <x v="800"/>
  </r>
  <r>
    <x v="27"/>
    <x v="1"/>
    <x v="169"/>
    <x v="1"/>
    <x v="1"/>
    <x v="0"/>
    <x v="801"/>
  </r>
  <r>
    <x v="1"/>
    <x v="0"/>
    <x v="425"/>
    <x v="0"/>
    <x v="0"/>
    <x v="1"/>
    <x v="802"/>
  </r>
  <r>
    <x v="11"/>
    <x v="1"/>
    <x v="426"/>
    <x v="0"/>
    <x v="1"/>
    <x v="1"/>
    <x v="803"/>
  </r>
  <r>
    <x v="39"/>
    <x v="0"/>
    <x v="427"/>
    <x v="0"/>
    <x v="1"/>
    <x v="2"/>
    <x v="804"/>
  </r>
  <r>
    <x v="29"/>
    <x v="0"/>
    <x v="428"/>
    <x v="1"/>
    <x v="1"/>
    <x v="2"/>
    <x v="805"/>
  </r>
  <r>
    <x v="0"/>
    <x v="0"/>
    <x v="429"/>
    <x v="0"/>
    <x v="1"/>
    <x v="2"/>
    <x v="806"/>
  </r>
  <r>
    <x v="1"/>
    <x v="1"/>
    <x v="307"/>
    <x v="0"/>
    <x v="1"/>
    <x v="1"/>
    <x v="807"/>
  </r>
  <r>
    <x v="9"/>
    <x v="1"/>
    <x v="9"/>
    <x v="1"/>
    <x v="1"/>
    <x v="3"/>
    <x v="808"/>
  </r>
  <r>
    <x v="6"/>
    <x v="0"/>
    <x v="43"/>
    <x v="2"/>
    <x v="1"/>
    <x v="0"/>
    <x v="809"/>
  </r>
  <r>
    <x v="3"/>
    <x v="0"/>
    <x v="430"/>
    <x v="2"/>
    <x v="1"/>
    <x v="2"/>
    <x v="810"/>
  </r>
  <r>
    <x v="40"/>
    <x v="1"/>
    <x v="431"/>
    <x v="3"/>
    <x v="1"/>
    <x v="1"/>
    <x v="811"/>
  </r>
  <r>
    <x v="2"/>
    <x v="1"/>
    <x v="422"/>
    <x v="3"/>
    <x v="1"/>
    <x v="3"/>
    <x v="812"/>
  </r>
  <r>
    <x v="26"/>
    <x v="1"/>
    <x v="53"/>
    <x v="3"/>
    <x v="1"/>
    <x v="1"/>
    <x v="813"/>
  </r>
  <r>
    <x v="34"/>
    <x v="0"/>
    <x v="262"/>
    <x v="0"/>
    <x v="1"/>
    <x v="1"/>
    <x v="814"/>
  </r>
  <r>
    <x v="23"/>
    <x v="0"/>
    <x v="432"/>
    <x v="0"/>
    <x v="1"/>
    <x v="2"/>
    <x v="815"/>
  </r>
  <r>
    <x v="11"/>
    <x v="1"/>
    <x v="109"/>
    <x v="2"/>
    <x v="1"/>
    <x v="0"/>
    <x v="816"/>
  </r>
  <r>
    <x v="42"/>
    <x v="0"/>
    <x v="388"/>
    <x v="1"/>
    <x v="0"/>
    <x v="3"/>
    <x v="817"/>
  </r>
  <r>
    <x v="3"/>
    <x v="0"/>
    <x v="76"/>
    <x v="0"/>
    <x v="0"/>
    <x v="2"/>
    <x v="818"/>
  </r>
  <r>
    <x v="39"/>
    <x v="1"/>
    <x v="175"/>
    <x v="1"/>
    <x v="1"/>
    <x v="0"/>
    <x v="819"/>
  </r>
  <r>
    <x v="21"/>
    <x v="1"/>
    <x v="433"/>
    <x v="0"/>
    <x v="1"/>
    <x v="2"/>
    <x v="820"/>
  </r>
  <r>
    <x v="1"/>
    <x v="0"/>
    <x v="360"/>
    <x v="0"/>
    <x v="1"/>
    <x v="1"/>
    <x v="821"/>
  </r>
  <r>
    <x v="36"/>
    <x v="0"/>
    <x v="382"/>
    <x v="3"/>
    <x v="1"/>
    <x v="1"/>
    <x v="822"/>
  </r>
  <r>
    <x v="8"/>
    <x v="1"/>
    <x v="200"/>
    <x v="0"/>
    <x v="1"/>
    <x v="2"/>
    <x v="823"/>
  </r>
  <r>
    <x v="33"/>
    <x v="0"/>
    <x v="56"/>
    <x v="3"/>
    <x v="1"/>
    <x v="3"/>
    <x v="824"/>
  </r>
  <r>
    <x v="12"/>
    <x v="1"/>
    <x v="211"/>
    <x v="3"/>
    <x v="0"/>
    <x v="1"/>
    <x v="825"/>
  </r>
  <r>
    <x v="26"/>
    <x v="1"/>
    <x v="24"/>
    <x v="1"/>
    <x v="0"/>
    <x v="3"/>
    <x v="826"/>
  </r>
  <r>
    <x v="24"/>
    <x v="1"/>
    <x v="16"/>
    <x v="2"/>
    <x v="0"/>
    <x v="3"/>
    <x v="827"/>
  </r>
  <r>
    <x v="46"/>
    <x v="1"/>
    <x v="361"/>
    <x v="1"/>
    <x v="1"/>
    <x v="2"/>
    <x v="828"/>
  </r>
  <r>
    <x v="18"/>
    <x v="1"/>
    <x v="291"/>
    <x v="0"/>
    <x v="1"/>
    <x v="0"/>
    <x v="829"/>
  </r>
  <r>
    <x v="26"/>
    <x v="0"/>
    <x v="9"/>
    <x v="0"/>
    <x v="1"/>
    <x v="2"/>
    <x v="830"/>
  </r>
  <r>
    <x v="2"/>
    <x v="0"/>
    <x v="17"/>
    <x v="3"/>
    <x v="1"/>
    <x v="2"/>
    <x v="831"/>
  </r>
  <r>
    <x v="30"/>
    <x v="1"/>
    <x v="226"/>
    <x v="0"/>
    <x v="1"/>
    <x v="2"/>
    <x v="832"/>
  </r>
  <r>
    <x v="26"/>
    <x v="1"/>
    <x v="312"/>
    <x v="1"/>
    <x v="1"/>
    <x v="2"/>
    <x v="833"/>
  </r>
  <r>
    <x v="44"/>
    <x v="1"/>
    <x v="233"/>
    <x v="3"/>
    <x v="1"/>
    <x v="1"/>
    <x v="834"/>
  </r>
  <r>
    <x v="26"/>
    <x v="1"/>
    <x v="434"/>
    <x v="0"/>
    <x v="1"/>
    <x v="0"/>
    <x v="835"/>
  </r>
  <r>
    <x v="12"/>
    <x v="0"/>
    <x v="33"/>
    <x v="0"/>
    <x v="1"/>
    <x v="3"/>
    <x v="836"/>
  </r>
  <r>
    <x v="22"/>
    <x v="0"/>
    <x v="352"/>
    <x v="3"/>
    <x v="1"/>
    <x v="3"/>
    <x v="837"/>
  </r>
  <r>
    <x v="17"/>
    <x v="0"/>
    <x v="112"/>
    <x v="0"/>
    <x v="1"/>
    <x v="2"/>
    <x v="838"/>
  </r>
  <r>
    <x v="27"/>
    <x v="1"/>
    <x v="435"/>
    <x v="0"/>
    <x v="1"/>
    <x v="0"/>
    <x v="839"/>
  </r>
  <r>
    <x v="17"/>
    <x v="1"/>
    <x v="62"/>
    <x v="0"/>
    <x v="1"/>
    <x v="3"/>
    <x v="840"/>
  </r>
  <r>
    <x v="11"/>
    <x v="0"/>
    <x v="436"/>
    <x v="3"/>
    <x v="0"/>
    <x v="1"/>
    <x v="841"/>
  </r>
  <r>
    <x v="37"/>
    <x v="0"/>
    <x v="382"/>
    <x v="0"/>
    <x v="0"/>
    <x v="1"/>
    <x v="842"/>
  </r>
  <r>
    <x v="31"/>
    <x v="1"/>
    <x v="131"/>
    <x v="0"/>
    <x v="1"/>
    <x v="3"/>
    <x v="843"/>
  </r>
  <r>
    <x v="8"/>
    <x v="0"/>
    <x v="437"/>
    <x v="0"/>
    <x v="0"/>
    <x v="1"/>
    <x v="844"/>
  </r>
  <r>
    <x v="43"/>
    <x v="0"/>
    <x v="206"/>
    <x v="1"/>
    <x v="1"/>
    <x v="0"/>
    <x v="845"/>
  </r>
  <r>
    <x v="11"/>
    <x v="1"/>
    <x v="438"/>
    <x v="1"/>
    <x v="1"/>
    <x v="1"/>
    <x v="846"/>
  </r>
  <r>
    <x v="13"/>
    <x v="0"/>
    <x v="390"/>
    <x v="0"/>
    <x v="1"/>
    <x v="0"/>
    <x v="847"/>
  </r>
  <r>
    <x v="19"/>
    <x v="1"/>
    <x v="27"/>
    <x v="0"/>
    <x v="1"/>
    <x v="2"/>
    <x v="848"/>
  </r>
  <r>
    <x v="7"/>
    <x v="0"/>
    <x v="16"/>
    <x v="0"/>
    <x v="0"/>
    <x v="3"/>
    <x v="849"/>
  </r>
  <r>
    <x v="35"/>
    <x v="1"/>
    <x v="243"/>
    <x v="3"/>
    <x v="1"/>
    <x v="2"/>
    <x v="850"/>
  </r>
  <r>
    <x v="6"/>
    <x v="0"/>
    <x v="76"/>
    <x v="0"/>
    <x v="0"/>
    <x v="3"/>
    <x v="851"/>
  </r>
  <r>
    <x v="31"/>
    <x v="0"/>
    <x v="110"/>
    <x v="3"/>
    <x v="1"/>
    <x v="3"/>
    <x v="852"/>
  </r>
  <r>
    <x v="41"/>
    <x v="0"/>
    <x v="17"/>
    <x v="2"/>
    <x v="0"/>
    <x v="3"/>
    <x v="853"/>
  </r>
  <r>
    <x v="34"/>
    <x v="0"/>
    <x v="303"/>
    <x v="0"/>
    <x v="1"/>
    <x v="0"/>
    <x v="854"/>
  </r>
  <r>
    <x v="28"/>
    <x v="0"/>
    <x v="293"/>
    <x v="0"/>
    <x v="0"/>
    <x v="1"/>
    <x v="855"/>
  </r>
  <r>
    <x v="9"/>
    <x v="1"/>
    <x v="134"/>
    <x v="0"/>
    <x v="0"/>
    <x v="2"/>
    <x v="856"/>
  </r>
  <r>
    <x v="9"/>
    <x v="0"/>
    <x v="166"/>
    <x v="1"/>
    <x v="1"/>
    <x v="1"/>
    <x v="857"/>
  </r>
  <r>
    <x v="37"/>
    <x v="1"/>
    <x v="71"/>
    <x v="0"/>
    <x v="1"/>
    <x v="0"/>
    <x v="858"/>
  </r>
  <r>
    <x v="7"/>
    <x v="0"/>
    <x v="439"/>
    <x v="3"/>
    <x v="0"/>
    <x v="0"/>
    <x v="859"/>
  </r>
  <r>
    <x v="25"/>
    <x v="0"/>
    <x v="52"/>
    <x v="2"/>
    <x v="1"/>
    <x v="0"/>
    <x v="860"/>
  </r>
  <r>
    <x v="19"/>
    <x v="0"/>
    <x v="371"/>
    <x v="3"/>
    <x v="1"/>
    <x v="2"/>
    <x v="861"/>
  </r>
  <r>
    <x v="26"/>
    <x v="0"/>
    <x v="269"/>
    <x v="0"/>
    <x v="1"/>
    <x v="3"/>
    <x v="862"/>
  </r>
  <r>
    <x v="43"/>
    <x v="1"/>
    <x v="440"/>
    <x v="0"/>
    <x v="1"/>
    <x v="0"/>
    <x v="863"/>
  </r>
  <r>
    <x v="29"/>
    <x v="1"/>
    <x v="441"/>
    <x v="3"/>
    <x v="1"/>
    <x v="0"/>
    <x v="864"/>
  </r>
  <r>
    <x v="1"/>
    <x v="1"/>
    <x v="348"/>
    <x v="0"/>
    <x v="1"/>
    <x v="1"/>
    <x v="865"/>
  </r>
  <r>
    <x v="37"/>
    <x v="1"/>
    <x v="442"/>
    <x v="1"/>
    <x v="1"/>
    <x v="0"/>
    <x v="866"/>
  </r>
  <r>
    <x v="35"/>
    <x v="1"/>
    <x v="367"/>
    <x v="0"/>
    <x v="1"/>
    <x v="3"/>
    <x v="867"/>
  </r>
  <r>
    <x v="9"/>
    <x v="0"/>
    <x v="210"/>
    <x v="2"/>
    <x v="1"/>
    <x v="0"/>
    <x v="868"/>
  </r>
  <r>
    <x v="45"/>
    <x v="1"/>
    <x v="391"/>
    <x v="0"/>
    <x v="1"/>
    <x v="0"/>
    <x v="869"/>
  </r>
  <r>
    <x v="21"/>
    <x v="0"/>
    <x v="364"/>
    <x v="1"/>
    <x v="1"/>
    <x v="1"/>
    <x v="870"/>
  </r>
  <r>
    <x v="44"/>
    <x v="1"/>
    <x v="443"/>
    <x v="0"/>
    <x v="1"/>
    <x v="1"/>
    <x v="871"/>
  </r>
  <r>
    <x v="32"/>
    <x v="1"/>
    <x v="406"/>
    <x v="1"/>
    <x v="1"/>
    <x v="0"/>
    <x v="872"/>
  </r>
  <r>
    <x v="36"/>
    <x v="1"/>
    <x v="361"/>
    <x v="2"/>
    <x v="1"/>
    <x v="3"/>
    <x v="873"/>
  </r>
  <r>
    <x v="11"/>
    <x v="0"/>
    <x v="213"/>
    <x v="0"/>
    <x v="1"/>
    <x v="2"/>
    <x v="874"/>
  </r>
  <r>
    <x v="41"/>
    <x v="0"/>
    <x v="416"/>
    <x v="1"/>
    <x v="1"/>
    <x v="0"/>
    <x v="875"/>
  </r>
  <r>
    <x v="3"/>
    <x v="1"/>
    <x v="6"/>
    <x v="4"/>
    <x v="1"/>
    <x v="1"/>
    <x v="876"/>
  </r>
  <r>
    <x v="24"/>
    <x v="1"/>
    <x v="444"/>
    <x v="1"/>
    <x v="1"/>
    <x v="0"/>
    <x v="877"/>
  </r>
  <r>
    <x v="7"/>
    <x v="0"/>
    <x v="445"/>
    <x v="3"/>
    <x v="1"/>
    <x v="0"/>
    <x v="878"/>
  </r>
  <r>
    <x v="20"/>
    <x v="1"/>
    <x v="82"/>
    <x v="2"/>
    <x v="1"/>
    <x v="0"/>
    <x v="879"/>
  </r>
  <r>
    <x v="11"/>
    <x v="1"/>
    <x v="60"/>
    <x v="1"/>
    <x v="1"/>
    <x v="2"/>
    <x v="880"/>
  </r>
  <r>
    <x v="27"/>
    <x v="0"/>
    <x v="188"/>
    <x v="0"/>
    <x v="1"/>
    <x v="3"/>
    <x v="881"/>
  </r>
  <r>
    <x v="43"/>
    <x v="0"/>
    <x v="44"/>
    <x v="2"/>
    <x v="0"/>
    <x v="3"/>
    <x v="882"/>
  </r>
  <r>
    <x v="9"/>
    <x v="1"/>
    <x v="301"/>
    <x v="5"/>
    <x v="1"/>
    <x v="2"/>
    <x v="883"/>
  </r>
  <r>
    <x v="4"/>
    <x v="1"/>
    <x v="329"/>
    <x v="1"/>
    <x v="0"/>
    <x v="1"/>
    <x v="884"/>
  </r>
  <r>
    <x v="37"/>
    <x v="1"/>
    <x v="111"/>
    <x v="0"/>
    <x v="0"/>
    <x v="3"/>
    <x v="885"/>
  </r>
  <r>
    <x v="26"/>
    <x v="0"/>
    <x v="190"/>
    <x v="0"/>
    <x v="1"/>
    <x v="2"/>
    <x v="886"/>
  </r>
  <r>
    <x v="20"/>
    <x v="1"/>
    <x v="318"/>
    <x v="0"/>
    <x v="1"/>
    <x v="0"/>
    <x v="887"/>
  </r>
  <r>
    <x v="37"/>
    <x v="1"/>
    <x v="51"/>
    <x v="1"/>
    <x v="1"/>
    <x v="2"/>
    <x v="888"/>
  </r>
  <r>
    <x v="33"/>
    <x v="0"/>
    <x v="78"/>
    <x v="0"/>
    <x v="0"/>
    <x v="2"/>
    <x v="889"/>
  </r>
  <r>
    <x v="26"/>
    <x v="0"/>
    <x v="446"/>
    <x v="5"/>
    <x v="1"/>
    <x v="1"/>
    <x v="890"/>
  </r>
  <r>
    <x v="40"/>
    <x v="1"/>
    <x v="167"/>
    <x v="0"/>
    <x v="1"/>
    <x v="3"/>
    <x v="891"/>
  </r>
  <r>
    <x v="42"/>
    <x v="1"/>
    <x v="447"/>
    <x v="3"/>
    <x v="0"/>
    <x v="1"/>
    <x v="892"/>
  </r>
  <r>
    <x v="10"/>
    <x v="1"/>
    <x v="159"/>
    <x v="0"/>
    <x v="1"/>
    <x v="3"/>
    <x v="893"/>
  </r>
  <r>
    <x v="35"/>
    <x v="0"/>
    <x v="448"/>
    <x v="0"/>
    <x v="1"/>
    <x v="0"/>
    <x v="894"/>
  </r>
  <r>
    <x v="32"/>
    <x v="0"/>
    <x v="449"/>
    <x v="3"/>
    <x v="0"/>
    <x v="3"/>
    <x v="895"/>
  </r>
  <r>
    <x v="0"/>
    <x v="1"/>
    <x v="122"/>
    <x v="1"/>
    <x v="1"/>
    <x v="2"/>
    <x v="896"/>
  </r>
  <r>
    <x v="1"/>
    <x v="0"/>
    <x v="362"/>
    <x v="0"/>
    <x v="1"/>
    <x v="1"/>
    <x v="897"/>
  </r>
  <r>
    <x v="0"/>
    <x v="0"/>
    <x v="422"/>
    <x v="0"/>
    <x v="1"/>
    <x v="2"/>
    <x v="898"/>
  </r>
  <r>
    <x v="41"/>
    <x v="1"/>
    <x v="422"/>
    <x v="0"/>
    <x v="1"/>
    <x v="3"/>
    <x v="899"/>
  </r>
  <r>
    <x v="8"/>
    <x v="1"/>
    <x v="450"/>
    <x v="0"/>
    <x v="0"/>
    <x v="1"/>
    <x v="900"/>
  </r>
  <r>
    <x v="21"/>
    <x v="1"/>
    <x v="288"/>
    <x v="2"/>
    <x v="1"/>
    <x v="3"/>
    <x v="901"/>
  </r>
  <r>
    <x v="41"/>
    <x v="1"/>
    <x v="139"/>
    <x v="0"/>
    <x v="1"/>
    <x v="1"/>
    <x v="902"/>
  </r>
  <r>
    <x v="8"/>
    <x v="0"/>
    <x v="451"/>
    <x v="0"/>
    <x v="1"/>
    <x v="0"/>
    <x v="903"/>
  </r>
  <r>
    <x v="21"/>
    <x v="0"/>
    <x v="452"/>
    <x v="3"/>
    <x v="1"/>
    <x v="3"/>
    <x v="904"/>
  </r>
  <r>
    <x v="13"/>
    <x v="1"/>
    <x v="453"/>
    <x v="2"/>
    <x v="1"/>
    <x v="3"/>
    <x v="905"/>
  </r>
  <r>
    <x v="36"/>
    <x v="0"/>
    <x v="454"/>
    <x v="1"/>
    <x v="1"/>
    <x v="1"/>
    <x v="906"/>
  </r>
  <r>
    <x v="18"/>
    <x v="1"/>
    <x v="455"/>
    <x v="2"/>
    <x v="1"/>
    <x v="0"/>
    <x v="907"/>
  </r>
  <r>
    <x v="4"/>
    <x v="0"/>
    <x v="15"/>
    <x v="0"/>
    <x v="0"/>
    <x v="0"/>
    <x v="908"/>
  </r>
  <r>
    <x v="20"/>
    <x v="1"/>
    <x v="33"/>
    <x v="1"/>
    <x v="1"/>
    <x v="2"/>
    <x v="909"/>
  </r>
  <r>
    <x v="1"/>
    <x v="1"/>
    <x v="294"/>
    <x v="0"/>
    <x v="0"/>
    <x v="3"/>
    <x v="910"/>
  </r>
  <r>
    <x v="17"/>
    <x v="0"/>
    <x v="301"/>
    <x v="2"/>
    <x v="1"/>
    <x v="2"/>
    <x v="911"/>
  </r>
  <r>
    <x v="36"/>
    <x v="0"/>
    <x v="97"/>
    <x v="1"/>
    <x v="1"/>
    <x v="0"/>
    <x v="912"/>
  </r>
  <r>
    <x v="3"/>
    <x v="1"/>
    <x v="456"/>
    <x v="3"/>
    <x v="1"/>
    <x v="2"/>
    <x v="913"/>
  </r>
  <r>
    <x v="23"/>
    <x v="0"/>
    <x v="457"/>
    <x v="0"/>
    <x v="1"/>
    <x v="1"/>
    <x v="914"/>
  </r>
  <r>
    <x v="32"/>
    <x v="0"/>
    <x v="78"/>
    <x v="0"/>
    <x v="0"/>
    <x v="2"/>
    <x v="915"/>
  </r>
  <r>
    <x v="39"/>
    <x v="1"/>
    <x v="83"/>
    <x v="0"/>
    <x v="0"/>
    <x v="3"/>
    <x v="916"/>
  </r>
  <r>
    <x v="35"/>
    <x v="0"/>
    <x v="458"/>
    <x v="0"/>
    <x v="1"/>
    <x v="0"/>
    <x v="917"/>
  </r>
  <r>
    <x v="22"/>
    <x v="0"/>
    <x v="194"/>
    <x v="1"/>
    <x v="1"/>
    <x v="1"/>
    <x v="918"/>
  </r>
  <r>
    <x v="10"/>
    <x v="0"/>
    <x v="459"/>
    <x v="0"/>
    <x v="1"/>
    <x v="0"/>
    <x v="919"/>
  </r>
  <r>
    <x v="10"/>
    <x v="0"/>
    <x v="460"/>
    <x v="0"/>
    <x v="1"/>
    <x v="0"/>
    <x v="920"/>
  </r>
  <r>
    <x v="25"/>
    <x v="1"/>
    <x v="332"/>
    <x v="1"/>
    <x v="1"/>
    <x v="0"/>
    <x v="921"/>
  </r>
  <r>
    <x v="16"/>
    <x v="1"/>
    <x v="427"/>
    <x v="0"/>
    <x v="1"/>
    <x v="2"/>
    <x v="922"/>
  </r>
  <r>
    <x v="32"/>
    <x v="1"/>
    <x v="461"/>
    <x v="0"/>
    <x v="1"/>
    <x v="0"/>
    <x v="923"/>
  </r>
  <r>
    <x v="45"/>
    <x v="1"/>
    <x v="159"/>
    <x v="3"/>
    <x v="1"/>
    <x v="3"/>
    <x v="924"/>
  </r>
  <r>
    <x v="0"/>
    <x v="0"/>
    <x v="305"/>
    <x v="3"/>
    <x v="1"/>
    <x v="0"/>
    <x v="925"/>
  </r>
  <r>
    <x v="37"/>
    <x v="0"/>
    <x v="462"/>
    <x v="1"/>
    <x v="1"/>
    <x v="0"/>
    <x v="926"/>
  </r>
  <r>
    <x v="10"/>
    <x v="0"/>
    <x v="287"/>
    <x v="0"/>
    <x v="1"/>
    <x v="1"/>
    <x v="927"/>
  </r>
  <r>
    <x v="24"/>
    <x v="1"/>
    <x v="194"/>
    <x v="1"/>
    <x v="1"/>
    <x v="1"/>
    <x v="928"/>
  </r>
  <r>
    <x v="21"/>
    <x v="1"/>
    <x v="306"/>
    <x v="1"/>
    <x v="1"/>
    <x v="1"/>
    <x v="929"/>
  </r>
  <r>
    <x v="46"/>
    <x v="0"/>
    <x v="463"/>
    <x v="1"/>
    <x v="1"/>
    <x v="0"/>
    <x v="930"/>
  </r>
  <r>
    <x v="6"/>
    <x v="1"/>
    <x v="335"/>
    <x v="4"/>
    <x v="1"/>
    <x v="0"/>
    <x v="931"/>
  </r>
  <r>
    <x v="39"/>
    <x v="0"/>
    <x v="19"/>
    <x v="0"/>
    <x v="1"/>
    <x v="0"/>
    <x v="932"/>
  </r>
  <r>
    <x v="4"/>
    <x v="1"/>
    <x v="464"/>
    <x v="3"/>
    <x v="1"/>
    <x v="1"/>
    <x v="933"/>
  </r>
  <r>
    <x v="17"/>
    <x v="0"/>
    <x v="97"/>
    <x v="0"/>
    <x v="1"/>
    <x v="0"/>
    <x v="934"/>
  </r>
  <r>
    <x v="36"/>
    <x v="1"/>
    <x v="129"/>
    <x v="3"/>
    <x v="1"/>
    <x v="3"/>
    <x v="935"/>
  </r>
  <r>
    <x v="46"/>
    <x v="0"/>
    <x v="432"/>
    <x v="4"/>
    <x v="1"/>
    <x v="2"/>
    <x v="936"/>
  </r>
  <r>
    <x v="1"/>
    <x v="1"/>
    <x v="424"/>
    <x v="3"/>
    <x v="1"/>
    <x v="1"/>
    <x v="937"/>
  </r>
  <r>
    <x v="31"/>
    <x v="1"/>
    <x v="364"/>
    <x v="0"/>
    <x v="1"/>
    <x v="1"/>
    <x v="938"/>
  </r>
  <r>
    <x v="1"/>
    <x v="1"/>
    <x v="174"/>
    <x v="0"/>
    <x v="1"/>
    <x v="1"/>
    <x v="939"/>
  </r>
  <r>
    <x v="45"/>
    <x v="0"/>
    <x v="465"/>
    <x v="1"/>
    <x v="1"/>
    <x v="1"/>
    <x v="940"/>
  </r>
  <r>
    <x v="1"/>
    <x v="0"/>
    <x v="392"/>
    <x v="0"/>
    <x v="1"/>
    <x v="3"/>
    <x v="941"/>
  </r>
  <r>
    <x v="0"/>
    <x v="1"/>
    <x v="227"/>
    <x v="0"/>
    <x v="1"/>
    <x v="2"/>
    <x v="942"/>
  </r>
  <r>
    <x v="10"/>
    <x v="1"/>
    <x v="466"/>
    <x v="0"/>
    <x v="1"/>
    <x v="1"/>
    <x v="943"/>
  </r>
  <r>
    <x v="12"/>
    <x v="0"/>
    <x v="467"/>
    <x v="1"/>
    <x v="1"/>
    <x v="0"/>
    <x v="944"/>
  </r>
  <r>
    <x v="44"/>
    <x v="1"/>
    <x v="467"/>
    <x v="3"/>
    <x v="1"/>
    <x v="0"/>
    <x v="945"/>
  </r>
  <r>
    <x v="7"/>
    <x v="1"/>
    <x v="206"/>
    <x v="1"/>
    <x v="0"/>
    <x v="3"/>
    <x v="946"/>
  </r>
  <r>
    <x v="44"/>
    <x v="1"/>
    <x v="468"/>
    <x v="0"/>
    <x v="1"/>
    <x v="2"/>
    <x v="947"/>
  </r>
  <r>
    <x v="9"/>
    <x v="1"/>
    <x v="102"/>
    <x v="2"/>
    <x v="0"/>
    <x v="0"/>
    <x v="948"/>
  </r>
  <r>
    <x v="37"/>
    <x v="1"/>
    <x v="469"/>
    <x v="0"/>
    <x v="1"/>
    <x v="3"/>
    <x v="949"/>
  </r>
  <r>
    <x v="43"/>
    <x v="1"/>
    <x v="470"/>
    <x v="3"/>
    <x v="0"/>
    <x v="1"/>
    <x v="950"/>
  </r>
  <r>
    <x v="15"/>
    <x v="0"/>
    <x v="403"/>
    <x v="1"/>
    <x v="1"/>
    <x v="2"/>
    <x v="951"/>
  </r>
  <r>
    <x v="36"/>
    <x v="1"/>
    <x v="204"/>
    <x v="3"/>
    <x v="0"/>
    <x v="0"/>
    <x v="952"/>
  </r>
  <r>
    <x v="16"/>
    <x v="1"/>
    <x v="152"/>
    <x v="1"/>
    <x v="0"/>
    <x v="2"/>
    <x v="953"/>
  </r>
  <r>
    <x v="5"/>
    <x v="1"/>
    <x v="87"/>
    <x v="1"/>
    <x v="1"/>
    <x v="1"/>
    <x v="954"/>
  </r>
  <r>
    <x v="40"/>
    <x v="1"/>
    <x v="43"/>
    <x v="1"/>
    <x v="0"/>
    <x v="1"/>
    <x v="955"/>
  </r>
  <r>
    <x v="23"/>
    <x v="1"/>
    <x v="471"/>
    <x v="1"/>
    <x v="1"/>
    <x v="2"/>
    <x v="956"/>
  </r>
  <r>
    <x v="32"/>
    <x v="1"/>
    <x v="379"/>
    <x v="1"/>
    <x v="0"/>
    <x v="3"/>
    <x v="957"/>
  </r>
  <r>
    <x v="28"/>
    <x v="1"/>
    <x v="38"/>
    <x v="1"/>
    <x v="1"/>
    <x v="2"/>
    <x v="958"/>
  </r>
  <r>
    <x v="0"/>
    <x v="0"/>
    <x v="472"/>
    <x v="1"/>
    <x v="1"/>
    <x v="2"/>
    <x v="959"/>
  </r>
  <r>
    <x v="38"/>
    <x v="0"/>
    <x v="473"/>
    <x v="0"/>
    <x v="1"/>
    <x v="0"/>
    <x v="960"/>
  </r>
  <r>
    <x v="18"/>
    <x v="0"/>
    <x v="49"/>
    <x v="1"/>
    <x v="1"/>
    <x v="1"/>
    <x v="961"/>
  </r>
  <r>
    <x v="6"/>
    <x v="1"/>
    <x v="88"/>
    <x v="2"/>
    <x v="1"/>
    <x v="3"/>
    <x v="962"/>
  </r>
  <r>
    <x v="14"/>
    <x v="1"/>
    <x v="219"/>
    <x v="3"/>
    <x v="1"/>
    <x v="2"/>
    <x v="963"/>
  </r>
  <r>
    <x v="22"/>
    <x v="1"/>
    <x v="416"/>
    <x v="1"/>
    <x v="1"/>
    <x v="0"/>
    <x v="964"/>
  </r>
  <r>
    <x v="43"/>
    <x v="1"/>
    <x v="88"/>
    <x v="3"/>
    <x v="0"/>
    <x v="2"/>
    <x v="965"/>
  </r>
  <r>
    <x v="36"/>
    <x v="1"/>
    <x v="195"/>
    <x v="1"/>
    <x v="1"/>
    <x v="2"/>
    <x v="966"/>
  </r>
  <r>
    <x v="27"/>
    <x v="1"/>
    <x v="474"/>
    <x v="3"/>
    <x v="1"/>
    <x v="3"/>
    <x v="967"/>
  </r>
  <r>
    <x v="46"/>
    <x v="0"/>
    <x v="419"/>
    <x v="4"/>
    <x v="1"/>
    <x v="1"/>
    <x v="968"/>
  </r>
  <r>
    <x v="45"/>
    <x v="0"/>
    <x v="475"/>
    <x v="2"/>
    <x v="1"/>
    <x v="1"/>
    <x v="969"/>
  </r>
  <r>
    <x v="16"/>
    <x v="0"/>
    <x v="476"/>
    <x v="0"/>
    <x v="1"/>
    <x v="3"/>
    <x v="970"/>
  </r>
  <r>
    <x v="20"/>
    <x v="0"/>
    <x v="281"/>
    <x v="0"/>
    <x v="1"/>
    <x v="2"/>
    <x v="971"/>
  </r>
  <r>
    <x v="0"/>
    <x v="0"/>
    <x v="477"/>
    <x v="0"/>
    <x v="1"/>
    <x v="0"/>
    <x v="972"/>
  </r>
  <r>
    <x v="21"/>
    <x v="1"/>
    <x v="478"/>
    <x v="0"/>
    <x v="1"/>
    <x v="1"/>
    <x v="973"/>
  </r>
  <r>
    <x v="38"/>
    <x v="1"/>
    <x v="83"/>
    <x v="0"/>
    <x v="0"/>
    <x v="3"/>
    <x v="974"/>
  </r>
  <r>
    <x v="28"/>
    <x v="1"/>
    <x v="196"/>
    <x v="0"/>
    <x v="1"/>
    <x v="1"/>
    <x v="975"/>
  </r>
  <r>
    <x v="21"/>
    <x v="1"/>
    <x v="410"/>
    <x v="1"/>
    <x v="1"/>
    <x v="1"/>
    <x v="976"/>
  </r>
  <r>
    <x v="39"/>
    <x v="0"/>
    <x v="479"/>
    <x v="2"/>
    <x v="1"/>
    <x v="3"/>
    <x v="977"/>
  </r>
  <r>
    <x v="26"/>
    <x v="0"/>
    <x v="96"/>
    <x v="0"/>
    <x v="1"/>
    <x v="1"/>
    <x v="978"/>
  </r>
  <r>
    <x v="40"/>
    <x v="1"/>
    <x v="94"/>
    <x v="1"/>
    <x v="1"/>
    <x v="3"/>
    <x v="979"/>
  </r>
  <r>
    <x v="16"/>
    <x v="1"/>
    <x v="383"/>
    <x v="0"/>
    <x v="1"/>
    <x v="3"/>
    <x v="980"/>
  </r>
  <r>
    <x v="5"/>
    <x v="1"/>
    <x v="473"/>
    <x v="2"/>
    <x v="0"/>
    <x v="0"/>
    <x v="981"/>
  </r>
  <r>
    <x v="13"/>
    <x v="0"/>
    <x v="162"/>
    <x v="1"/>
    <x v="1"/>
    <x v="3"/>
    <x v="982"/>
  </r>
  <r>
    <x v="34"/>
    <x v="1"/>
    <x v="95"/>
    <x v="4"/>
    <x v="1"/>
    <x v="3"/>
    <x v="983"/>
  </r>
  <r>
    <x v="36"/>
    <x v="0"/>
    <x v="335"/>
    <x v="1"/>
    <x v="1"/>
    <x v="0"/>
    <x v="984"/>
  </r>
  <r>
    <x v="32"/>
    <x v="1"/>
    <x v="95"/>
    <x v="2"/>
    <x v="1"/>
    <x v="2"/>
    <x v="985"/>
  </r>
  <r>
    <x v="39"/>
    <x v="0"/>
    <x v="215"/>
    <x v="1"/>
    <x v="1"/>
    <x v="2"/>
    <x v="986"/>
  </r>
  <r>
    <x v="16"/>
    <x v="1"/>
    <x v="480"/>
    <x v="0"/>
    <x v="1"/>
    <x v="3"/>
    <x v="987"/>
  </r>
  <r>
    <x v="23"/>
    <x v="0"/>
    <x v="481"/>
    <x v="0"/>
    <x v="0"/>
    <x v="3"/>
    <x v="988"/>
  </r>
  <r>
    <x v="21"/>
    <x v="0"/>
    <x v="202"/>
    <x v="1"/>
    <x v="1"/>
    <x v="0"/>
    <x v="989"/>
  </r>
  <r>
    <x v="25"/>
    <x v="0"/>
    <x v="152"/>
    <x v="3"/>
    <x v="1"/>
    <x v="3"/>
    <x v="990"/>
  </r>
  <r>
    <x v="45"/>
    <x v="0"/>
    <x v="93"/>
    <x v="3"/>
    <x v="1"/>
    <x v="0"/>
    <x v="991"/>
  </r>
  <r>
    <x v="25"/>
    <x v="1"/>
    <x v="356"/>
    <x v="1"/>
    <x v="1"/>
    <x v="1"/>
    <x v="992"/>
  </r>
  <r>
    <x v="13"/>
    <x v="0"/>
    <x v="449"/>
    <x v="2"/>
    <x v="0"/>
    <x v="2"/>
    <x v="993"/>
  </r>
  <r>
    <x v="46"/>
    <x v="0"/>
    <x v="482"/>
    <x v="2"/>
    <x v="1"/>
    <x v="3"/>
    <x v="994"/>
  </r>
  <r>
    <x v="46"/>
    <x v="0"/>
    <x v="22"/>
    <x v="2"/>
    <x v="1"/>
    <x v="0"/>
    <x v="995"/>
  </r>
  <r>
    <x v="18"/>
    <x v="0"/>
    <x v="139"/>
    <x v="0"/>
    <x v="1"/>
    <x v="1"/>
    <x v="996"/>
  </r>
  <r>
    <x v="3"/>
    <x v="0"/>
    <x v="483"/>
    <x v="2"/>
    <x v="1"/>
    <x v="3"/>
    <x v="997"/>
  </r>
  <r>
    <x v="26"/>
    <x v="0"/>
    <x v="78"/>
    <x v="0"/>
    <x v="1"/>
    <x v="2"/>
    <x v="998"/>
  </r>
  <r>
    <x v="15"/>
    <x v="1"/>
    <x v="223"/>
    <x v="3"/>
    <x v="0"/>
    <x v="2"/>
    <x v="999"/>
  </r>
  <r>
    <x v="23"/>
    <x v="1"/>
    <x v="484"/>
    <x v="0"/>
    <x v="0"/>
    <x v="0"/>
    <x v="1000"/>
  </r>
  <r>
    <x v="23"/>
    <x v="1"/>
    <x v="335"/>
    <x v="0"/>
    <x v="1"/>
    <x v="0"/>
    <x v="1001"/>
  </r>
  <r>
    <x v="28"/>
    <x v="1"/>
    <x v="303"/>
    <x v="0"/>
    <x v="1"/>
    <x v="0"/>
    <x v="1002"/>
  </r>
  <r>
    <x v="42"/>
    <x v="1"/>
    <x v="485"/>
    <x v="1"/>
    <x v="1"/>
    <x v="3"/>
    <x v="1003"/>
  </r>
  <r>
    <x v="38"/>
    <x v="1"/>
    <x v="294"/>
    <x v="3"/>
    <x v="1"/>
    <x v="2"/>
    <x v="1004"/>
  </r>
  <r>
    <x v="2"/>
    <x v="1"/>
    <x v="245"/>
    <x v="3"/>
    <x v="1"/>
    <x v="3"/>
    <x v="1005"/>
  </r>
  <r>
    <x v="42"/>
    <x v="1"/>
    <x v="143"/>
    <x v="2"/>
    <x v="0"/>
    <x v="2"/>
    <x v="1006"/>
  </r>
  <r>
    <x v="9"/>
    <x v="1"/>
    <x v="255"/>
    <x v="3"/>
    <x v="1"/>
    <x v="3"/>
    <x v="1007"/>
  </r>
  <r>
    <x v="43"/>
    <x v="1"/>
    <x v="7"/>
    <x v="1"/>
    <x v="1"/>
    <x v="3"/>
    <x v="1008"/>
  </r>
  <r>
    <x v="28"/>
    <x v="0"/>
    <x v="414"/>
    <x v="0"/>
    <x v="1"/>
    <x v="0"/>
    <x v="1009"/>
  </r>
  <r>
    <x v="32"/>
    <x v="1"/>
    <x v="486"/>
    <x v="3"/>
    <x v="0"/>
    <x v="1"/>
    <x v="1010"/>
  </r>
  <r>
    <x v="35"/>
    <x v="0"/>
    <x v="230"/>
    <x v="5"/>
    <x v="1"/>
    <x v="1"/>
    <x v="1011"/>
  </r>
  <r>
    <x v="28"/>
    <x v="1"/>
    <x v="243"/>
    <x v="1"/>
    <x v="1"/>
    <x v="2"/>
    <x v="1012"/>
  </r>
  <r>
    <x v="25"/>
    <x v="0"/>
    <x v="244"/>
    <x v="0"/>
    <x v="1"/>
    <x v="0"/>
    <x v="1013"/>
  </r>
  <r>
    <x v="17"/>
    <x v="1"/>
    <x v="94"/>
    <x v="0"/>
    <x v="1"/>
    <x v="2"/>
    <x v="1014"/>
  </r>
  <r>
    <x v="0"/>
    <x v="0"/>
    <x v="456"/>
    <x v="1"/>
    <x v="1"/>
    <x v="2"/>
    <x v="1015"/>
  </r>
  <r>
    <x v="21"/>
    <x v="0"/>
    <x v="206"/>
    <x v="3"/>
    <x v="1"/>
    <x v="0"/>
    <x v="1016"/>
  </r>
  <r>
    <x v="40"/>
    <x v="0"/>
    <x v="427"/>
    <x v="2"/>
    <x v="1"/>
    <x v="2"/>
    <x v="1017"/>
  </r>
  <r>
    <x v="27"/>
    <x v="0"/>
    <x v="297"/>
    <x v="3"/>
    <x v="1"/>
    <x v="2"/>
    <x v="1018"/>
  </r>
  <r>
    <x v="43"/>
    <x v="1"/>
    <x v="144"/>
    <x v="0"/>
    <x v="1"/>
    <x v="0"/>
    <x v="1019"/>
  </r>
  <r>
    <x v="20"/>
    <x v="0"/>
    <x v="270"/>
    <x v="2"/>
    <x v="0"/>
    <x v="1"/>
    <x v="1020"/>
  </r>
  <r>
    <x v="42"/>
    <x v="1"/>
    <x v="168"/>
    <x v="1"/>
    <x v="0"/>
    <x v="1"/>
    <x v="1021"/>
  </r>
  <r>
    <x v="1"/>
    <x v="1"/>
    <x v="487"/>
    <x v="1"/>
    <x v="1"/>
    <x v="1"/>
    <x v="1022"/>
  </r>
  <r>
    <x v="42"/>
    <x v="0"/>
    <x v="488"/>
    <x v="1"/>
    <x v="1"/>
    <x v="1"/>
    <x v="1023"/>
  </r>
  <r>
    <x v="27"/>
    <x v="0"/>
    <x v="489"/>
    <x v="0"/>
    <x v="1"/>
    <x v="0"/>
    <x v="1024"/>
  </r>
  <r>
    <x v="0"/>
    <x v="1"/>
    <x v="327"/>
    <x v="1"/>
    <x v="0"/>
    <x v="2"/>
    <x v="1025"/>
  </r>
  <r>
    <x v="11"/>
    <x v="1"/>
    <x v="490"/>
    <x v="0"/>
    <x v="1"/>
    <x v="2"/>
    <x v="1026"/>
  </r>
  <r>
    <x v="40"/>
    <x v="1"/>
    <x v="93"/>
    <x v="0"/>
    <x v="1"/>
    <x v="0"/>
    <x v="1027"/>
  </r>
  <r>
    <x v="7"/>
    <x v="0"/>
    <x v="193"/>
    <x v="3"/>
    <x v="1"/>
    <x v="3"/>
    <x v="1028"/>
  </r>
  <r>
    <x v="6"/>
    <x v="0"/>
    <x v="367"/>
    <x v="1"/>
    <x v="0"/>
    <x v="2"/>
    <x v="1029"/>
  </r>
  <r>
    <x v="19"/>
    <x v="0"/>
    <x v="49"/>
    <x v="0"/>
    <x v="0"/>
    <x v="1"/>
    <x v="1030"/>
  </r>
  <r>
    <x v="15"/>
    <x v="0"/>
    <x v="325"/>
    <x v="0"/>
    <x v="1"/>
    <x v="3"/>
    <x v="1031"/>
  </r>
  <r>
    <x v="1"/>
    <x v="1"/>
    <x v="491"/>
    <x v="0"/>
    <x v="0"/>
    <x v="3"/>
    <x v="1032"/>
  </r>
  <r>
    <x v="35"/>
    <x v="1"/>
    <x v="275"/>
    <x v="0"/>
    <x v="1"/>
    <x v="2"/>
    <x v="1033"/>
  </r>
  <r>
    <x v="40"/>
    <x v="0"/>
    <x v="492"/>
    <x v="2"/>
    <x v="1"/>
    <x v="0"/>
    <x v="1034"/>
  </r>
  <r>
    <x v="20"/>
    <x v="1"/>
    <x v="493"/>
    <x v="3"/>
    <x v="0"/>
    <x v="1"/>
    <x v="1035"/>
  </r>
  <r>
    <x v="39"/>
    <x v="0"/>
    <x v="131"/>
    <x v="1"/>
    <x v="0"/>
    <x v="2"/>
    <x v="1036"/>
  </r>
  <r>
    <x v="20"/>
    <x v="1"/>
    <x v="4"/>
    <x v="0"/>
    <x v="1"/>
    <x v="3"/>
    <x v="1037"/>
  </r>
  <r>
    <x v="0"/>
    <x v="1"/>
    <x v="288"/>
    <x v="3"/>
    <x v="1"/>
    <x v="2"/>
    <x v="1038"/>
  </r>
  <r>
    <x v="22"/>
    <x v="0"/>
    <x v="24"/>
    <x v="0"/>
    <x v="0"/>
    <x v="2"/>
    <x v="1039"/>
  </r>
  <r>
    <x v="1"/>
    <x v="1"/>
    <x v="26"/>
    <x v="0"/>
    <x v="1"/>
    <x v="3"/>
    <x v="1040"/>
  </r>
  <r>
    <x v="34"/>
    <x v="1"/>
    <x v="264"/>
    <x v="0"/>
    <x v="0"/>
    <x v="3"/>
    <x v="1041"/>
  </r>
  <r>
    <x v="2"/>
    <x v="0"/>
    <x v="335"/>
    <x v="0"/>
    <x v="1"/>
    <x v="0"/>
    <x v="1042"/>
  </r>
  <r>
    <x v="19"/>
    <x v="1"/>
    <x v="249"/>
    <x v="1"/>
    <x v="1"/>
    <x v="3"/>
    <x v="1043"/>
  </r>
  <r>
    <x v="32"/>
    <x v="0"/>
    <x v="62"/>
    <x v="3"/>
    <x v="0"/>
    <x v="2"/>
    <x v="1044"/>
  </r>
  <r>
    <x v="32"/>
    <x v="0"/>
    <x v="322"/>
    <x v="0"/>
    <x v="1"/>
    <x v="3"/>
    <x v="1045"/>
  </r>
  <r>
    <x v="20"/>
    <x v="1"/>
    <x v="494"/>
    <x v="1"/>
    <x v="0"/>
    <x v="1"/>
    <x v="1046"/>
  </r>
  <r>
    <x v="9"/>
    <x v="0"/>
    <x v="422"/>
    <x v="1"/>
    <x v="1"/>
    <x v="2"/>
    <x v="1047"/>
  </r>
  <r>
    <x v="41"/>
    <x v="1"/>
    <x v="157"/>
    <x v="0"/>
    <x v="0"/>
    <x v="0"/>
    <x v="1048"/>
  </r>
  <r>
    <x v="36"/>
    <x v="0"/>
    <x v="55"/>
    <x v="1"/>
    <x v="1"/>
    <x v="2"/>
    <x v="1049"/>
  </r>
  <r>
    <x v="33"/>
    <x v="1"/>
    <x v="154"/>
    <x v="0"/>
    <x v="1"/>
    <x v="3"/>
    <x v="1050"/>
  </r>
  <r>
    <x v="41"/>
    <x v="1"/>
    <x v="8"/>
    <x v="1"/>
    <x v="1"/>
    <x v="3"/>
    <x v="1051"/>
  </r>
  <r>
    <x v="42"/>
    <x v="1"/>
    <x v="141"/>
    <x v="2"/>
    <x v="0"/>
    <x v="0"/>
    <x v="1052"/>
  </r>
  <r>
    <x v="13"/>
    <x v="0"/>
    <x v="321"/>
    <x v="0"/>
    <x v="1"/>
    <x v="2"/>
    <x v="1053"/>
  </r>
  <r>
    <x v="19"/>
    <x v="1"/>
    <x v="215"/>
    <x v="0"/>
    <x v="1"/>
    <x v="2"/>
    <x v="1054"/>
  </r>
  <r>
    <x v="28"/>
    <x v="0"/>
    <x v="65"/>
    <x v="0"/>
    <x v="1"/>
    <x v="0"/>
    <x v="1055"/>
  </r>
  <r>
    <x v="39"/>
    <x v="0"/>
    <x v="211"/>
    <x v="0"/>
    <x v="1"/>
    <x v="1"/>
    <x v="1056"/>
  </r>
  <r>
    <x v="23"/>
    <x v="0"/>
    <x v="87"/>
    <x v="0"/>
    <x v="1"/>
    <x v="1"/>
    <x v="1057"/>
  </r>
  <r>
    <x v="4"/>
    <x v="1"/>
    <x v="312"/>
    <x v="1"/>
    <x v="1"/>
    <x v="2"/>
    <x v="1058"/>
  </r>
  <r>
    <x v="23"/>
    <x v="1"/>
    <x v="72"/>
    <x v="0"/>
    <x v="1"/>
    <x v="1"/>
    <x v="1059"/>
  </r>
  <r>
    <x v="37"/>
    <x v="1"/>
    <x v="100"/>
    <x v="1"/>
    <x v="1"/>
    <x v="1"/>
    <x v="1060"/>
  </r>
  <r>
    <x v="17"/>
    <x v="1"/>
    <x v="421"/>
    <x v="1"/>
    <x v="0"/>
    <x v="1"/>
    <x v="1061"/>
  </r>
  <r>
    <x v="26"/>
    <x v="1"/>
    <x v="105"/>
    <x v="2"/>
    <x v="1"/>
    <x v="2"/>
    <x v="1062"/>
  </r>
  <r>
    <x v="38"/>
    <x v="0"/>
    <x v="248"/>
    <x v="5"/>
    <x v="1"/>
    <x v="0"/>
    <x v="1063"/>
  </r>
  <r>
    <x v="44"/>
    <x v="0"/>
    <x v="128"/>
    <x v="1"/>
    <x v="1"/>
    <x v="0"/>
    <x v="1064"/>
  </r>
  <r>
    <x v="28"/>
    <x v="1"/>
    <x v="348"/>
    <x v="3"/>
    <x v="1"/>
    <x v="1"/>
    <x v="1065"/>
  </r>
  <r>
    <x v="46"/>
    <x v="1"/>
    <x v="495"/>
    <x v="0"/>
    <x v="1"/>
    <x v="3"/>
    <x v="1066"/>
  </r>
  <r>
    <x v="18"/>
    <x v="1"/>
    <x v="496"/>
    <x v="1"/>
    <x v="1"/>
    <x v="2"/>
    <x v="1067"/>
  </r>
  <r>
    <x v="40"/>
    <x v="0"/>
    <x v="125"/>
    <x v="1"/>
    <x v="1"/>
    <x v="1"/>
    <x v="1068"/>
  </r>
  <r>
    <x v="7"/>
    <x v="1"/>
    <x v="493"/>
    <x v="1"/>
    <x v="0"/>
    <x v="1"/>
    <x v="1069"/>
  </r>
  <r>
    <x v="18"/>
    <x v="1"/>
    <x v="268"/>
    <x v="0"/>
    <x v="1"/>
    <x v="3"/>
    <x v="1070"/>
  </r>
  <r>
    <x v="27"/>
    <x v="1"/>
    <x v="468"/>
    <x v="0"/>
    <x v="1"/>
    <x v="2"/>
    <x v="1071"/>
  </r>
  <r>
    <x v="40"/>
    <x v="0"/>
    <x v="4"/>
    <x v="3"/>
    <x v="1"/>
    <x v="3"/>
    <x v="1072"/>
  </r>
  <r>
    <x v="8"/>
    <x v="0"/>
    <x v="469"/>
    <x v="0"/>
    <x v="1"/>
    <x v="3"/>
    <x v="1073"/>
  </r>
  <r>
    <x v="4"/>
    <x v="0"/>
    <x v="75"/>
    <x v="1"/>
    <x v="1"/>
    <x v="1"/>
    <x v="1074"/>
  </r>
  <r>
    <x v="42"/>
    <x v="0"/>
    <x v="497"/>
    <x v="1"/>
    <x v="1"/>
    <x v="0"/>
    <x v="1075"/>
  </r>
  <r>
    <x v="27"/>
    <x v="1"/>
    <x v="327"/>
    <x v="0"/>
    <x v="1"/>
    <x v="3"/>
    <x v="1076"/>
  </r>
  <r>
    <x v="2"/>
    <x v="1"/>
    <x v="57"/>
    <x v="0"/>
    <x v="0"/>
    <x v="1"/>
    <x v="1077"/>
  </r>
  <r>
    <x v="18"/>
    <x v="1"/>
    <x v="61"/>
    <x v="2"/>
    <x v="1"/>
    <x v="1"/>
    <x v="1078"/>
  </r>
  <r>
    <x v="1"/>
    <x v="1"/>
    <x v="42"/>
    <x v="3"/>
    <x v="1"/>
    <x v="1"/>
    <x v="1079"/>
  </r>
  <r>
    <x v="4"/>
    <x v="1"/>
    <x v="152"/>
    <x v="1"/>
    <x v="1"/>
    <x v="2"/>
    <x v="1080"/>
  </r>
  <r>
    <x v="25"/>
    <x v="1"/>
    <x v="91"/>
    <x v="1"/>
    <x v="1"/>
    <x v="2"/>
    <x v="1081"/>
  </r>
  <r>
    <x v="4"/>
    <x v="1"/>
    <x v="434"/>
    <x v="1"/>
    <x v="1"/>
    <x v="0"/>
    <x v="1082"/>
  </r>
  <r>
    <x v="10"/>
    <x v="0"/>
    <x v="131"/>
    <x v="3"/>
    <x v="1"/>
    <x v="2"/>
    <x v="1083"/>
  </r>
  <r>
    <x v="46"/>
    <x v="0"/>
    <x v="498"/>
    <x v="4"/>
    <x v="0"/>
    <x v="0"/>
    <x v="1084"/>
  </r>
  <r>
    <x v="19"/>
    <x v="1"/>
    <x v="111"/>
    <x v="0"/>
    <x v="1"/>
    <x v="3"/>
    <x v="1085"/>
  </r>
  <r>
    <x v="37"/>
    <x v="1"/>
    <x v="381"/>
    <x v="0"/>
    <x v="1"/>
    <x v="2"/>
    <x v="1086"/>
  </r>
  <r>
    <x v="14"/>
    <x v="1"/>
    <x v="499"/>
    <x v="1"/>
    <x v="1"/>
    <x v="1"/>
    <x v="1087"/>
  </r>
  <r>
    <x v="12"/>
    <x v="1"/>
    <x v="500"/>
    <x v="0"/>
    <x v="1"/>
    <x v="0"/>
    <x v="1088"/>
  </r>
  <r>
    <x v="42"/>
    <x v="1"/>
    <x v="67"/>
    <x v="0"/>
    <x v="0"/>
    <x v="1"/>
    <x v="1089"/>
  </r>
  <r>
    <x v="19"/>
    <x v="0"/>
    <x v="8"/>
    <x v="0"/>
    <x v="1"/>
    <x v="3"/>
    <x v="1090"/>
  </r>
  <r>
    <x v="11"/>
    <x v="1"/>
    <x v="484"/>
    <x v="2"/>
    <x v="1"/>
    <x v="0"/>
    <x v="1091"/>
  </r>
  <r>
    <x v="20"/>
    <x v="0"/>
    <x v="257"/>
    <x v="0"/>
    <x v="0"/>
    <x v="2"/>
    <x v="1092"/>
  </r>
  <r>
    <x v="45"/>
    <x v="0"/>
    <x v="175"/>
    <x v="5"/>
    <x v="1"/>
    <x v="0"/>
    <x v="1093"/>
  </r>
  <r>
    <x v="1"/>
    <x v="0"/>
    <x v="112"/>
    <x v="5"/>
    <x v="1"/>
    <x v="3"/>
    <x v="1094"/>
  </r>
  <r>
    <x v="43"/>
    <x v="0"/>
    <x v="379"/>
    <x v="3"/>
    <x v="0"/>
    <x v="3"/>
    <x v="1095"/>
  </r>
  <r>
    <x v="20"/>
    <x v="1"/>
    <x v="1"/>
    <x v="0"/>
    <x v="1"/>
    <x v="1"/>
    <x v="1096"/>
  </r>
  <r>
    <x v="14"/>
    <x v="0"/>
    <x v="99"/>
    <x v="0"/>
    <x v="1"/>
    <x v="3"/>
    <x v="1097"/>
  </r>
  <r>
    <x v="9"/>
    <x v="0"/>
    <x v="457"/>
    <x v="1"/>
    <x v="1"/>
    <x v="1"/>
    <x v="1098"/>
  </r>
  <r>
    <x v="3"/>
    <x v="0"/>
    <x v="501"/>
    <x v="3"/>
    <x v="0"/>
    <x v="3"/>
    <x v="1099"/>
  </r>
  <r>
    <x v="31"/>
    <x v="1"/>
    <x v="32"/>
    <x v="2"/>
    <x v="1"/>
    <x v="0"/>
    <x v="1100"/>
  </r>
  <r>
    <x v="38"/>
    <x v="1"/>
    <x v="447"/>
    <x v="1"/>
    <x v="1"/>
    <x v="1"/>
    <x v="1101"/>
  </r>
  <r>
    <x v="30"/>
    <x v="1"/>
    <x v="168"/>
    <x v="0"/>
    <x v="1"/>
    <x v="1"/>
    <x v="1102"/>
  </r>
  <r>
    <x v="7"/>
    <x v="1"/>
    <x v="141"/>
    <x v="0"/>
    <x v="1"/>
    <x v="0"/>
    <x v="1103"/>
  </r>
  <r>
    <x v="40"/>
    <x v="0"/>
    <x v="502"/>
    <x v="0"/>
    <x v="1"/>
    <x v="1"/>
    <x v="1104"/>
  </r>
  <r>
    <x v="41"/>
    <x v="0"/>
    <x v="503"/>
    <x v="0"/>
    <x v="1"/>
    <x v="2"/>
    <x v="1105"/>
  </r>
  <r>
    <x v="45"/>
    <x v="0"/>
    <x v="10"/>
    <x v="3"/>
    <x v="1"/>
    <x v="2"/>
    <x v="1106"/>
  </r>
  <r>
    <x v="21"/>
    <x v="1"/>
    <x v="308"/>
    <x v="1"/>
    <x v="1"/>
    <x v="0"/>
    <x v="1107"/>
  </r>
  <r>
    <x v="39"/>
    <x v="1"/>
    <x v="504"/>
    <x v="2"/>
    <x v="1"/>
    <x v="1"/>
    <x v="1108"/>
  </r>
  <r>
    <x v="40"/>
    <x v="0"/>
    <x v="243"/>
    <x v="1"/>
    <x v="1"/>
    <x v="3"/>
    <x v="1109"/>
  </r>
  <r>
    <x v="25"/>
    <x v="1"/>
    <x v="186"/>
    <x v="2"/>
    <x v="0"/>
    <x v="1"/>
    <x v="1110"/>
  </r>
  <r>
    <x v="28"/>
    <x v="0"/>
    <x v="505"/>
    <x v="2"/>
    <x v="0"/>
    <x v="1"/>
    <x v="1111"/>
  </r>
  <r>
    <x v="2"/>
    <x v="0"/>
    <x v="31"/>
    <x v="2"/>
    <x v="1"/>
    <x v="2"/>
    <x v="1112"/>
  </r>
  <r>
    <x v="11"/>
    <x v="1"/>
    <x v="184"/>
    <x v="0"/>
    <x v="1"/>
    <x v="3"/>
    <x v="1113"/>
  </r>
  <r>
    <x v="19"/>
    <x v="1"/>
    <x v="314"/>
    <x v="1"/>
    <x v="1"/>
    <x v="1"/>
    <x v="1114"/>
  </r>
  <r>
    <x v="24"/>
    <x v="1"/>
    <x v="142"/>
    <x v="4"/>
    <x v="1"/>
    <x v="3"/>
    <x v="1115"/>
  </r>
  <r>
    <x v="9"/>
    <x v="1"/>
    <x v="230"/>
    <x v="3"/>
    <x v="0"/>
    <x v="1"/>
    <x v="1116"/>
  </r>
  <r>
    <x v="3"/>
    <x v="1"/>
    <x v="246"/>
    <x v="1"/>
    <x v="0"/>
    <x v="1"/>
    <x v="1117"/>
  </r>
  <r>
    <x v="15"/>
    <x v="0"/>
    <x v="91"/>
    <x v="2"/>
    <x v="1"/>
    <x v="2"/>
    <x v="1118"/>
  </r>
  <r>
    <x v="11"/>
    <x v="0"/>
    <x v="234"/>
    <x v="0"/>
    <x v="0"/>
    <x v="0"/>
    <x v="1119"/>
  </r>
  <r>
    <x v="6"/>
    <x v="1"/>
    <x v="271"/>
    <x v="3"/>
    <x v="1"/>
    <x v="1"/>
    <x v="1120"/>
  </r>
  <r>
    <x v="31"/>
    <x v="0"/>
    <x v="350"/>
    <x v="2"/>
    <x v="0"/>
    <x v="2"/>
    <x v="1121"/>
  </r>
  <r>
    <x v="13"/>
    <x v="0"/>
    <x v="203"/>
    <x v="1"/>
    <x v="1"/>
    <x v="3"/>
    <x v="1122"/>
  </r>
  <r>
    <x v="11"/>
    <x v="0"/>
    <x v="506"/>
    <x v="1"/>
    <x v="0"/>
    <x v="3"/>
    <x v="1123"/>
  </r>
  <r>
    <x v="18"/>
    <x v="0"/>
    <x v="322"/>
    <x v="0"/>
    <x v="1"/>
    <x v="2"/>
    <x v="1124"/>
  </r>
  <r>
    <x v="19"/>
    <x v="1"/>
    <x v="441"/>
    <x v="0"/>
    <x v="1"/>
    <x v="0"/>
    <x v="1125"/>
  </r>
  <r>
    <x v="22"/>
    <x v="0"/>
    <x v="191"/>
    <x v="3"/>
    <x v="1"/>
    <x v="1"/>
    <x v="1126"/>
  </r>
  <r>
    <x v="16"/>
    <x v="1"/>
    <x v="163"/>
    <x v="1"/>
    <x v="1"/>
    <x v="0"/>
    <x v="1127"/>
  </r>
  <r>
    <x v="0"/>
    <x v="0"/>
    <x v="507"/>
    <x v="0"/>
    <x v="1"/>
    <x v="0"/>
    <x v="1128"/>
  </r>
  <r>
    <x v="46"/>
    <x v="0"/>
    <x v="508"/>
    <x v="4"/>
    <x v="1"/>
    <x v="1"/>
    <x v="1129"/>
  </r>
  <r>
    <x v="13"/>
    <x v="1"/>
    <x v="509"/>
    <x v="3"/>
    <x v="1"/>
    <x v="0"/>
    <x v="1130"/>
  </r>
  <r>
    <x v="37"/>
    <x v="1"/>
    <x v="405"/>
    <x v="0"/>
    <x v="1"/>
    <x v="3"/>
    <x v="1131"/>
  </r>
  <r>
    <x v="14"/>
    <x v="0"/>
    <x v="469"/>
    <x v="0"/>
    <x v="1"/>
    <x v="2"/>
    <x v="1132"/>
  </r>
  <r>
    <x v="2"/>
    <x v="1"/>
    <x v="312"/>
    <x v="0"/>
    <x v="1"/>
    <x v="2"/>
    <x v="1133"/>
  </r>
  <r>
    <x v="45"/>
    <x v="0"/>
    <x v="213"/>
    <x v="2"/>
    <x v="1"/>
    <x v="2"/>
    <x v="1134"/>
  </r>
  <r>
    <x v="36"/>
    <x v="0"/>
    <x v="459"/>
    <x v="1"/>
    <x v="1"/>
    <x v="0"/>
    <x v="1135"/>
  </r>
  <r>
    <x v="21"/>
    <x v="0"/>
    <x v="259"/>
    <x v="0"/>
    <x v="1"/>
    <x v="2"/>
    <x v="1136"/>
  </r>
  <r>
    <x v="3"/>
    <x v="1"/>
    <x v="328"/>
    <x v="0"/>
    <x v="1"/>
    <x v="1"/>
    <x v="1137"/>
  </r>
  <r>
    <x v="0"/>
    <x v="0"/>
    <x v="127"/>
    <x v="0"/>
    <x v="0"/>
    <x v="2"/>
    <x v="1138"/>
  </r>
  <r>
    <x v="45"/>
    <x v="1"/>
    <x v="493"/>
    <x v="1"/>
    <x v="1"/>
    <x v="1"/>
    <x v="1139"/>
  </r>
  <r>
    <x v="24"/>
    <x v="0"/>
    <x v="365"/>
    <x v="2"/>
    <x v="1"/>
    <x v="0"/>
    <x v="1140"/>
  </r>
  <r>
    <x v="14"/>
    <x v="0"/>
    <x v="443"/>
    <x v="0"/>
    <x v="1"/>
    <x v="1"/>
    <x v="1141"/>
  </r>
  <r>
    <x v="46"/>
    <x v="1"/>
    <x v="454"/>
    <x v="3"/>
    <x v="1"/>
    <x v="1"/>
    <x v="1142"/>
  </r>
  <r>
    <x v="45"/>
    <x v="1"/>
    <x v="243"/>
    <x v="3"/>
    <x v="1"/>
    <x v="0"/>
    <x v="1143"/>
  </r>
  <r>
    <x v="14"/>
    <x v="1"/>
    <x v="27"/>
    <x v="2"/>
    <x v="1"/>
    <x v="2"/>
    <x v="1144"/>
  </r>
  <r>
    <x v="8"/>
    <x v="1"/>
    <x v="163"/>
    <x v="0"/>
    <x v="0"/>
    <x v="0"/>
    <x v="1145"/>
  </r>
  <r>
    <x v="34"/>
    <x v="0"/>
    <x v="23"/>
    <x v="0"/>
    <x v="1"/>
    <x v="2"/>
    <x v="1146"/>
  </r>
  <r>
    <x v="19"/>
    <x v="1"/>
    <x v="510"/>
    <x v="1"/>
    <x v="1"/>
    <x v="0"/>
    <x v="1147"/>
  </r>
  <r>
    <x v="44"/>
    <x v="1"/>
    <x v="22"/>
    <x v="0"/>
    <x v="1"/>
    <x v="0"/>
    <x v="1148"/>
  </r>
  <r>
    <x v="1"/>
    <x v="0"/>
    <x v="511"/>
    <x v="0"/>
    <x v="1"/>
    <x v="3"/>
    <x v="1149"/>
  </r>
  <r>
    <x v="30"/>
    <x v="0"/>
    <x v="238"/>
    <x v="0"/>
    <x v="1"/>
    <x v="2"/>
    <x v="1150"/>
  </r>
  <r>
    <x v="32"/>
    <x v="0"/>
    <x v="316"/>
    <x v="2"/>
    <x v="0"/>
    <x v="1"/>
    <x v="1151"/>
  </r>
  <r>
    <x v="22"/>
    <x v="0"/>
    <x v="427"/>
    <x v="1"/>
    <x v="1"/>
    <x v="2"/>
    <x v="1152"/>
  </r>
  <r>
    <x v="28"/>
    <x v="0"/>
    <x v="325"/>
    <x v="5"/>
    <x v="1"/>
    <x v="2"/>
    <x v="1153"/>
  </r>
  <r>
    <x v="26"/>
    <x v="0"/>
    <x v="188"/>
    <x v="2"/>
    <x v="1"/>
    <x v="3"/>
    <x v="1154"/>
  </r>
  <r>
    <x v="0"/>
    <x v="1"/>
    <x v="512"/>
    <x v="0"/>
    <x v="0"/>
    <x v="1"/>
    <x v="1155"/>
  </r>
  <r>
    <x v="11"/>
    <x v="0"/>
    <x v="247"/>
    <x v="3"/>
    <x v="1"/>
    <x v="2"/>
    <x v="1156"/>
  </r>
  <r>
    <x v="34"/>
    <x v="0"/>
    <x v="162"/>
    <x v="0"/>
    <x v="1"/>
    <x v="3"/>
    <x v="1157"/>
  </r>
  <r>
    <x v="4"/>
    <x v="0"/>
    <x v="513"/>
    <x v="0"/>
    <x v="1"/>
    <x v="0"/>
    <x v="1158"/>
  </r>
  <r>
    <x v="32"/>
    <x v="0"/>
    <x v="415"/>
    <x v="1"/>
    <x v="1"/>
    <x v="2"/>
    <x v="1159"/>
  </r>
  <r>
    <x v="16"/>
    <x v="1"/>
    <x v="14"/>
    <x v="3"/>
    <x v="1"/>
    <x v="1"/>
    <x v="1160"/>
  </r>
  <r>
    <x v="15"/>
    <x v="1"/>
    <x v="130"/>
    <x v="1"/>
    <x v="1"/>
    <x v="1"/>
    <x v="1161"/>
  </r>
  <r>
    <x v="1"/>
    <x v="0"/>
    <x v="143"/>
    <x v="0"/>
    <x v="1"/>
    <x v="3"/>
    <x v="1162"/>
  </r>
  <r>
    <x v="24"/>
    <x v="0"/>
    <x v="33"/>
    <x v="1"/>
    <x v="1"/>
    <x v="2"/>
    <x v="1163"/>
  </r>
  <r>
    <x v="22"/>
    <x v="0"/>
    <x v="388"/>
    <x v="0"/>
    <x v="1"/>
    <x v="3"/>
    <x v="1164"/>
  </r>
  <r>
    <x v="37"/>
    <x v="1"/>
    <x v="514"/>
    <x v="0"/>
    <x v="1"/>
    <x v="1"/>
    <x v="1165"/>
  </r>
  <r>
    <x v="38"/>
    <x v="0"/>
    <x v="15"/>
    <x v="3"/>
    <x v="1"/>
    <x v="0"/>
    <x v="1166"/>
  </r>
  <r>
    <x v="4"/>
    <x v="1"/>
    <x v="49"/>
    <x v="3"/>
    <x v="1"/>
    <x v="0"/>
    <x v="1167"/>
  </r>
  <r>
    <x v="7"/>
    <x v="0"/>
    <x v="237"/>
    <x v="1"/>
    <x v="1"/>
    <x v="2"/>
    <x v="1168"/>
  </r>
  <r>
    <x v="1"/>
    <x v="1"/>
    <x v="60"/>
    <x v="1"/>
    <x v="0"/>
    <x v="3"/>
    <x v="1169"/>
  </r>
  <r>
    <x v="32"/>
    <x v="0"/>
    <x v="418"/>
    <x v="3"/>
    <x v="0"/>
    <x v="0"/>
    <x v="1170"/>
  </r>
  <r>
    <x v="12"/>
    <x v="0"/>
    <x v="180"/>
    <x v="0"/>
    <x v="1"/>
    <x v="1"/>
    <x v="1171"/>
  </r>
  <r>
    <x v="25"/>
    <x v="1"/>
    <x v="245"/>
    <x v="3"/>
    <x v="1"/>
    <x v="2"/>
    <x v="1172"/>
  </r>
  <r>
    <x v="38"/>
    <x v="1"/>
    <x v="159"/>
    <x v="3"/>
    <x v="1"/>
    <x v="2"/>
    <x v="1173"/>
  </r>
  <r>
    <x v="20"/>
    <x v="0"/>
    <x v="416"/>
    <x v="0"/>
    <x v="1"/>
    <x v="0"/>
    <x v="1174"/>
  </r>
  <r>
    <x v="14"/>
    <x v="0"/>
    <x v="134"/>
    <x v="1"/>
    <x v="0"/>
    <x v="2"/>
    <x v="1175"/>
  </r>
  <r>
    <x v="29"/>
    <x v="0"/>
    <x v="73"/>
    <x v="1"/>
    <x v="1"/>
    <x v="0"/>
    <x v="1176"/>
  </r>
  <r>
    <x v="11"/>
    <x v="0"/>
    <x v="231"/>
    <x v="0"/>
    <x v="1"/>
    <x v="3"/>
    <x v="1177"/>
  </r>
  <r>
    <x v="5"/>
    <x v="1"/>
    <x v="382"/>
    <x v="0"/>
    <x v="0"/>
    <x v="1"/>
    <x v="1178"/>
  </r>
  <r>
    <x v="44"/>
    <x v="0"/>
    <x v="317"/>
    <x v="1"/>
    <x v="1"/>
    <x v="3"/>
    <x v="1179"/>
  </r>
  <r>
    <x v="23"/>
    <x v="0"/>
    <x v="503"/>
    <x v="0"/>
    <x v="1"/>
    <x v="2"/>
    <x v="1180"/>
  </r>
  <r>
    <x v="9"/>
    <x v="0"/>
    <x v="148"/>
    <x v="0"/>
    <x v="1"/>
    <x v="0"/>
    <x v="1181"/>
  </r>
  <r>
    <x v="28"/>
    <x v="0"/>
    <x v="60"/>
    <x v="1"/>
    <x v="1"/>
    <x v="3"/>
    <x v="1182"/>
  </r>
  <r>
    <x v="11"/>
    <x v="0"/>
    <x v="515"/>
    <x v="1"/>
    <x v="0"/>
    <x v="1"/>
    <x v="1183"/>
  </r>
  <r>
    <x v="39"/>
    <x v="1"/>
    <x v="476"/>
    <x v="3"/>
    <x v="1"/>
    <x v="3"/>
    <x v="1184"/>
  </r>
  <r>
    <x v="34"/>
    <x v="1"/>
    <x v="50"/>
    <x v="2"/>
    <x v="0"/>
    <x v="2"/>
    <x v="1185"/>
  </r>
  <r>
    <x v="10"/>
    <x v="0"/>
    <x v="297"/>
    <x v="0"/>
    <x v="1"/>
    <x v="2"/>
    <x v="1186"/>
  </r>
  <r>
    <x v="32"/>
    <x v="0"/>
    <x v="235"/>
    <x v="1"/>
    <x v="0"/>
    <x v="3"/>
    <x v="1187"/>
  </r>
  <r>
    <x v="11"/>
    <x v="0"/>
    <x v="52"/>
    <x v="0"/>
    <x v="1"/>
    <x v="0"/>
    <x v="1188"/>
  </r>
  <r>
    <x v="5"/>
    <x v="0"/>
    <x v="27"/>
    <x v="3"/>
    <x v="1"/>
    <x v="2"/>
    <x v="1189"/>
  </r>
  <r>
    <x v="24"/>
    <x v="0"/>
    <x v="404"/>
    <x v="1"/>
    <x v="1"/>
    <x v="3"/>
    <x v="1190"/>
  </r>
  <r>
    <x v="30"/>
    <x v="0"/>
    <x v="203"/>
    <x v="1"/>
    <x v="1"/>
    <x v="3"/>
    <x v="1191"/>
  </r>
  <r>
    <x v="28"/>
    <x v="0"/>
    <x v="429"/>
    <x v="0"/>
    <x v="1"/>
    <x v="2"/>
    <x v="1192"/>
  </r>
  <r>
    <x v="5"/>
    <x v="0"/>
    <x v="404"/>
    <x v="0"/>
    <x v="1"/>
    <x v="2"/>
    <x v="1193"/>
  </r>
  <r>
    <x v="0"/>
    <x v="0"/>
    <x v="325"/>
    <x v="2"/>
    <x v="1"/>
    <x v="2"/>
    <x v="1194"/>
  </r>
  <r>
    <x v="0"/>
    <x v="0"/>
    <x v="190"/>
    <x v="0"/>
    <x v="0"/>
    <x v="2"/>
    <x v="1195"/>
  </r>
  <r>
    <x v="24"/>
    <x v="1"/>
    <x v="516"/>
    <x v="0"/>
    <x v="1"/>
    <x v="1"/>
    <x v="1196"/>
  </r>
  <r>
    <x v="29"/>
    <x v="1"/>
    <x v="452"/>
    <x v="1"/>
    <x v="1"/>
    <x v="2"/>
    <x v="1197"/>
  </r>
  <r>
    <x v="5"/>
    <x v="0"/>
    <x v="335"/>
    <x v="3"/>
    <x v="1"/>
    <x v="0"/>
    <x v="1198"/>
  </r>
  <r>
    <x v="7"/>
    <x v="1"/>
    <x v="200"/>
    <x v="3"/>
    <x v="1"/>
    <x v="2"/>
    <x v="1199"/>
  </r>
  <r>
    <x v="6"/>
    <x v="1"/>
    <x v="517"/>
    <x v="3"/>
    <x v="1"/>
    <x v="2"/>
    <x v="1200"/>
  </r>
  <r>
    <x v="20"/>
    <x v="1"/>
    <x v="159"/>
    <x v="0"/>
    <x v="1"/>
    <x v="2"/>
    <x v="1201"/>
  </r>
  <r>
    <x v="43"/>
    <x v="1"/>
    <x v="243"/>
    <x v="1"/>
    <x v="1"/>
    <x v="3"/>
    <x v="1202"/>
  </r>
  <r>
    <x v="1"/>
    <x v="0"/>
    <x v="518"/>
    <x v="2"/>
    <x v="0"/>
    <x v="1"/>
    <x v="1203"/>
  </r>
  <r>
    <x v="22"/>
    <x v="1"/>
    <x v="519"/>
    <x v="1"/>
    <x v="1"/>
    <x v="2"/>
    <x v="1204"/>
  </r>
  <r>
    <x v="17"/>
    <x v="0"/>
    <x v="82"/>
    <x v="3"/>
    <x v="1"/>
    <x v="0"/>
    <x v="1205"/>
  </r>
  <r>
    <x v="26"/>
    <x v="1"/>
    <x v="220"/>
    <x v="3"/>
    <x v="0"/>
    <x v="0"/>
    <x v="1206"/>
  </r>
  <r>
    <x v="7"/>
    <x v="0"/>
    <x v="122"/>
    <x v="1"/>
    <x v="0"/>
    <x v="3"/>
    <x v="1207"/>
  </r>
  <r>
    <x v="17"/>
    <x v="1"/>
    <x v="109"/>
    <x v="1"/>
    <x v="1"/>
    <x v="0"/>
    <x v="1208"/>
  </r>
  <r>
    <x v="26"/>
    <x v="1"/>
    <x v="99"/>
    <x v="1"/>
    <x v="1"/>
    <x v="2"/>
    <x v="1209"/>
  </r>
  <r>
    <x v="46"/>
    <x v="1"/>
    <x v="22"/>
    <x v="3"/>
    <x v="1"/>
    <x v="1"/>
    <x v="1210"/>
  </r>
  <r>
    <x v="1"/>
    <x v="1"/>
    <x v="321"/>
    <x v="0"/>
    <x v="1"/>
    <x v="3"/>
    <x v="1211"/>
  </r>
  <r>
    <x v="14"/>
    <x v="0"/>
    <x v="520"/>
    <x v="3"/>
    <x v="1"/>
    <x v="0"/>
    <x v="1212"/>
  </r>
  <r>
    <x v="13"/>
    <x v="0"/>
    <x v="468"/>
    <x v="1"/>
    <x v="1"/>
    <x v="2"/>
    <x v="1213"/>
  </r>
  <r>
    <x v="1"/>
    <x v="1"/>
    <x v="521"/>
    <x v="0"/>
    <x v="1"/>
    <x v="3"/>
    <x v="1214"/>
  </r>
  <r>
    <x v="29"/>
    <x v="1"/>
    <x v="322"/>
    <x v="0"/>
    <x v="1"/>
    <x v="1"/>
    <x v="1215"/>
  </r>
  <r>
    <x v="38"/>
    <x v="1"/>
    <x v="348"/>
    <x v="3"/>
    <x v="1"/>
    <x v="1"/>
    <x v="1216"/>
  </r>
  <r>
    <x v="6"/>
    <x v="0"/>
    <x v="489"/>
    <x v="1"/>
    <x v="0"/>
    <x v="0"/>
    <x v="1217"/>
  </r>
  <r>
    <x v="25"/>
    <x v="0"/>
    <x v="267"/>
    <x v="2"/>
    <x v="1"/>
    <x v="2"/>
    <x v="1218"/>
  </r>
  <r>
    <x v="15"/>
    <x v="0"/>
    <x v="522"/>
    <x v="1"/>
    <x v="1"/>
    <x v="3"/>
    <x v="1219"/>
  </r>
  <r>
    <x v="29"/>
    <x v="1"/>
    <x v="523"/>
    <x v="3"/>
    <x v="1"/>
    <x v="1"/>
    <x v="1220"/>
  </r>
  <r>
    <x v="45"/>
    <x v="1"/>
    <x v="128"/>
    <x v="0"/>
    <x v="1"/>
    <x v="1"/>
    <x v="1221"/>
  </r>
  <r>
    <x v="34"/>
    <x v="0"/>
    <x v="137"/>
    <x v="0"/>
    <x v="0"/>
    <x v="1"/>
    <x v="1222"/>
  </r>
  <r>
    <x v="24"/>
    <x v="1"/>
    <x v="524"/>
    <x v="1"/>
    <x v="1"/>
    <x v="3"/>
    <x v="1223"/>
  </r>
  <r>
    <x v="3"/>
    <x v="0"/>
    <x v="13"/>
    <x v="1"/>
    <x v="1"/>
    <x v="1"/>
    <x v="1224"/>
  </r>
  <r>
    <x v="25"/>
    <x v="1"/>
    <x v="290"/>
    <x v="3"/>
    <x v="1"/>
    <x v="3"/>
    <x v="1225"/>
  </r>
  <r>
    <x v="44"/>
    <x v="1"/>
    <x v="464"/>
    <x v="3"/>
    <x v="1"/>
    <x v="1"/>
    <x v="1226"/>
  </r>
  <r>
    <x v="12"/>
    <x v="1"/>
    <x v="53"/>
    <x v="0"/>
    <x v="1"/>
    <x v="1"/>
    <x v="1227"/>
  </r>
  <r>
    <x v="30"/>
    <x v="1"/>
    <x v="511"/>
    <x v="0"/>
    <x v="1"/>
    <x v="3"/>
    <x v="1228"/>
  </r>
  <r>
    <x v="14"/>
    <x v="1"/>
    <x v="525"/>
    <x v="2"/>
    <x v="0"/>
    <x v="2"/>
    <x v="1229"/>
  </r>
  <r>
    <x v="34"/>
    <x v="0"/>
    <x v="526"/>
    <x v="0"/>
    <x v="0"/>
    <x v="0"/>
    <x v="1230"/>
  </r>
  <r>
    <x v="40"/>
    <x v="0"/>
    <x v="456"/>
    <x v="2"/>
    <x v="1"/>
    <x v="2"/>
    <x v="1231"/>
  </r>
  <r>
    <x v="30"/>
    <x v="1"/>
    <x v="527"/>
    <x v="0"/>
    <x v="1"/>
    <x v="0"/>
    <x v="1232"/>
  </r>
  <r>
    <x v="39"/>
    <x v="0"/>
    <x v="138"/>
    <x v="3"/>
    <x v="1"/>
    <x v="1"/>
    <x v="1233"/>
  </r>
  <r>
    <x v="21"/>
    <x v="1"/>
    <x v="320"/>
    <x v="0"/>
    <x v="1"/>
    <x v="2"/>
    <x v="1234"/>
  </r>
  <r>
    <x v="18"/>
    <x v="0"/>
    <x v="496"/>
    <x v="0"/>
    <x v="1"/>
    <x v="3"/>
    <x v="1235"/>
  </r>
  <r>
    <x v="30"/>
    <x v="0"/>
    <x v="143"/>
    <x v="0"/>
    <x v="1"/>
    <x v="2"/>
    <x v="1236"/>
  </r>
  <r>
    <x v="7"/>
    <x v="1"/>
    <x v="3"/>
    <x v="2"/>
    <x v="1"/>
    <x v="3"/>
    <x v="1237"/>
  </r>
  <r>
    <x v="9"/>
    <x v="0"/>
    <x v="14"/>
    <x v="1"/>
    <x v="1"/>
    <x v="1"/>
    <x v="1238"/>
  </r>
  <r>
    <x v="14"/>
    <x v="1"/>
    <x v="423"/>
    <x v="3"/>
    <x v="0"/>
    <x v="1"/>
    <x v="1239"/>
  </r>
  <r>
    <x v="33"/>
    <x v="1"/>
    <x v="528"/>
    <x v="3"/>
    <x v="0"/>
    <x v="1"/>
    <x v="1240"/>
  </r>
  <r>
    <x v="20"/>
    <x v="0"/>
    <x v="529"/>
    <x v="2"/>
    <x v="1"/>
    <x v="2"/>
    <x v="1241"/>
  </r>
  <r>
    <x v="2"/>
    <x v="0"/>
    <x v="293"/>
    <x v="0"/>
    <x v="1"/>
    <x v="1"/>
    <x v="1242"/>
  </r>
  <r>
    <x v="1"/>
    <x v="1"/>
    <x v="230"/>
    <x v="0"/>
    <x v="1"/>
    <x v="1"/>
    <x v="1243"/>
  </r>
  <r>
    <x v="2"/>
    <x v="1"/>
    <x v="210"/>
    <x v="4"/>
    <x v="1"/>
    <x v="0"/>
    <x v="1244"/>
  </r>
  <r>
    <x v="39"/>
    <x v="0"/>
    <x v="324"/>
    <x v="2"/>
    <x v="1"/>
    <x v="0"/>
    <x v="1245"/>
  </r>
  <r>
    <x v="3"/>
    <x v="1"/>
    <x v="530"/>
    <x v="5"/>
    <x v="1"/>
    <x v="0"/>
    <x v="1246"/>
  </r>
  <r>
    <x v="1"/>
    <x v="0"/>
    <x v="13"/>
    <x v="0"/>
    <x v="1"/>
    <x v="1"/>
    <x v="1247"/>
  </r>
  <r>
    <x v="4"/>
    <x v="1"/>
    <x v="51"/>
    <x v="1"/>
    <x v="0"/>
    <x v="3"/>
    <x v="1248"/>
  </r>
  <r>
    <x v="23"/>
    <x v="1"/>
    <x v="8"/>
    <x v="0"/>
    <x v="0"/>
    <x v="3"/>
    <x v="1249"/>
  </r>
  <r>
    <x v="0"/>
    <x v="1"/>
    <x v="202"/>
    <x v="0"/>
    <x v="1"/>
    <x v="0"/>
    <x v="1250"/>
  </r>
  <r>
    <x v="34"/>
    <x v="1"/>
    <x v="531"/>
    <x v="0"/>
    <x v="0"/>
    <x v="0"/>
    <x v="1251"/>
  </r>
  <r>
    <x v="29"/>
    <x v="0"/>
    <x v="375"/>
    <x v="5"/>
    <x v="1"/>
    <x v="0"/>
    <x v="1252"/>
  </r>
  <r>
    <x v="16"/>
    <x v="0"/>
    <x v="25"/>
    <x v="0"/>
    <x v="1"/>
    <x v="1"/>
    <x v="1253"/>
  </r>
  <r>
    <x v="44"/>
    <x v="0"/>
    <x v="532"/>
    <x v="0"/>
    <x v="1"/>
    <x v="0"/>
    <x v="1254"/>
  </r>
  <r>
    <x v="43"/>
    <x v="0"/>
    <x v="241"/>
    <x v="2"/>
    <x v="1"/>
    <x v="2"/>
    <x v="1255"/>
  </r>
  <r>
    <x v="40"/>
    <x v="0"/>
    <x v="215"/>
    <x v="1"/>
    <x v="1"/>
    <x v="2"/>
    <x v="1256"/>
  </r>
  <r>
    <x v="19"/>
    <x v="1"/>
    <x v="533"/>
    <x v="2"/>
    <x v="1"/>
    <x v="2"/>
    <x v="1257"/>
  </r>
  <r>
    <x v="14"/>
    <x v="0"/>
    <x v="247"/>
    <x v="0"/>
    <x v="1"/>
    <x v="3"/>
    <x v="1258"/>
  </r>
  <r>
    <x v="4"/>
    <x v="0"/>
    <x v="481"/>
    <x v="0"/>
    <x v="1"/>
    <x v="3"/>
    <x v="1259"/>
  </r>
  <r>
    <x v="2"/>
    <x v="1"/>
    <x v="109"/>
    <x v="1"/>
    <x v="1"/>
    <x v="0"/>
    <x v="1260"/>
  </r>
  <r>
    <x v="24"/>
    <x v="0"/>
    <x v="123"/>
    <x v="1"/>
    <x v="1"/>
    <x v="1"/>
    <x v="1261"/>
  </r>
  <r>
    <x v="32"/>
    <x v="0"/>
    <x v="441"/>
    <x v="1"/>
    <x v="1"/>
    <x v="0"/>
    <x v="1262"/>
  </r>
  <r>
    <x v="41"/>
    <x v="0"/>
    <x v="150"/>
    <x v="3"/>
    <x v="1"/>
    <x v="3"/>
    <x v="1263"/>
  </r>
  <r>
    <x v="33"/>
    <x v="1"/>
    <x v="534"/>
    <x v="0"/>
    <x v="0"/>
    <x v="1"/>
    <x v="1264"/>
  </r>
  <r>
    <x v="19"/>
    <x v="0"/>
    <x v="252"/>
    <x v="0"/>
    <x v="1"/>
    <x v="0"/>
    <x v="1265"/>
  </r>
  <r>
    <x v="23"/>
    <x v="1"/>
    <x v="320"/>
    <x v="0"/>
    <x v="0"/>
    <x v="3"/>
    <x v="1266"/>
  </r>
  <r>
    <x v="34"/>
    <x v="0"/>
    <x v="520"/>
    <x v="0"/>
    <x v="1"/>
    <x v="0"/>
    <x v="1267"/>
  </r>
  <r>
    <x v="39"/>
    <x v="1"/>
    <x v="97"/>
    <x v="2"/>
    <x v="1"/>
    <x v="0"/>
    <x v="1268"/>
  </r>
  <r>
    <x v="21"/>
    <x v="1"/>
    <x v="113"/>
    <x v="1"/>
    <x v="1"/>
    <x v="2"/>
    <x v="1269"/>
  </r>
  <r>
    <x v="9"/>
    <x v="0"/>
    <x v="525"/>
    <x v="0"/>
    <x v="1"/>
    <x v="2"/>
    <x v="1270"/>
  </r>
  <r>
    <x v="32"/>
    <x v="1"/>
    <x v="535"/>
    <x v="4"/>
    <x v="1"/>
    <x v="1"/>
    <x v="1271"/>
  </r>
  <r>
    <x v="22"/>
    <x v="1"/>
    <x v="536"/>
    <x v="1"/>
    <x v="1"/>
    <x v="1"/>
    <x v="1272"/>
  </r>
  <r>
    <x v="21"/>
    <x v="1"/>
    <x v="537"/>
    <x v="0"/>
    <x v="0"/>
    <x v="1"/>
    <x v="1273"/>
  </r>
  <r>
    <x v="37"/>
    <x v="1"/>
    <x v="408"/>
    <x v="0"/>
    <x v="1"/>
    <x v="0"/>
    <x v="1274"/>
  </r>
  <r>
    <x v="20"/>
    <x v="0"/>
    <x v="257"/>
    <x v="0"/>
    <x v="1"/>
    <x v="3"/>
    <x v="1275"/>
  </r>
  <r>
    <x v="4"/>
    <x v="0"/>
    <x v="129"/>
    <x v="0"/>
    <x v="1"/>
    <x v="2"/>
    <x v="1276"/>
  </r>
  <r>
    <x v="46"/>
    <x v="1"/>
    <x v="503"/>
    <x v="1"/>
    <x v="0"/>
    <x v="3"/>
    <x v="1277"/>
  </r>
  <r>
    <x v="9"/>
    <x v="0"/>
    <x v="471"/>
    <x v="3"/>
    <x v="1"/>
    <x v="2"/>
    <x v="1278"/>
  </r>
  <r>
    <x v="28"/>
    <x v="0"/>
    <x v="230"/>
    <x v="0"/>
    <x v="1"/>
    <x v="1"/>
    <x v="1279"/>
  </r>
  <r>
    <x v="42"/>
    <x v="0"/>
    <x v="215"/>
    <x v="3"/>
    <x v="0"/>
    <x v="2"/>
    <x v="1280"/>
  </r>
  <r>
    <x v="1"/>
    <x v="0"/>
    <x v="496"/>
    <x v="0"/>
    <x v="0"/>
    <x v="3"/>
    <x v="1281"/>
  </r>
  <r>
    <x v="1"/>
    <x v="1"/>
    <x v="279"/>
    <x v="1"/>
    <x v="1"/>
    <x v="1"/>
    <x v="1282"/>
  </r>
  <r>
    <x v="35"/>
    <x v="1"/>
    <x v="29"/>
    <x v="1"/>
    <x v="0"/>
    <x v="0"/>
    <x v="1283"/>
  </r>
  <r>
    <x v="42"/>
    <x v="0"/>
    <x v="200"/>
    <x v="0"/>
    <x v="1"/>
    <x v="3"/>
    <x v="1284"/>
  </r>
  <r>
    <x v="2"/>
    <x v="0"/>
    <x v="193"/>
    <x v="0"/>
    <x v="1"/>
    <x v="3"/>
    <x v="1285"/>
  </r>
  <r>
    <x v="26"/>
    <x v="0"/>
    <x v="473"/>
    <x v="1"/>
    <x v="1"/>
    <x v="0"/>
    <x v="1286"/>
  </r>
  <r>
    <x v="34"/>
    <x v="1"/>
    <x v="538"/>
    <x v="3"/>
    <x v="0"/>
    <x v="0"/>
    <x v="1287"/>
  </r>
  <r>
    <x v="36"/>
    <x v="1"/>
    <x v="419"/>
    <x v="1"/>
    <x v="1"/>
    <x v="1"/>
    <x v="1288"/>
  </r>
  <r>
    <x v="25"/>
    <x v="0"/>
    <x v="91"/>
    <x v="3"/>
    <x v="1"/>
    <x v="3"/>
    <x v="1289"/>
  </r>
  <r>
    <x v="0"/>
    <x v="1"/>
    <x v="539"/>
    <x v="0"/>
    <x v="0"/>
    <x v="0"/>
    <x v="1290"/>
  </r>
  <r>
    <x v="27"/>
    <x v="1"/>
    <x v="174"/>
    <x v="0"/>
    <x v="1"/>
    <x v="1"/>
    <x v="1291"/>
  </r>
  <r>
    <x v="6"/>
    <x v="1"/>
    <x v="474"/>
    <x v="2"/>
    <x v="1"/>
    <x v="2"/>
    <x v="1292"/>
  </r>
  <r>
    <x v="30"/>
    <x v="1"/>
    <x v="124"/>
    <x v="0"/>
    <x v="1"/>
    <x v="3"/>
    <x v="1293"/>
  </r>
  <r>
    <x v="34"/>
    <x v="1"/>
    <x v="540"/>
    <x v="1"/>
    <x v="1"/>
    <x v="0"/>
    <x v="1294"/>
  </r>
  <r>
    <x v="1"/>
    <x v="1"/>
    <x v="388"/>
    <x v="0"/>
    <x v="1"/>
    <x v="3"/>
    <x v="1295"/>
  </r>
  <r>
    <x v="2"/>
    <x v="0"/>
    <x v="426"/>
    <x v="3"/>
    <x v="1"/>
    <x v="1"/>
    <x v="1296"/>
  </r>
  <r>
    <x v="3"/>
    <x v="1"/>
    <x v="207"/>
    <x v="3"/>
    <x v="1"/>
    <x v="2"/>
    <x v="1297"/>
  </r>
  <r>
    <x v="0"/>
    <x v="0"/>
    <x v="474"/>
    <x v="1"/>
    <x v="1"/>
    <x v="2"/>
    <x v="1298"/>
  </r>
  <r>
    <x v="39"/>
    <x v="1"/>
    <x v="541"/>
    <x v="0"/>
    <x v="0"/>
    <x v="1"/>
    <x v="1299"/>
  </r>
  <r>
    <x v="10"/>
    <x v="1"/>
    <x v="99"/>
    <x v="2"/>
    <x v="0"/>
    <x v="2"/>
    <x v="1300"/>
  </r>
  <r>
    <x v="9"/>
    <x v="0"/>
    <x v="37"/>
    <x v="1"/>
    <x v="1"/>
    <x v="0"/>
    <x v="1301"/>
  </r>
  <r>
    <x v="32"/>
    <x v="1"/>
    <x v="542"/>
    <x v="0"/>
    <x v="0"/>
    <x v="0"/>
    <x v="1302"/>
  </r>
  <r>
    <x v="44"/>
    <x v="1"/>
    <x v="456"/>
    <x v="3"/>
    <x v="0"/>
    <x v="3"/>
    <x v="1303"/>
  </r>
  <r>
    <x v="23"/>
    <x v="0"/>
    <x v="25"/>
    <x v="0"/>
    <x v="1"/>
    <x v="1"/>
    <x v="1304"/>
  </r>
  <r>
    <x v="38"/>
    <x v="0"/>
    <x v="361"/>
    <x v="0"/>
    <x v="0"/>
    <x v="3"/>
    <x v="1305"/>
  </r>
  <r>
    <x v="4"/>
    <x v="1"/>
    <x v="213"/>
    <x v="5"/>
    <x v="0"/>
    <x v="2"/>
    <x v="1306"/>
  </r>
  <r>
    <x v="9"/>
    <x v="0"/>
    <x v="204"/>
    <x v="0"/>
    <x v="0"/>
    <x v="0"/>
    <x v="1307"/>
  </r>
  <r>
    <x v="24"/>
    <x v="1"/>
    <x v="158"/>
    <x v="3"/>
    <x v="1"/>
    <x v="0"/>
    <x v="1308"/>
  </r>
  <r>
    <x v="44"/>
    <x v="1"/>
    <x v="31"/>
    <x v="1"/>
    <x v="1"/>
    <x v="2"/>
    <x v="1309"/>
  </r>
  <r>
    <x v="3"/>
    <x v="0"/>
    <x v="301"/>
    <x v="0"/>
    <x v="1"/>
    <x v="2"/>
    <x v="1310"/>
  </r>
  <r>
    <x v="16"/>
    <x v="1"/>
    <x v="470"/>
    <x v="1"/>
    <x v="1"/>
    <x v="0"/>
    <x v="1311"/>
  </r>
  <r>
    <x v="0"/>
    <x v="0"/>
    <x v="118"/>
    <x v="3"/>
    <x v="0"/>
    <x v="0"/>
    <x v="1312"/>
  </r>
  <r>
    <x v="15"/>
    <x v="0"/>
    <x v="367"/>
    <x v="2"/>
    <x v="0"/>
    <x v="2"/>
    <x v="1313"/>
  </r>
  <r>
    <x v="1"/>
    <x v="1"/>
    <x v="33"/>
    <x v="1"/>
    <x v="1"/>
    <x v="3"/>
    <x v="1314"/>
  </r>
  <r>
    <x v="0"/>
    <x v="0"/>
    <x v="272"/>
    <x v="0"/>
    <x v="1"/>
    <x v="0"/>
    <x v="1315"/>
  </r>
  <r>
    <x v="1"/>
    <x v="1"/>
    <x v="543"/>
    <x v="0"/>
    <x v="1"/>
    <x v="1"/>
    <x v="1316"/>
  </r>
  <r>
    <x v="22"/>
    <x v="1"/>
    <x v="544"/>
    <x v="5"/>
    <x v="1"/>
    <x v="3"/>
    <x v="1317"/>
  </r>
  <r>
    <x v="46"/>
    <x v="0"/>
    <x v="31"/>
    <x v="3"/>
    <x v="1"/>
    <x v="2"/>
    <x v="1318"/>
  </r>
  <r>
    <x v="5"/>
    <x v="1"/>
    <x v="320"/>
    <x v="2"/>
    <x v="1"/>
    <x v="2"/>
    <x v="1319"/>
  </r>
  <r>
    <x v="10"/>
    <x v="1"/>
    <x v="301"/>
    <x v="0"/>
    <x v="0"/>
    <x v="3"/>
    <x v="1320"/>
  </r>
  <r>
    <x v="10"/>
    <x v="1"/>
    <x v="130"/>
    <x v="0"/>
    <x v="1"/>
    <x v="1"/>
    <x v="1321"/>
  </r>
  <r>
    <x v="44"/>
    <x v="0"/>
    <x v="514"/>
    <x v="3"/>
    <x v="0"/>
    <x v="1"/>
    <x v="1322"/>
  </r>
  <r>
    <x v="5"/>
    <x v="1"/>
    <x v="63"/>
    <x v="1"/>
    <x v="1"/>
    <x v="2"/>
    <x v="1323"/>
  </r>
  <r>
    <x v="35"/>
    <x v="1"/>
    <x v="371"/>
    <x v="0"/>
    <x v="1"/>
    <x v="3"/>
    <x v="1324"/>
  </r>
  <r>
    <x v="44"/>
    <x v="0"/>
    <x v="545"/>
    <x v="0"/>
    <x v="1"/>
    <x v="3"/>
    <x v="1325"/>
  </r>
  <r>
    <x v="43"/>
    <x v="1"/>
    <x v="279"/>
    <x v="1"/>
    <x v="1"/>
    <x v="1"/>
    <x v="1326"/>
  </r>
  <r>
    <x v="11"/>
    <x v="0"/>
    <x v="432"/>
    <x v="3"/>
    <x v="1"/>
    <x v="3"/>
    <x v="1327"/>
  </r>
  <r>
    <x v="14"/>
    <x v="1"/>
    <x v="304"/>
    <x v="3"/>
    <x v="1"/>
    <x v="0"/>
    <x v="1328"/>
  </r>
  <r>
    <x v="37"/>
    <x v="0"/>
    <x v="5"/>
    <x v="3"/>
    <x v="1"/>
    <x v="1"/>
    <x v="1329"/>
  </r>
  <r>
    <x v="11"/>
    <x v="0"/>
    <x v="220"/>
    <x v="0"/>
    <x v="1"/>
    <x v="0"/>
    <x v="1330"/>
  </r>
  <r>
    <x v="14"/>
    <x v="0"/>
    <x v="546"/>
    <x v="2"/>
    <x v="1"/>
    <x v="0"/>
    <x v="1331"/>
  </r>
  <r>
    <x v="45"/>
    <x v="1"/>
    <x v="547"/>
    <x v="2"/>
    <x v="1"/>
    <x v="2"/>
    <x v="1332"/>
  </r>
  <r>
    <x v="1"/>
    <x v="0"/>
    <x v="23"/>
    <x v="0"/>
    <x v="1"/>
    <x v="3"/>
    <x v="1333"/>
  </r>
  <r>
    <x v="1"/>
    <x v="0"/>
    <x v="139"/>
    <x v="0"/>
    <x v="1"/>
    <x v="1"/>
    <x v="1334"/>
  </r>
  <r>
    <x v="27"/>
    <x v="0"/>
    <x v="335"/>
    <x v="0"/>
    <x v="1"/>
    <x v="0"/>
    <x v="1335"/>
  </r>
  <r>
    <x v="35"/>
    <x v="0"/>
    <x v="187"/>
    <x v="0"/>
    <x v="0"/>
    <x v="2"/>
    <x v="13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94FF0-9A82-9A46-891F-31402FFF875E}" name="PivotTable10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2">
  <location ref="I216:J219" firstHeaderRow="1" firstDataRow="1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Row"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Max. of charges($)" fld="6" subtotal="max" baseField="0" baseItem="0"/>
  </dataFields>
  <formats count="4">
    <format dxfId="37">
      <pivotArea outline="0" collapsedLevelsAreSubtotals="1" fieldPosition="0"/>
    </format>
    <format dxfId="36">
      <pivotArea grandRow="1" outline="0" collapsedLevelsAreSubtotals="1" fieldPosition="0"/>
    </format>
    <format dxfId="35">
      <pivotArea grandRow="1" outline="0" collapsedLevelsAreSubtotals="1" fieldPosition="0"/>
    </format>
    <format dxfId="34">
      <pivotArea fieldPosition="0">
        <references count="1">
          <reference field="4" count="0"/>
        </references>
      </pivotArea>
    </format>
  </formats>
  <chartFormats count="1"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541700-8127-4445-951E-14D50D2C9603}" name="PivotTable15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4">
  <location ref="D83:G87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axis="axisCol" dataField="1" compact="0" showAll="0">
      <items count="3">
        <item x="0"/>
        <item x="1"/>
        <item t="default"/>
      </items>
    </pivotField>
    <pivotField compact="0" showAll="0"/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Row"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percentage of sex" fld="1" subtotal="count" showDataAs="percentOfRow" baseField="0" baseItem="0" numFmtId="10"/>
  </dataFields>
  <formats count="1">
    <format dxfId="38">
      <pivotArea fieldPosition="0">
        <references count="2">
          <reference field="1" count="0" selected="0"/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A57C0-6DD6-314E-A1C9-5EAB0E3AE947}" name="PivotTable42" cacheId="1" dataOnRows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outline="1" outlineData="1" compactData="0" multipleFieldFilters="0" chartFormat="32">
  <location ref="I267:K273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2">
    <i>
      <x/>
    </i>
    <i>
      <x v="1"/>
    </i>
  </colItems>
  <dataFields count="1">
    <dataField name="Sum of charges($)" fld="6" showDataAs="percentOfRow" baseField="0" baseItem="0" numFmtId="10"/>
  </dataFields>
  <formats count="4">
    <format dxfId="42">
      <pivotArea outline="0" collapsedLevelsAreSubtotals="1" fieldPosition="0"/>
    </format>
    <format dxfId="41">
      <pivotArea grandRow="1" outline="0" collapsedLevelsAreSubtotals="1" fieldPosition="0"/>
    </format>
    <format dxfId="40">
      <pivotArea grandRow="1" outline="0" collapsedLevelsAreSubtotals="1" fieldPosition="0"/>
    </format>
    <format dxfId="3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61534-BA07-0542-9B1E-DA14B9C4AF28}" name="PivotTable11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2">
  <location ref="I221:J224" firstHeaderRow="1" firstDataRow="1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Row"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Min. of charges($)" fld="6" subtotal="min" baseField="0" baseItem="0"/>
  </dataFields>
  <formats count="4">
    <format dxfId="46">
      <pivotArea outline="0" collapsedLevelsAreSubtotals="1" fieldPosition="0"/>
    </format>
    <format dxfId="45">
      <pivotArea grandRow="1" outline="0" collapsedLevelsAreSubtotals="1" fieldPosition="0"/>
    </format>
    <format dxfId="44">
      <pivotArea grandRow="1" outline="0" collapsedLevelsAreSubtotals="1" fieldPosition="0"/>
    </format>
    <format dxfId="43">
      <pivotArea fieldPosition="0">
        <references count="1">
          <reference field="4" count="0"/>
        </references>
      </pivotArea>
    </format>
  </formats>
  <chartFormats count="1"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37292-A0EF-F742-99F6-808833654D24}" name="PivotTable8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6">
  <location ref="F221:G224" firstHeaderRow="1" firstDataRow="1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Row"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ount of charges($)" fld="6" subtotal="count" baseField="0" baseItem="0"/>
  </dataFields>
  <formats count="4">
    <format dxfId="50">
      <pivotArea outline="0" collapsedLevelsAreSubtotals="1" fieldPosition="0"/>
    </format>
    <format dxfId="49">
      <pivotArea grandRow="1" outline="0" collapsedLevelsAreSubtotals="1" fieldPosition="0"/>
    </format>
    <format dxfId="48">
      <pivotArea grandRow="1" outline="0" collapsedLevelsAreSubtotals="1" fieldPosition="0"/>
    </format>
    <format dxfId="47">
      <pivotArea fieldPosition="0">
        <references count="1">
          <reference field="4" count="0"/>
        </references>
      </pivotArea>
    </format>
  </formats>
  <chartFormats count="1"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032F0B-9CD6-9741-8B7D-FCF085426E55}" name="PivotTable9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2">
  <location ref="F226:G229" firstHeaderRow="1" firstDataRow="1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Row"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Average of charges($)" fld="6" subtotal="average" baseField="0" baseItem="0"/>
  </dataFields>
  <formats count="4">
    <format dxfId="54">
      <pivotArea outline="0" collapsedLevelsAreSubtotals="1" fieldPosition="0"/>
    </format>
    <format dxfId="53">
      <pivotArea grandRow="1" outline="0" collapsedLevelsAreSubtotals="1" fieldPosition="0"/>
    </format>
    <format dxfId="52">
      <pivotArea grandRow="1" outline="0" collapsedLevelsAreSubtotals="1" fieldPosition="0"/>
    </format>
    <format dxfId="51">
      <pivotArea fieldPosition="0">
        <references count="1">
          <reference field="4" count="0"/>
        </references>
      </pivotArea>
    </format>
  </formats>
  <chartFormats count="1"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431B8-D05E-2F49-A121-3D2F3D5C3E46}" name="PivotTable18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1">
  <location ref="G100:H148" firstHeaderRow="1" firstDataRow="1" firstDataCol="1"/>
  <pivotFields count="7">
    <pivotField axis="axisRow" compact="0" showAll="0" sortType="ascending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3">
        <item x="0"/>
        <item x="1"/>
        <item t="default"/>
      </items>
    </pivotField>
    <pivotField compact="0" showAll="0"/>
    <pivotField compact="0" showAll="0">
      <items count="7">
        <item x="0"/>
        <item x="1"/>
        <item x="3"/>
        <item x="2"/>
        <item x="5"/>
        <item x="4"/>
        <item t="default"/>
      </items>
    </pivotField>
    <pivotField compact="0" showAll="0">
      <items count="3">
        <item x="1"/>
        <item h="1"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0"/>
  </rowFields>
  <rowItems count="48">
    <i>
      <x v="46"/>
    </i>
    <i>
      <x v="42"/>
    </i>
    <i>
      <x v="43"/>
    </i>
    <i>
      <x v="45"/>
    </i>
    <i>
      <x v="44"/>
    </i>
    <i>
      <x v="21"/>
    </i>
    <i>
      <x v="19"/>
    </i>
    <i>
      <x v="40"/>
    </i>
    <i>
      <x v="20"/>
    </i>
    <i>
      <x v="41"/>
    </i>
    <i>
      <x v="18"/>
    </i>
    <i>
      <x v="17"/>
    </i>
    <i>
      <x v="39"/>
    </i>
    <i>
      <x v="16"/>
    </i>
    <i>
      <x v="38"/>
    </i>
    <i>
      <x v="14"/>
    </i>
    <i>
      <x v="15"/>
    </i>
    <i>
      <x v="37"/>
    </i>
    <i>
      <x v="23"/>
    </i>
    <i>
      <x v="25"/>
    </i>
    <i>
      <x v="13"/>
    </i>
    <i>
      <x v="26"/>
    </i>
    <i>
      <x v="24"/>
    </i>
    <i>
      <x v="11"/>
    </i>
    <i>
      <x v="22"/>
    </i>
    <i>
      <x v="12"/>
    </i>
    <i>
      <x v="6"/>
    </i>
    <i>
      <x v="10"/>
    </i>
    <i>
      <x v="7"/>
    </i>
    <i>
      <x v="35"/>
    </i>
    <i>
      <x v="8"/>
    </i>
    <i>
      <x v="9"/>
    </i>
    <i>
      <x v="31"/>
    </i>
    <i>
      <x v="36"/>
    </i>
    <i>
      <x v="3"/>
    </i>
    <i>
      <x v="5"/>
    </i>
    <i>
      <x v="4"/>
    </i>
    <i>
      <x v="32"/>
    </i>
    <i>
      <x v="34"/>
    </i>
    <i>
      <x v="30"/>
    </i>
    <i>
      <x v="2"/>
    </i>
    <i>
      <x v="33"/>
    </i>
    <i>
      <x v="28"/>
    </i>
    <i>
      <x v="27"/>
    </i>
    <i>
      <x v="29"/>
    </i>
    <i>
      <x v="1"/>
    </i>
    <i>
      <x/>
    </i>
    <i t="grand">
      <x/>
    </i>
  </rowItems>
  <colItems count="1">
    <i/>
  </colItems>
  <dataFields count="1">
    <dataField name="Count of charges($)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DCFE7-9F13-2748-9D92-8C6EBAF3F31A}" name="PivotTable16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1">
  <location ref="I83:L87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axis="axisRow" compact="0" showAll="0">
      <items count="3">
        <item x="0"/>
        <item x="1"/>
        <item t="default"/>
      </items>
    </pivotField>
    <pivotField compact="0" showAll="0"/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dataField="1"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smoker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93FB5F-76BC-314B-A02B-AFB62A79CB0A}" name="PivotTable43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2">
  <location ref="D267:G273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charges($)" fld="6" baseField="0" baseItem="0"/>
  </dataFields>
  <formats count="3">
    <format dxfId="57">
      <pivotArea outline="0" collapsedLevelsAreSubtotals="1" fieldPosition="0"/>
    </format>
    <format dxfId="56">
      <pivotArea grandRow="1" outline="0" collapsedLevelsAreSubtotals="1" fieldPosition="0"/>
    </format>
    <format dxfId="55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6D7859-C919-7C41-8492-4419913A67A7}" name="PivotTable38" cacheId="1" dataOnRows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outline="1" outlineData="1" compactData="0" multipleFieldFilters="0" chartFormat="32">
  <location ref="I289:K295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2">
    <i>
      <x/>
    </i>
    <i>
      <x v="1"/>
    </i>
  </colItems>
  <dataFields count="1">
    <dataField name="Average of charges($)" fld="6" subtotal="average" showDataAs="percentOfRow" baseField="0" baseItem="0" numFmtId="10"/>
  </dataFields>
  <formats count="4">
    <format dxfId="61">
      <pivotArea outline="0" collapsedLevelsAreSubtotals="1" fieldPosition="0"/>
    </format>
    <format dxfId="60">
      <pivotArea grandRow="1" outline="0" collapsedLevelsAreSubtotals="1" fieldPosition="0"/>
    </format>
    <format dxfId="59">
      <pivotArea grandRow="1" outline="0" collapsedLevelsAreSubtotals="1" fieldPosition="0"/>
    </format>
    <format dxfId="5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8CDA5-3B5A-B542-9A1C-702BFC4BECFC}" name="PivotTable12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2">
  <location ref="I226:J229" firstHeaderRow="1" firstDataRow="1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Row"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tdDev of charges($)" fld="6" subtotal="stdDev" baseField="0" baseItem="0"/>
  </dataFields>
  <formats count="4">
    <format dxfId="65">
      <pivotArea outline="0" collapsedLevelsAreSubtotals="1" fieldPosition="0"/>
    </format>
    <format dxfId="64">
      <pivotArea grandRow="1" outline="0" collapsedLevelsAreSubtotals="1" fieldPosition="0"/>
    </format>
    <format dxfId="63">
      <pivotArea grandRow="1" outline="0" collapsedLevelsAreSubtotals="1" fieldPosition="0"/>
    </format>
    <format dxfId="62">
      <pivotArea fieldPosition="0">
        <references count="1">
          <reference field="4" count="0"/>
        </references>
      </pivotArea>
    </format>
  </formats>
  <chartFormats count="1"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4632B9-7B34-C047-A53D-21984CF40F9D}" name="PivotTable17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4">
  <location ref="D100:E148" firstHeaderRow="1" firstDataRow="1" firstDataCol="1"/>
  <pivotFields count="7">
    <pivotField axis="axisRow" compact="0" showAll="0" sortType="ascending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3">
        <item x="0"/>
        <item x="1"/>
        <item t="default"/>
      </items>
    </pivotField>
    <pivotField compact="0" showAll="0"/>
    <pivotField compact="0" showAll="0">
      <items count="7">
        <item x="0"/>
        <item x="1"/>
        <item x="3"/>
        <item x="2"/>
        <item x="5"/>
        <item x="4"/>
        <item t="default"/>
      </items>
    </pivotField>
    <pivotField compact="0" showAll="0">
      <items count="3">
        <item x="1"/>
        <item h="1"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0"/>
  </rowFields>
  <rowItems count="48">
    <i>
      <x v="3"/>
    </i>
    <i>
      <x v="8"/>
    </i>
    <i>
      <x v="20"/>
    </i>
    <i>
      <x v="14"/>
    </i>
    <i>
      <x v="10"/>
    </i>
    <i>
      <x v="23"/>
    </i>
    <i>
      <x v="13"/>
    </i>
    <i>
      <x v="7"/>
    </i>
    <i>
      <x v="4"/>
    </i>
    <i>
      <x v="11"/>
    </i>
    <i>
      <x v="17"/>
    </i>
    <i>
      <x v="21"/>
    </i>
    <i>
      <x v="2"/>
    </i>
    <i>
      <x v="6"/>
    </i>
    <i>
      <x v="16"/>
    </i>
    <i>
      <x v="18"/>
    </i>
    <i>
      <x v="22"/>
    </i>
    <i>
      <x v="15"/>
    </i>
    <i>
      <x v="9"/>
    </i>
    <i>
      <x v="12"/>
    </i>
    <i>
      <x v="40"/>
    </i>
    <i>
      <x v="5"/>
    </i>
    <i>
      <x v="24"/>
    </i>
    <i>
      <x v="31"/>
    </i>
    <i>
      <x v="38"/>
    </i>
    <i>
      <x v="28"/>
    </i>
    <i>
      <x v="37"/>
    </i>
    <i>
      <x v="30"/>
    </i>
    <i>
      <x v="39"/>
    </i>
    <i>
      <x v="26"/>
    </i>
    <i>
      <x v="27"/>
    </i>
    <i>
      <x v="44"/>
    </i>
    <i>
      <x v="35"/>
    </i>
    <i>
      <x v="19"/>
    </i>
    <i>
      <x v="32"/>
    </i>
    <i>
      <x v="33"/>
    </i>
    <i>
      <x v="45"/>
    </i>
    <i>
      <x v="41"/>
    </i>
    <i>
      <x/>
    </i>
    <i>
      <x v="42"/>
    </i>
    <i>
      <x v="43"/>
    </i>
    <i>
      <x v="29"/>
    </i>
    <i>
      <x v="46"/>
    </i>
    <i>
      <x v="25"/>
    </i>
    <i>
      <x v="36"/>
    </i>
    <i>
      <x v="34"/>
    </i>
    <i>
      <x v="1"/>
    </i>
    <i t="grand">
      <x/>
    </i>
  </rowItems>
  <colItems count="1">
    <i/>
  </colItems>
  <dataFields count="1">
    <dataField name="Sum of charges($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CA096-D008-ED46-813B-E641641DB1B7}" name="PivotTable20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2">
  <location ref="I249:L255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dataField="1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smoker" fld="4" subtotal="count" showDataAs="percentOfRow" baseField="0" baseItem="0" numFmtId="10"/>
  </dataFields>
  <formats count="6">
    <format dxfId="71">
      <pivotArea outline="0" collapsedLevelsAreSubtotals="1" fieldPosition="0"/>
    </format>
    <format dxfId="70">
      <pivotArea grandRow="1" outline="0" collapsedLevelsAreSubtotals="1" fieldPosition="0"/>
    </format>
    <format dxfId="69">
      <pivotArea grandRow="1" outline="0" collapsedLevelsAreSubtotals="1" fieldPosition="0"/>
    </format>
    <format dxfId="68">
      <pivotArea outline="0" fieldPosition="0">
        <references count="1">
          <reference field="4294967294" count="1">
            <x v="0"/>
          </reference>
        </references>
      </pivotArea>
    </format>
    <format dxfId="67">
      <pivotArea fieldPosition="0">
        <references count="1">
          <reference field="5" count="0"/>
        </references>
      </pivotArea>
    </format>
    <format dxfId="66">
      <pivotArea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7B26EB-EC4B-084C-AA5D-1E92277626AF}" name="PivotTable7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5">
  <location ref="F216:G219" firstHeaderRow="1" firstDataRow="1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Row"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 of charges($)" fld="6" baseField="0" baseItem="0"/>
  </dataFields>
  <formats count="4">
    <format dxfId="75">
      <pivotArea outline="0" collapsedLevelsAreSubtotals="1" fieldPosition="0"/>
    </format>
    <format dxfId="74">
      <pivotArea grandRow="1" outline="0" collapsedLevelsAreSubtotals="1" fieldPosition="0"/>
    </format>
    <format dxfId="73">
      <pivotArea grandRow="1" outline="0" collapsedLevelsAreSubtotals="1" fieldPosition="0"/>
    </format>
    <format dxfId="72">
      <pivotArea fieldPosition="0">
        <references count="1">
          <reference field="4" count="0"/>
        </references>
      </pivotArea>
    </format>
  </formats>
  <chartFormats count="1">
    <chartFormat chart="3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55813-2D24-3E4A-AC3E-5E475056091F}" name="PivotTable19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1">
  <location ref="J100:K148" firstHeaderRow="1" firstDataRow="1" firstDataCol="1"/>
  <pivotFields count="7">
    <pivotField axis="axisRow"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>
      <items count="7">
        <item x="0"/>
        <item x="1"/>
        <item x="3"/>
        <item x="2"/>
        <item x="5"/>
        <item x="4"/>
        <item t="default"/>
      </items>
    </pivotField>
    <pivotField compact="0" showAll="0">
      <items count="3">
        <item x="1"/>
        <item h="1"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Average of charges($)" fld="6" subtotal="average" baseField="0" baseItem="0"/>
  </dataFields>
  <formats count="3">
    <format dxfId="78">
      <pivotArea outline="0" collapsedLevelsAreSubtotals="1" fieldPosition="0"/>
    </format>
    <format dxfId="77">
      <pivotArea grandRow="1" outline="0" collapsedLevelsAreSubtotals="1" fieldPosition="0"/>
    </format>
    <format dxfId="76">
      <pivotArea dataOnly="0" labelOnly="1" outline="0" fieldPosition="0">
        <references count="1">
          <reference field="0" count="1">
            <x v="21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4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488C43-863B-A646-BAF8-F3018F174AF3}" name="PivotTable40" cacheId="1" dataOnRows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outline="1" outlineData="1" compactData="0" multipleFieldFilters="0" chartFormat="32">
  <location ref="I278:K284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2">
    <i>
      <x/>
    </i>
    <i>
      <x v="1"/>
    </i>
  </colItems>
  <dataFields count="1">
    <dataField name="Count of charges($)" fld="6" subtotal="count" showDataAs="percentOfRow" baseField="0" baseItem="0" numFmtId="10"/>
  </dataFields>
  <formats count="4">
    <format dxfId="82">
      <pivotArea outline="0" collapsedLevelsAreSubtotals="1" fieldPosition="0"/>
    </format>
    <format dxfId="81">
      <pivotArea grandRow="1" outline="0" collapsedLevelsAreSubtotals="1" fieldPosition="0"/>
    </format>
    <format dxfId="80">
      <pivotArea grandRow="1" outline="0" collapsedLevelsAreSubtotals="1" fieldPosition="0"/>
    </format>
    <format dxfId="7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57A14-7883-0A41-8E21-5B8F3BDA2232}" name="PivotTable39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2">
  <location ref="D289:G295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Average of charges($)" fld="6" subtotal="average" baseField="0" baseItem="0"/>
  </dataFields>
  <formats count="3">
    <format dxfId="85">
      <pivotArea outline="0" collapsedLevelsAreSubtotals="1" fieldPosition="0"/>
    </format>
    <format dxfId="84">
      <pivotArea grandRow="1" outline="0" collapsedLevelsAreSubtotals="1" fieldPosition="0"/>
    </format>
    <format dxfId="8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766D4-03AA-7C47-B1EE-2C6AECD632A4}" name="PivotTable41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2">
  <location ref="D278:G284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charges($)" fld="6" subtotal="count" baseField="0" baseItem="0"/>
  </dataFields>
  <formats count="3">
    <format dxfId="88">
      <pivotArea outline="0" collapsedLevelsAreSubtotals="1" fieldPosition="0"/>
    </format>
    <format dxfId="87">
      <pivotArea grandRow="1" outline="0" collapsedLevelsAreSubtotals="1" fieldPosition="0"/>
    </format>
    <format dxfId="86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356C1-4CFE-BB4A-9C2C-40CCD2B00228}" name="PivotTable37" cacheId="1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outline="1" outlineData="1" compactData="0" multipleFieldFilters="0" chartFormat="32">
  <location ref="D299:F304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4">
    <i>
      <x/>
    </i>
    <i>
      <x v="1"/>
    </i>
    <i>
      <x v="2"/>
    </i>
    <i>
      <x v="3"/>
    </i>
  </rowItems>
  <colFields count="1">
    <field x="4"/>
  </colFields>
  <colItems count="2">
    <i>
      <x/>
    </i>
    <i>
      <x v="1"/>
    </i>
  </colItems>
  <dataFields count="1">
    <dataField name="Max. of charges($)" fld="6" subtotal="max" baseField="0" baseItem="0"/>
  </dataFields>
  <formats count="3">
    <format dxfId="91">
      <pivotArea outline="0" collapsedLevelsAreSubtotals="1" fieldPosition="0"/>
    </format>
    <format dxfId="90">
      <pivotArea grandRow="1" outline="0" collapsedLevelsAreSubtotals="1" fieldPosition="0"/>
    </format>
    <format dxfId="8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03A5D-F339-1742-AF56-6DB395129C5A}" name="PivotTable14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7">
  <location ref="D249:G255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dataField="1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smoker" fld="4" subtotal="count" baseField="0" baseItem="0"/>
  </dataFields>
  <formats count="4">
    <format dxfId="95">
      <pivotArea outline="0" collapsedLevelsAreSubtotals="1" fieldPosition="0"/>
    </format>
    <format dxfId="94">
      <pivotArea grandRow="1" outline="0" collapsedLevelsAreSubtotals="1" fieldPosition="0"/>
    </format>
    <format dxfId="93">
      <pivotArea grandRow="1" outline="0" collapsedLevelsAreSubtotals="1" fieldPosition="0"/>
    </format>
    <format dxfId="92">
      <pivotArea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58937F-95CF-EB49-8533-460E470EDC98}" name="PivotTable36" cacheId="1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outline="1" outlineData="1" compactData="0" multipleFieldFilters="0" chartFormat="32">
  <location ref="I299:K304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4">
    <i>
      <x/>
    </i>
    <i>
      <x v="1"/>
    </i>
    <i>
      <x v="2"/>
    </i>
    <i>
      <x v="3"/>
    </i>
  </rowItems>
  <colFields count="1">
    <field x="4"/>
  </colFields>
  <colItems count="2">
    <i>
      <x/>
    </i>
    <i>
      <x v="1"/>
    </i>
  </colItems>
  <dataFields count="1">
    <dataField name="Min. of charges($)" fld="6" subtotal="min" baseField="0" baseItem="0"/>
  </dataFields>
  <formats count="1">
    <format dxfId="9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C736C2-9A30-C749-9CD7-1EEFFE503426}" name="PivotTable26" cacheId="1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outline="1" outlineData="1" compactData="0" multipleFieldFilters="0" chartFormat="32">
  <location ref="A33:C38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4">
    <i>
      <x/>
    </i>
    <i>
      <x v="1"/>
    </i>
    <i>
      <x v="2"/>
    </i>
    <i>
      <x v="3"/>
    </i>
  </rowItems>
  <colFields count="1">
    <field x="4"/>
  </colFields>
  <colItems count="2">
    <i>
      <x/>
    </i>
    <i>
      <x v="1"/>
    </i>
  </colItems>
  <dataFields count="1">
    <dataField name="Max. of charges($)" fld="6" subtotal="max" baseField="0" baseItem="0"/>
  </dataFields>
  <formats count="3">
    <format dxfId="2">
      <pivotArea outline="0" collapsedLevelsAreSubtotals="1" fieldPosition="0"/>
    </format>
    <format dxfId="1">
      <pivotArea grandRow="1" outline="0" collapsedLevelsAreSubtotals="1" fieldPosition="0"/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42D90-6ADE-554D-888A-1FC78A26CD71}" name="PivotTable23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2">
  <location ref="A23:D29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Average of charges($)" fld="6" subtotal="average" baseField="0" baseItem="0"/>
  </dataFields>
  <formats count="3">
    <format dxfId="5">
      <pivotArea outline="0" collapsedLevelsAreSubtotals="1" fieldPosition="0"/>
    </format>
    <format dxfId="4">
      <pivotArea grandRow="1" outline="0" collapsedLevelsAreSubtotals="1" fieldPosition="0"/>
    </format>
    <format dxfId="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4E50D-AEFA-204A-B4D6-7E1D046635F2}" name="PivotTable22" cacheId="1" dataOnRows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outline="1" outlineData="1" compactData="0" multipleFieldFilters="0" chartFormat="32">
  <location ref="F12:H18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2">
    <i>
      <x/>
    </i>
    <i>
      <x v="1"/>
    </i>
  </colItems>
  <dataFields count="1">
    <dataField name="Count of charges($)" fld="6" subtotal="count" showDataAs="percentOfRow" baseField="0" baseItem="0" numFmtId="10"/>
  </dataFields>
  <formats count="4">
    <format dxfId="9">
      <pivotArea outline="0" collapsedLevelsAreSubtotals="1" fieldPosition="0"/>
    </format>
    <format dxfId="8">
      <pivotArea grandRow="1" outline="0" collapsedLevelsAreSubtotals="1" fieldPosition="0"/>
    </format>
    <format dxfId="7">
      <pivotArea grandRow="1" outline="0" collapsedLevelsAreSubtotals="1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499C1-DF7F-3647-A7FF-10A12CC39B87}" name="PivotTable25" cacheId="1" dataOnRows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outline="1" outlineData="1" compactData="0" multipleFieldFilters="0" chartFormat="32">
  <location ref="F23:H29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2">
    <i>
      <x/>
    </i>
    <i>
      <x v="1"/>
    </i>
  </colItems>
  <dataFields count="1">
    <dataField name="Average of charges($)" fld="6" subtotal="average" showDataAs="percentOfRow" baseField="0" baseItem="0" numFmtId="10"/>
  </dataFields>
  <formats count="4">
    <format dxfId="13">
      <pivotArea outline="0" collapsedLevelsAreSubtotals="1" fieldPosition="0"/>
    </format>
    <format dxfId="12">
      <pivotArea grandRow="1" outline="0" collapsedLevelsAreSubtotals="1" fieldPosition="0"/>
    </format>
    <format dxfId="11">
      <pivotArea grandRow="1" outline="0" collapsedLevelsAreSubtotals="1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A1AD0-3C29-7848-9710-E49E8900D2D7}" name="PivotTable27" cacheId="1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outline="1" outlineData="1" compactData="0" multipleFieldFilters="0" chartFormat="32">
  <location ref="F33:H38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4">
    <i>
      <x/>
    </i>
    <i>
      <x v="1"/>
    </i>
    <i>
      <x v="2"/>
    </i>
    <i>
      <x v="3"/>
    </i>
  </rowItems>
  <colFields count="1">
    <field x="4"/>
  </colFields>
  <colItems count="2">
    <i>
      <x/>
    </i>
    <i>
      <x v="1"/>
    </i>
  </colItems>
  <dataFields count="1">
    <dataField name="Min. of charges($)" fld="6" subtotal="min" baseField="0" baseItem="0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62944A-E30D-DF47-981C-155EEFD402FD}" name="PivotTable21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2">
  <location ref="A12:D18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charges($)" fld="6" subtotal="count" baseField="0" baseItem="0"/>
  </dataFields>
  <formats count="3">
    <format dxfId="17">
      <pivotArea outline="0" collapsedLevelsAreSubtotals="1" fieldPosition="0"/>
    </format>
    <format dxfId="16">
      <pivotArea grandRow="1" outline="0" collapsedLevelsAreSubtotals="1" fieldPosition="0"/>
    </format>
    <format dxfId="15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4789D-D054-C946-8DCE-66CD51ABF170}" name="PivotTable1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2">
  <location ref="A1:D7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charges($)" fld="6" baseField="0" baseItem="0"/>
  </dataFields>
  <formats count="3">
    <format dxfId="20">
      <pivotArea outline="0" collapsedLevelsAreSubtotals="1" fieldPosition="0"/>
    </format>
    <format dxfId="19">
      <pivotArea grandRow="1" outline="0" collapsedLevelsAreSubtotals="1" fieldPosition="0"/>
    </format>
    <format dxfId="18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47175-A91C-CC46-A4F2-A61F7CBD019D}" name="PivotTable13" cacheId="1" dataOnRows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outline="1" outlineData="1" compactData="0" multipleFieldFilters="0" chartFormat="32">
  <location ref="F1:H7" firstHeaderRow="1" firstDataRow="2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2">
    <i>
      <x/>
    </i>
    <i>
      <x v="1"/>
    </i>
  </colItems>
  <dataFields count="1">
    <dataField name="Sum of charges($)" fld="6" showDataAs="percentOfRow" baseField="0" baseItem="0" numFmtId="10"/>
  </dataFields>
  <formats count="4">
    <format dxfId="24">
      <pivotArea outline="0" collapsedLevelsAreSubtotals="1" fieldPosition="0"/>
    </format>
    <format dxfId="23">
      <pivotArea grandRow="1" outline="0" collapsedLevelsAreSubtotals="1" fieldPosition="0"/>
    </format>
    <format dxfId="22">
      <pivotArea grandRow="1" outline="0" collapsedLevelsAreSubtotals="1" fieldPosition="0"/>
    </format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B4ACC5-FD90-0446-B18F-B6C0AE89F1AD}" name="PivotTable12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1">
  <location ref="M241:N244" firstHeaderRow="1" firstDataRow="1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dataField="1" compact="0" showAll="0"/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Row"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 of bmi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C0E96-ED72-BF40-AB1B-FFDE32F57FE5}" name="PivotTable10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1">
  <location ref="M221:N224" firstHeaderRow="1" firstDataRow="1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axis="axisRow" compact="0" showAll="0">
      <items count="3">
        <item x="0"/>
        <item x="1"/>
        <item t="default"/>
      </items>
    </pivotField>
    <pivotField dataField="1" compact="0" showAll="0"/>
    <pivotField compact="0" showAll="0">
      <items count="7">
        <item x="0"/>
        <item x="1"/>
        <item x="3"/>
        <item x="2"/>
        <item x="5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 of bmi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07BA2-6394-A74B-8E5A-1F9E17EDE02D}" name="PivotTable11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1">
  <location ref="P224:Q231" firstHeaderRow="1" firstDataRow="1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dataField="1" compact="0" showAll="0"/>
    <pivotField axis="axisRow" compact="0" showAll="0">
      <items count="7">
        <item x="0"/>
        <item x="1"/>
        <item x="3"/>
        <item x="2"/>
        <item x="5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bmi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B9040-7C3B-114B-8569-E69EBC90B335}" name="PivotTable4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1">
  <location ref="M214:N217" firstHeaderRow="1" firstDataRow="1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axis="axisRow" compact="0" showAll="0">
      <items count="3">
        <item x="0"/>
        <item x="1"/>
        <item t="default"/>
      </items>
    </pivotField>
    <pivotField compact="0" showAll="0"/>
    <pivotField compact="0" showAll="0">
      <items count="7">
        <item x="0"/>
        <item x="1"/>
        <item x="3"/>
        <item x="2"/>
        <item x="5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 of charges($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EF8379-3BDB-3F42-A03E-DEDAF1CD0C5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20">
  <location ref="B212:E261" firstHeaderRow="1" firstDataRow="2" firstDataCol="1"/>
  <pivotFields count="7">
    <pivotField axis="axisRow"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Col"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charges($)" fld="6" baseField="0" baseItem="0"/>
  </dataFields>
  <chartFormats count="10">
    <chartFormat chart="19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9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8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8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ADEAF-3F9C-EF4D-BACB-F4EEB49356A8}" name="PivotTable5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1">
  <location ref="P214:Q221" firstHeaderRow="1" firstDataRow="1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axis="axisRow" compact="0" showAll="0">
      <items count="7">
        <item x="0"/>
        <item x="1"/>
        <item x="3"/>
        <item x="2"/>
        <item x="5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charges($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8C167B-C058-5D41-B696-D96EDF7D5813}" name="PivotTable3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1">
  <location ref="G212:H260" firstHeaderRow="1" firstDataRow="1" firstDataCol="1"/>
  <pivotFields count="7">
    <pivotField axis="axisRow"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>
      <items count="7">
        <item x="0"/>
        <item x="1"/>
        <item x="3"/>
        <item x="2"/>
        <item x="5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charges($)" fld="6" baseField="0" baseItem="0"/>
  </dataFields>
  <chartFormats count="1"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CFC509-8972-CF4C-8F61-8792A1270965}" name="PivotTable9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1">
  <location ref="J212:K260" firstHeaderRow="1" firstDataRow="1" firstDataCol="1"/>
  <pivotFields count="7">
    <pivotField axis="axisRow"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dataField="1" compact="0" showAll="0"/>
    <pivotField compact="0" showAll="0">
      <items count="7">
        <item x="0"/>
        <item x="1"/>
        <item x="3"/>
        <item x="2"/>
        <item x="5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bmi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236D8-64E2-DC48-B457-712EB42E9B23}" name="PivotTable6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1">
  <location ref="M235:N238" firstHeaderRow="1" firstDataRow="1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>
      <items count="7">
        <item x="0"/>
        <item x="1"/>
        <item x="3"/>
        <item x="2"/>
        <item x="5"/>
        <item x="4"/>
        <item t="default"/>
      </items>
    </pivotField>
    <pivotField axis="axisRow" compact="0" showAll="0">
      <items count="3">
        <item x="1"/>
        <item x="0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 of charges($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77356A-8AC1-E845-A2B0-F9970ED68FB9}" name="PivotTable7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1">
  <location ref="P235:Q240" firstHeaderRow="1" firstDataRow="1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>
      <items count="7">
        <item x="0"/>
        <item x="1"/>
        <item x="3"/>
        <item x="2"/>
        <item x="5"/>
        <item x="4"/>
        <item t="default"/>
      </items>
    </pivotField>
    <pivotField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dataField="1"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harges($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9C7E7-DF11-C04A-91CB-ABA964236DE0}" name="PivotTable13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1">
  <location ref="P245:Q250" firstHeaderRow="1" firstDataRow="1" firstDataCol="1"/>
  <pivotFields count="7">
    <pivotField compact="0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compact="0" showAll="0">
      <items count="3">
        <item x="0"/>
        <item x="1"/>
        <item t="default"/>
      </items>
    </pivotField>
    <pivotField dataField="1" compact="0" showAll="0"/>
    <pivotField compact="0" showAll="0">
      <items count="7">
        <item x="0"/>
        <item x="1"/>
        <item x="3"/>
        <item x="2"/>
        <item x="5"/>
        <item x="4"/>
        <item t="default"/>
      </items>
    </pivotField>
    <pivotField compact="0" showAll="0">
      <items count="3">
        <item x="1"/>
        <item x="0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compact="0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bmi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13294C-22C6-9347-8907-3D9D8F9F5AAD}" name="Table1" displayName="Table1" ref="A1:G1339" totalsRowShown="0" headerRowDxfId="33" dataDxfId="32">
  <autoFilter ref="A1:G1339" xr:uid="{FA13294C-22C6-9347-8907-3D9D8F9F5AAD}"/>
  <tableColumns count="7">
    <tableColumn id="1" xr3:uid="{7347CB02-239B-3C44-AFA9-1153E1AD8081}" name="age" dataDxfId="31"/>
    <tableColumn id="2" xr3:uid="{B2279CE3-A290-604F-B8FD-F55C9E88680E}" name="sex" dataDxfId="30"/>
    <tableColumn id="3" xr3:uid="{C7785732-5622-E648-A4C1-1E955F04BA7A}" name="bmi" dataDxfId="29"/>
    <tableColumn id="4" xr3:uid="{63D64B9E-141F-3A4C-B0CF-DDDC425A3CEB}" name="children" dataDxfId="28"/>
    <tableColumn id="5" xr3:uid="{5CC021F7-B36E-AF45-AFFF-3FDFC3CD9175}" name="smoker" dataDxfId="27"/>
    <tableColumn id="6" xr3:uid="{39D12785-4050-9843-989E-4D3BE6346B72}" name="region" dataDxfId="26"/>
    <tableColumn id="7" xr3:uid="{B3BE3D6B-A4C5-CA4A-B07C-B07713E7390F}" name="charges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BF711B-18EB-BA49-A358-6D5727BD6655}" name="regression" displayName="regression" ref="A1:J1339" totalsRowShown="0">
  <autoFilter ref="A1:J1339" xr:uid="{77BF711B-18EB-BA49-A358-6D5727BD6655}"/>
  <tableColumns count="10">
    <tableColumn id="1" xr3:uid="{A98B2D20-3AB6-F44B-BD78-EC208026FE4C}" name="age"/>
    <tableColumn id="2" xr3:uid="{09A5B098-FEF4-4941-AA77-6F7D401C3D00}" name="sex"/>
    <tableColumn id="3" xr3:uid="{51823515-ACD7-B442-9F48-E2C25786BE86}" name="bmi"/>
    <tableColumn id="4" xr3:uid="{30BE19C3-8DBC-4345-88FF-EC4AB65B1964}" name="children"/>
    <tableColumn id="5" xr3:uid="{C6B8AD24-643D-AD48-BF9C-C9738B198573}" name="smoker"/>
    <tableColumn id="6" xr3:uid="{FFD58918-F7E8-DD40-8CCE-1367E57F1F36}" name="NorthEast"/>
    <tableColumn id="8" xr3:uid="{5E53A7AD-0D6F-A34D-8F8B-8AEBFFF90B9D}" name="SouthEast"/>
    <tableColumn id="9" xr3:uid="{049005BB-16A0-9A4D-9A00-E8DEE3FBDF4B}" name="SouthWest"/>
    <tableColumn id="7" xr3:uid="{B589FFFE-3984-0B4F-9977-45343B8B45BB}" name="NorthWest"/>
    <tableColumn id="10" xr3:uid="{E331FD61-0BBE-4041-9617-14C2E7E49472}" name="charg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9.xml"/><Relationship Id="rId3" Type="http://schemas.openxmlformats.org/officeDocument/2006/relationships/pivotTable" Target="../pivotTables/pivotTable24.xml"/><Relationship Id="rId7" Type="http://schemas.openxmlformats.org/officeDocument/2006/relationships/pivotTable" Target="../pivotTables/pivotTable28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pivotTable" Target="../pivotTables/pivotTable27.xml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7.xml"/><Relationship Id="rId3" Type="http://schemas.openxmlformats.org/officeDocument/2006/relationships/pivotTable" Target="../pivotTables/pivotTable32.xml"/><Relationship Id="rId7" Type="http://schemas.openxmlformats.org/officeDocument/2006/relationships/pivotTable" Target="../pivotTables/pivotTable36.xml"/><Relationship Id="rId12" Type="http://schemas.openxmlformats.org/officeDocument/2006/relationships/drawing" Target="../drawings/drawing2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Relationship Id="rId6" Type="http://schemas.openxmlformats.org/officeDocument/2006/relationships/pivotTable" Target="../pivotTables/pivotTable35.xml"/><Relationship Id="rId11" Type="http://schemas.openxmlformats.org/officeDocument/2006/relationships/pivotTable" Target="../pivotTables/pivotTable40.xml"/><Relationship Id="rId5" Type="http://schemas.openxmlformats.org/officeDocument/2006/relationships/pivotTable" Target="../pivotTables/pivotTable34.xml"/><Relationship Id="rId10" Type="http://schemas.openxmlformats.org/officeDocument/2006/relationships/pivotTable" Target="../pivotTables/pivotTable39.xml"/><Relationship Id="rId4" Type="http://schemas.openxmlformats.org/officeDocument/2006/relationships/pivotTable" Target="../pivotTables/pivotTable33.xml"/><Relationship Id="rId9" Type="http://schemas.openxmlformats.org/officeDocument/2006/relationships/pivotTable" Target="../pivotTables/pivotTable3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674FB-E9A6-1143-8CC0-DC2F90C9A07D}">
  <dimension ref="A1:M367"/>
  <sheetViews>
    <sheetView topLeftCell="A72" zoomScale="92" workbookViewId="0">
      <selection activeCell="J17" sqref="J17"/>
    </sheetView>
  </sheetViews>
  <sheetFormatPr baseColWidth="10" defaultColWidth="12.33203125" defaultRowHeight="15" x14ac:dyDescent="0.2"/>
  <cols>
    <col min="5" max="5" width="48" bestFit="1" customWidth="1"/>
    <col min="6" max="6" width="10.33203125" bestFit="1" customWidth="1"/>
    <col min="7" max="7" width="18.6640625" bestFit="1" customWidth="1"/>
    <col min="8" max="8" width="16.5" bestFit="1" customWidth="1"/>
    <col min="9" max="9" width="18.1640625" bestFit="1" customWidth="1"/>
    <col min="10" max="10" width="17.83203125" bestFit="1" customWidth="1"/>
    <col min="11" max="11" width="9.5" bestFit="1" customWidth="1"/>
    <col min="12" max="12" width="10.33203125" bestFit="1" customWidth="1"/>
  </cols>
  <sheetData>
    <row r="1" spans="1:6" x14ac:dyDescent="0.2">
      <c r="A1" t="s">
        <v>69</v>
      </c>
    </row>
    <row r="2" spans="1:6" x14ac:dyDescent="0.2">
      <c r="B2" s="4" t="s">
        <v>72</v>
      </c>
      <c r="C2" s="68" t="s">
        <v>76</v>
      </c>
      <c r="D2" s="68"/>
      <c r="E2" s="68"/>
      <c r="F2" s="68"/>
    </row>
    <row r="3" spans="1:6" ht="16" x14ac:dyDescent="0.2">
      <c r="C3" s="36" t="s">
        <v>70</v>
      </c>
      <c r="D3">
        <v>4</v>
      </c>
    </row>
    <row r="4" spans="1:6" s="23" customFormat="1" ht="16" x14ac:dyDescent="0.2">
      <c r="E4" s="36" t="s">
        <v>124</v>
      </c>
      <c r="F4" s="36" t="s">
        <v>123</v>
      </c>
    </row>
    <row r="5" spans="1:6" s="23" customFormat="1" x14ac:dyDescent="0.2">
      <c r="E5" s="23" t="s">
        <v>114</v>
      </c>
      <c r="F5" s="23" t="s">
        <v>115</v>
      </c>
    </row>
    <row r="6" spans="1:6" s="23" customFormat="1" x14ac:dyDescent="0.2">
      <c r="E6" s="23" t="s">
        <v>116</v>
      </c>
      <c r="F6" s="23" t="s">
        <v>117</v>
      </c>
    </row>
    <row r="7" spans="1:6" s="23" customFormat="1" x14ac:dyDescent="0.2"/>
    <row r="8" spans="1:6" s="23" customFormat="1" x14ac:dyDescent="0.2"/>
    <row r="9" spans="1:6" s="23" customFormat="1" x14ac:dyDescent="0.2"/>
    <row r="10" spans="1:6" ht="16" x14ac:dyDescent="0.2">
      <c r="C10" s="36" t="s">
        <v>71</v>
      </c>
      <c r="D10">
        <v>3</v>
      </c>
    </row>
    <row r="11" spans="1:6" x14ac:dyDescent="0.2">
      <c r="E11" t="s">
        <v>111</v>
      </c>
    </row>
    <row r="12" spans="1:6" s="23" customFormat="1" x14ac:dyDescent="0.2">
      <c r="E12" s="23" t="s">
        <v>112</v>
      </c>
    </row>
    <row r="13" spans="1:6" s="23" customFormat="1" x14ac:dyDescent="0.2">
      <c r="E13" s="23" t="s">
        <v>113</v>
      </c>
    </row>
    <row r="14" spans="1:6" s="23" customFormat="1" x14ac:dyDescent="0.2"/>
    <row r="15" spans="1:6" s="23" customFormat="1" x14ac:dyDescent="0.2"/>
    <row r="16" spans="1:6" s="23" customFormat="1" x14ac:dyDescent="0.2">
      <c r="C16" s="23" t="s">
        <v>118</v>
      </c>
      <c r="D16" s="23">
        <v>7</v>
      </c>
    </row>
    <row r="17" spans="2:8" s="23" customFormat="1" x14ac:dyDescent="0.2"/>
    <row r="18" spans="2:8" s="23" customFormat="1" x14ac:dyDescent="0.2"/>
    <row r="19" spans="2:8" s="23" customFormat="1" x14ac:dyDescent="0.2"/>
    <row r="21" spans="2:8" x14ac:dyDescent="0.2">
      <c r="B21" s="4" t="s">
        <v>73</v>
      </c>
      <c r="C21" s="68" t="s">
        <v>75</v>
      </c>
      <c r="D21" s="68"/>
      <c r="E21" s="68"/>
      <c r="F21" s="68"/>
      <c r="G21" s="68"/>
      <c r="H21" s="68"/>
    </row>
    <row r="57" s="23" customFormat="1" x14ac:dyDescent="0.2"/>
    <row r="58" s="23" customFormat="1" x14ac:dyDescent="0.2"/>
    <row r="59" s="23" customFormat="1" x14ac:dyDescent="0.2"/>
    <row r="60" s="23" customFormat="1" x14ac:dyDescent="0.2"/>
    <row r="61" s="23" customFormat="1" x14ac:dyDescent="0.2"/>
    <row r="62" s="23" customFormat="1" x14ac:dyDescent="0.2"/>
    <row r="63" s="23" customFormat="1" x14ac:dyDescent="0.2"/>
    <row r="64" s="23" customFormat="1" x14ac:dyDescent="0.2"/>
    <row r="65" spans="1:5" s="23" customFormat="1" x14ac:dyDescent="0.2">
      <c r="A65" s="23" t="s">
        <v>122</v>
      </c>
    </row>
    <row r="66" spans="1:5" s="23" customFormat="1" x14ac:dyDescent="0.2"/>
    <row r="67" spans="1:5" s="23" customFormat="1" x14ac:dyDescent="0.2"/>
    <row r="68" spans="1:5" s="23" customFormat="1" x14ac:dyDescent="0.2"/>
    <row r="69" spans="1:5" s="23" customFormat="1" x14ac:dyDescent="0.2"/>
    <row r="70" spans="1:5" s="23" customFormat="1" x14ac:dyDescent="0.2"/>
    <row r="71" spans="1:5" s="23" customFormat="1" x14ac:dyDescent="0.2"/>
    <row r="72" spans="1:5" s="23" customFormat="1" x14ac:dyDescent="0.2"/>
    <row r="73" spans="1:5" s="23" customFormat="1" x14ac:dyDescent="0.2"/>
    <row r="74" spans="1:5" s="23" customFormat="1" x14ac:dyDescent="0.2"/>
    <row r="75" spans="1:5" s="23" customFormat="1" x14ac:dyDescent="0.2"/>
    <row r="76" spans="1:5" s="23" customFormat="1" x14ac:dyDescent="0.2"/>
    <row r="77" spans="1:5" s="23" customFormat="1" x14ac:dyDescent="0.2"/>
    <row r="78" spans="1:5" s="23" customFormat="1" x14ac:dyDescent="0.2"/>
    <row r="79" spans="1:5" s="23" customFormat="1" x14ac:dyDescent="0.2"/>
    <row r="80" spans="1:5" x14ac:dyDescent="0.2">
      <c r="B80" s="4" t="s">
        <v>74</v>
      </c>
      <c r="C80" s="68" t="s">
        <v>77</v>
      </c>
      <c r="D80" s="68"/>
      <c r="E80" s="68"/>
    </row>
    <row r="81" spans="3:12" x14ac:dyDescent="0.2">
      <c r="C81" s="67" t="s">
        <v>78</v>
      </c>
      <c r="D81" s="67"/>
      <c r="E81" s="67"/>
      <c r="F81" s="67"/>
    </row>
    <row r="83" spans="3:12" x14ac:dyDescent="0.2">
      <c r="D83" s="1" t="s">
        <v>87</v>
      </c>
      <c r="E83" s="1" t="s">
        <v>1</v>
      </c>
      <c r="I83" s="1" t="s">
        <v>51</v>
      </c>
      <c r="J83" s="1" t="s">
        <v>4</v>
      </c>
    </row>
    <row r="84" spans="3:12" x14ac:dyDescent="0.2">
      <c r="D84" s="1" t="s">
        <v>4</v>
      </c>
      <c r="E84" t="s">
        <v>6</v>
      </c>
      <c r="F84" t="s">
        <v>9</v>
      </c>
      <c r="G84" t="s">
        <v>14</v>
      </c>
      <c r="I84" s="1" t="s">
        <v>1</v>
      </c>
      <c r="J84" t="s">
        <v>10</v>
      </c>
      <c r="K84" t="s">
        <v>7</v>
      </c>
      <c r="L84" t="s">
        <v>14</v>
      </c>
    </row>
    <row r="85" spans="3:12" x14ac:dyDescent="0.2">
      <c r="D85" t="s">
        <v>10</v>
      </c>
      <c r="E85" s="15">
        <v>0.51409774436090228</v>
      </c>
      <c r="F85" s="15">
        <v>0.48590225563909772</v>
      </c>
      <c r="G85" s="14">
        <v>1</v>
      </c>
      <c r="I85" t="s">
        <v>6</v>
      </c>
      <c r="J85" s="2">
        <v>547</v>
      </c>
      <c r="K85" s="2">
        <v>115</v>
      </c>
      <c r="L85" s="2">
        <v>662</v>
      </c>
    </row>
    <row r="86" spans="3:12" x14ac:dyDescent="0.2">
      <c r="D86" t="s">
        <v>7</v>
      </c>
      <c r="E86" s="15">
        <v>0.41970802919708028</v>
      </c>
      <c r="F86" s="15">
        <v>0.58029197080291972</v>
      </c>
      <c r="G86" s="14">
        <v>1</v>
      </c>
      <c r="I86" t="s">
        <v>9</v>
      </c>
      <c r="J86" s="2">
        <v>517</v>
      </c>
      <c r="K86" s="2">
        <v>159</v>
      </c>
      <c r="L86" s="2">
        <v>676</v>
      </c>
    </row>
    <row r="87" spans="3:12" x14ac:dyDescent="0.2">
      <c r="D87" t="s">
        <v>14</v>
      </c>
      <c r="E87" s="14">
        <v>0.49476831091180867</v>
      </c>
      <c r="F87" s="14">
        <v>0.50523168908819138</v>
      </c>
      <c r="G87" s="14">
        <v>1</v>
      </c>
      <c r="I87" t="s">
        <v>14</v>
      </c>
      <c r="J87" s="2">
        <v>1064</v>
      </c>
      <c r="K87" s="2">
        <v>274</v>
      </c>
      <c r="L87" s="2">
        <v>1338</v>
      </c>
    </row>
    <row r="91" spans="3:12" x14ac:dyDescent="0.2">
      <c r="C91" s="16" t="s">
        <v>88</v>
      </c>
    </row>
    <row r="92" spans="3:12" x14ac:dyDescent="0.2">
      <c r="D92" t="s">
        <v>90</v>
      </c>
    </row>
    <row r="93" spans="3:12" x14ac:dyDescent="0.2">
      <c r="D93" t="s">
        <v>91</v>
      </c>
    </row>
    <row r="94" spans="3:12" x14ac:dyDescent="0.2">
      <c r="D94" t="s">
        <v>89</v>
      </c>
    </row>
    <row r="95" spans="3:12" x14ac:dyDescent="0.2">
      <c r="D95" t="s">
        <v>93</v>
      </c>
    </row>
    <row r="96" spans="3:12" x14ac:dyDescent="0.2">
      <c r="D96" t="s">
        <v>92</v>
      </c>
    </row>
    <row r="98" spans="3:11" x14ac:dyDescent="0.2">
      <c r="C98" s="67" t="s">
        <v>79</v>
      </c>
      <c r="D98" s="67"/>
    </row>
    <row r="100" spans="3:11" x14ac:dyDescent="0.2">
      <c r="D100" s="1" t="s">
        <v>0</v>
      </c>
      <c r="E100" t="s">
        <v>52</v>
      </c>
      <c r="G100" s="1" t="s">
        <v>0</v>
      </c>
      <c r="H100" t="s">
        <v>94</v>
      </c>
      <c r="J100" s="1" t="s">
        <v>0</v>
      </c>
      <c r="K100" t="s">
        <v>101</v>
      </c>
    </row>
    <row r="101" spans="3:11" x14ac:dyDescent="0.2">
      <c r="D101">
        <v>21</v>
      </c>
      <c r="E101" s="2">
        <v>132453.00122999999</v>
      </c>
      <c r="G101">
        <v>64</v>
      </c>
      <c r="H101" s="2">
        <v>22</v>
      </c>
      <c r="J101">
        <v>18</v>
      </c>
      <c r="K101" s="19">
        <v>7086.2175563623205</v>
      </c>
    </row>
    <row r="102" spans="3:11" x14ac:dyDescent="0.2">
      <c r="D102">
        <v>26</v>
      </c>
      <c r="E102" s="2">
        <v>171747.10863999999</v>
      </c>
      <c r="G102">
        <v>60</v>
      </c>
      <c r="H102" s="2">
        <v>23</v>
      </c>
      <c r="J102">
        <v>19</v>
      </c>
      <c r="K102" s="19">
        <v>9747.9093345588226</v>
      </c>
    </row>
    <row r="103" spans="3:11" x14ac:dyDescent="0.2">
      <c r="D103">
        <v>38</v>
      </c>
      <c r="E103" s="2">
        <v>202568.34185</v>
      </c>
      <c r="G103">
        <v>61</v>
      </c>
      <c r="H103" s="2">
        <v>23</v>
      </c>
      <c r="J103">
        <v>20</v>
      </c>
      <c r="K103" s="19">
        <v>10159.697736206897</v>
      </c>
    </row>
    <row r="104" spans="3:11" x14ac:dyDescent="0.2">
      <c r="D104">
        <v>32</v>
      </c>
      <c r="E104" s="2">
        <v>239727.80756000004</v>
      </c>
      <c r="G104">
        <v>63</v>
      </c>
      <c r="H104" s="2">
        <v>23</v>
      </c>
      <c r="J104">
        <v>21</v>
      </c>
      <c r="K104" s="19">
        <v>4730.4643296428567</v>
      </c>
    </row>
    <row r="105" spans="3:11" x14ac:dyDescent="0.2">
      <c r="D105">
        <v>28</v>
      </c>
      <c r="E105" s="2">
        <v>253937.25179999994</v>
      </c>
      <c r="G105">
        <v>62</v>
      </c>
      <c r="H105" s="2">
        <v>23</v>
      </c>
      <c r="J105">
        <v>22</v>
      </c>
      <c r="K105" s="19">
        <v>10012.932801785715</v>
      </c>
    </row>
    <row r="106" spans="3:11" x14ac:dyDescent="0.2">
      <c r="D106">
        <v>41</v>
      </c>
      <c r="E106" s="2">
        <v>260651.13253999999</v>
      </c>
      <c r="G106">
        <v>39</v>
      </c>
      <c r="H106" s="2">
        <v>25</v>
      </c>
      <c r="J106">
        <v>23</v>
      </c>
      <c r="K106" s="19">
        <v>12419.820039642855</v>
      </c>
    </row>
    <row r="107" spans="3:11" x14ac:dyDescent="0.2">
      <c r="D107">
        <v>31</v>
      </c>
      <c r="E107" s="2">
        <v>275318.47547999996</v>
      </c>
      <c r="G107">
        <v>37</v>
      </c>
      <c r="H107" s="2">
        <v>25</v>
      </c>
      <c r="J107">
        <v>24</v>
      </c>
      <c r="K107" s="19">
        <v>10648.015962142857</v>
      </c>
    </row>
    <row r="108" spans="3:11" x14ac:dyDescent="0.2">
      <c r="D108">
        <v>25</v>
      </c>
      <c r="E108" s="2">
        <v>275474.22869999998</v>
      </c>
      <c r="G108">
        <v>58</v>
      </c>
      <c r="H108" s="2">
        <v>25</v>
      </c>
      <c r="J108">
        <v>25</v>
      </c>
      <c r="K108" s="19">
        <v>9838.3653107142854</v>
      </c>
    </row>
    <row r="109" spans="3:11" x14ac:dyDescent="0.2">
      <c r="D109">
        <v>22</v>
      </c>
      <c r="E109" s="2">
        <v>280362.11845000001</v>
      </c>
      <c r="G109">
        <v>38</v>
      </c>
      <c r="H109" s="2">
        <v>25</v>
      </c>
      <c r="J109">
        <v>26</v>
      </c>
      <c r="K109" s="19">
        <v>6133.8253085714286</v>
      </c>
    </row>
    <row r="110" spans="3:11" x14ac:dyDescent="0.2">
      <c r="D110">
        <v>29</v>
      </c>
      <c r="E110" s="2">
        <v>281614.28563000006</v>
      </c>
      <c r="G110">
        <v>59</v>
      </c>
      <c r="H110" s="2">
        <v>25</v>
      </c>
      <c r="J110">
        <v>27</v>
      </c>
      <c r="K110" s="19">
        <v>12184.701721428573</v>
      </c>
    </row>
    <row r="111" spans="3:11" x14ac:dyDescent="0.2">
      <c r="D111">
        <v>35</v>
      </c>
      <c r="E111" s="2">
        <v>282679.55078000005</v>
      </c>
      <c r="G111">
        <v>36</v>
      </c>
      <c r="H111" s="2">
        <v>25</v>
      </c>
      <c r="J111">
        <v>28</v>
      </c>
      <c r="K111" s="19">
        <v>9069.1875642857121</v>
      </c>
    </row>
    <row r="112" spans="3:11" x14ac:dyDescent="0.2">
      <c r="D112">
        <v>39</v>
      </c>
      <c r="E112" s="2">
        <v>294456.07363</v>
      </c>
      <c r="G112">
        <v>35</v>
      </c>
      <c r="H112" s="2">
        <v>25</v>
      </c>
      <c r="J112">
        <v>29</v>
      </c>
      <c r="K112" s="19">
        <v>10430.158727037038</v>
      </c>
    </row>
    <row r="113" spans="4:11" x14ac:dyDescent="0.2">
      <c r="D113">
        <v>20</v>
      </c>
      <c r="E113" s="2">
        <v>294631.23435000004</v>
      </c>
      <c r="G113">
        <v>57</v>
      </c>
      <c r="H113" s="2">
        <v>26</v>
      </c>
      <c r="J113">
        <v>30</v>
      </c>
      <c r="K113" s="19">
        <v>12719.110358148146</v>
      </c>
    </row>
    <row r="114" spans="4:11" x14ac:dyDescent="0.2">
      <c r="D114">
        <v>24</v>
      </c>
      <c r="E114" s="2">
        <v>298144.44693999999</v>
      </c>
      <c r="G114">
        <v>34</v>
      </c>
      <c r="H114" s="2">
        <v>26</v>
      </c>
      <c r="J114">
        <v>31</v>
      </c>
      <c r="K114" s="19">
        <v>10196.980573333332</v>
      </c>
    </row>
    <row r="115" spans="4:11" x14ac:dyDescent="0.2">
      <c r="D115">
        <v>34</v>
      </c>
      <c r="E115" s="2">
        <v>301951.73113999999</v>
      </c>
      <c r="G115">
        <v>56</v>
      </c>
      <c r="H115" s="2">
        <v>26</v>
      </c>
      <c r="J115">
        <v>32</v>
      </c>
      <c r="K115" s="19">
        <v>9220.3002907692317</v>
      </c>
    </row>
    <row r="116" spans="4:11" x14ac:dyDescent="0.2">
      <c r="D116">
        <v>36</v>
      </c>
      <c r="E116" s="2">
        <v>305111.90344999998</v>
      </c>
      <c r="G116">
        <v>32</v>
      </c>
      <c r="H116" s="2">
        <v>26</v>
      </c>
      <c r="J116">
        <v>33</v>
      </c>
      <c r="K116" s="19">
        <v>12351.53298730769</v>
      </c>
    </row>
    <row r="117" spans="4:11" x14ac:dyDescent="0.2">
      <c r="D117">
        <v>40</v>
      </c>
      <c r="E117" s="2">
        <v>317850.78537</v>
      </c>
      <c r="G117">
        <v>33</v>
      </c>
      <c r="H117" s="2">
        <v>26</v>
      </c>
      <c r="J117">
        <v>34</v>
      </c>
      <c r="K117" s="19">
        <v>11613.52812076923</v>
      </c>
    </row>
    <row r="118" spans="4:11" x14ac:dyDescent="0.2">
      <c r="D118">
        <v>33</v>
      </c>
      <c r="E118" s="2">
        <v>321139.85766999994</v>
      </c>
      <c r="G118">
        <v>55</v>
      </c>
      <c r="H118" s="2">
        <v>26</v>
      </c>
      <c r="J118">
        <v>35</v>
      </c>
      <c r="K118" s="19">
        <v>11307.182031200002</v>
      </c>
    </row>
    <row r="119" spans="4:11" x14ac:dyDescent="0.2">
      <c r="D119">
        <v>27</v>
      </c>
      <c r="E119" s="2">
        <v>341171.64820000005</v>
      </c>
      <c r="G119">
        <v>41</v>
      </c>
      <c r="H119" s="2">
        <v>27</v>
      </c>
      <c r="J119">
        <v>36</v>
      </c>
      <c r="K119" s="19">
        <v>12204.476138</v>
      </c>
    </row>
    <row r="120" spans="4:11" x14ac:dyDescent="0.2">
      <c r="D120">
        <v>30</v>
      </c>
      <c r="E120" s="2">
        <v>343415.97966999991</v>
      </c>
      <c r="G120">
        <v>43</v>
      </c>
      <c r="H120" s="2">
        <v>27</v>
      </c>
      <c r="J120">
        <v>37</v>
      </c>
      <c r="K120" s="19">
        <v>18019.9118772</v>
      </c>
    </row>
    <row r="121" spans="4:11" x14ac:dyDescent="0.2">
      <c r="D121">
        <v>58</v>
      </c>
      <c r="E121" s="2">
        <v>346973.20279000001</v>
      </c>
      <c r="G121">
        <v>31</v>
      </c>
      <c r="H121" s="2">
        <v>27</v>
      </c>
      <c r="J121">
        <v>38</v>
      </c>
      <c r="K121" s="19">
        <v>8102.7336740000001</v>
      </c>
    </row>
    <row r="122" spans="4:11" x14ac:dyDescent="0.2">
      <c r="D122">
        <v>23</v>
      </c>
      <c r="E122" s="2">
        <v>347754.96110999992</v>
      </c>
      <c r="G122">
        <v>44</v>
      </c>
      <c r="H122" s="2">
        <v>27</v>
      </c>
      <c r="J122" s="21">
        <v>39</v>
      </c>
      <c r="K122" s="19">
        <v>11778.2429452</v>
      </c>
    </row>
    <row r="123" spans="4:11" x14ac:dyDescent="0.2">
      <c r="D123">
        <v>42</v>
      </c>
      <c r="E123" s="2">
        <v>352648.04405999999</v>
      </c>
      <c r="G123">
        <v>42</v>
      </c>
      <c r="H123" s="2">
        <v>27</v>
      </c>
      <c r="J123">
        <v>40</v>
      </c>
      <c r="K123" s="19">
        <v>11772.25131</v>
      </c>
    </row>
    <row r="124" spans="4:11" x14ac:dyDescent="0.2">
      <c r="D124">
        <v>49</v>
      </c>
      <c r="E124" s="2">
        <v>355488.17540000001</v>
      </c>
      <c r="G124">
        <v>29</v>
      </c>
      <c r="H124" s="2">
        <v>27</v>
      </c>
      <c r="J124">
        <v>41</v>
      </c>
      <c r="K124" s="19">
        <v>9653.745649629629</v>
      </c>
    </row>
    <row r="125" spans="4:11" x14ac:dyDescent="0.2">
      <c r="D125">
        <v>56</v>
      </c>
      <c r="E125" s="2">
        <v>390663.41175000003</v>
      </c>
      <c r="G125">
        <v>40</v>
      </c>
      <c r="H125" s="2">
        <v>27</v>
      </c>
      <c r="J125">
        <v>42</v>
      </c>
      <c r="K125" s="19">
        <v>13061.038668888888</v>
      </c>
    </row>
    <row r="126" spans="4:11" x14ac:dyDescent="0.2">
      <c r="D126">
        <v>46</v>
      </c>
      <c r="E126" s="2">
        <v>415935.12851999997</v>
      </c>
      <c r="G126">
        <v>30</v>
      </c>
      <c r="H126" s="2">
        <v>27</v>
      </c>
      <c r="J126">
        <v>43</v>
      </c>
      <c r="K126" s="19">
        <v>19267.278653333331</v>
      </c>
    </row>
    <row r="127" spans="4:11" x14ac:dyDescent="0.2">
      <c r="D127">
        <v>55</v>
      </c>
      <c r="E127" s="2">
        <v>420278.1827</v>
      </c>
      <c r="G127">
        <v>24</v>
      </c>
      <c r="H127" s="2">
        <v>28</v>
      </c>
      <c r="J127">
        <v>44</v>
      </c>
      <c r="K127" s="19">
        <v>15859.396587037038</v>
      </c>
    </row>
    <row r="128" spans="4:11" x14ac:dyDescent="0.2">
      <c r="D128">
        <v>48</v>
      </c>
      <c r="E128" s="2">
        <v>424342.51290999993</v>
      </c>
      <c r="G128">
        <v>28</v>
      </c>
      <c r="H128" s="2">
        <v>28</v>
      </c>
      <c r="J128">
        <v>45</v>
      </c>
      <c r="K128" s="19">
        <v>14830.199856206897</v>
      </c>
    </row>
    <row r="129" spans="4:11" x14ac:dyDescent="0.2">
      <c r="D129">
        <v>57</v>
      </c>
      <c r="E129" s="2">
        <v>427626.81650000002</v>
      </c>
      <c r="G129">
        <v>25</v>
      </c>
      <c r="H129" s="2">
        <v>28</v>
      </c>
      <c r="J129">
        <v>46</v>
      </c>
      <c r="K129" s="19">
        <v>14342.590638620688</v>
      </c>
    </row>
    <row r="130" spans="4:11" x14ac:dyDescent="0.2">
      <c r="D130">
        <v>44</v>
      </c>
      <c r="E130" s="2">
        <v>428203.70785000001</v>
      </c>
      <c r="G130">
        <v>53</v>
      </c>
      <c r="H130" s="2">
        <v>28</v>
      </c>
      <c r="J130">
        <v>47</v>
      </c>
      <c r="K130" s="19">
        <v>17653.99959310345</v>
      </c>
    </row>
    <row r="131" spans="4:11" x14ac:dyDescent="0.2">
      <c r="D131">
        <v>45</v>
      </c>
      <c r="E131" s="2">
        <v>430075.79583000002</v>
      </c>
      <c r="G131">
        <v>26</v>
      </c>
      <c r="H131" s="2">
        <v>28</v>
      </c>
      <c r="J131">
        <v>48</v>
      </c>
      <c r="K131" s="19">
        <v>14632.500445172411</v>
      </c>
    </row>
    <row r="132" spans="4:11" x14ac:dyDescent="0.2">
      <c r="D132">
        <v>62</v>
      </c>
      <c r="E132" s="2">
        <v>440768.70118999999</v>
      </c>
      <c r="G132">
        <v>27</v>
      </c>
      <c r="H132" s="2">
        <v>28</v>
      </c>
      <c r="J132">
        <v>49</v>
      </c>
      <c r="K132" s="19">
        <v>12696.006264285714</v>
      </c>
    </row>
    <row r="133" spans="4:11" x14ac:dyDescent="0.2">
      <c r="D133">
        <v>53</v>
      </c>
      <c r="E133" s="2">
        <v>448586.06114000006</v>
      </c>
      <c r="G133">
        <v>49</v>
      </c>
      <c r="H133" s="2">
        <v>28</v>
      </c>
      <c r="J133">
        <v>50</v>
      </c>
      <c r="K133" s="19">
        <v>15663.003300689661</v>
      </c>
    </row>
    <row r="134" spans="4:11" x14ac:dyDescent="0.2">
      <c r="D134">
        <v>37</v>
      </c>
      <c r="E134" s="2">
        <v>450497.79693000001</v>
      </c>
      <c r="G134">
        <v>54</v>
      </c>
      <c r="H134" s="2">
        <v>28</v>
      </c>
      <c r="J134">
        <v>51</v>
      </c>
      <c r="K134" s="19">
        <v>15682.255867241382</v>
      </c>
    </row>
    <row r="135" spans="4:11" x14ac:dyDescent="0.2">
      <c r="D135">
        <v>50</v>
      </c>
      <c r="E135" s="2">
        <v>454227.09572000016</v>
      </c>
      <c r="G135">
        <v>21</v>
      </c>
      <c r="H135" s="2">
        <v>28</v>
      </c>
      <c r="J135">
        <v>52</v>
      </c>
      <c r="K135" s="19">
        <v>18256.269719310341</v>
      </c>
    </row>
    <row r="136" spans="4:11" x14ac:dyDescent="0.2">
      <c r="D136">
        <v>51</v>
      </c>
      <c r="E136" s="2">
        <v>454785.42015000008</v>
      </c>
      <c r="G136">
        <v>23</v>
      </c>
      <c r="H136" s="2">
        <v>28</v>
      </c>
      <c r="J136">
        <v>53</v>
      </c>
      <c r="K136" s="19">
        <v>16020.930755000003</v>
      </c>
    </row>
    <row r="137" spans="4:11" x14ac:dyDescent="0.2">
      <c r="D137">
        <v>63</v>
      </c>
      <c r="E137" s="2">
        <v>457354.96460000006</v>
      </c>
      <c r="G137">
        <v>22</v>
      </c>
      <c r="H137" s="2">
        <v>28</v>
      </c>
      <c r="J137">
        <v>54</v>
      </c>
      <c r="K137" s="19">
        <v>18758.546475357143</v>
      </c>
    </row>
    <row r="138" spans="4:11" x14ac:dyDescent="0.2">
      <c r="D138">
        <v>59</v>
      </c>
      <c r="E138" s="2">
        <v>472396.73828999995</v>
      </c>
      <c r="G138">
        <v>50</v>
      </c>
      <c r="H138" s="2">
        <v>29</v>
      </c>
      <c r="J138">
        <v>55</v>
      </c>
      <c r="K138" s="19">
        <v>16164.545488461539</v>
      </c>
    </row>
    <row r="139" spans="4:11" x14ac:dyDescent="0.2">
      <c r="D139">
        <v>18</v>
      </c>
      <c r="E139" s="2">
        <v>488949.01138900011</v>
      </c>
      <c r="G139">
        <v>52</v>
      </c>
      <c r="H139" s="2">
        <v>29</v>
      </c>
      <c r="J139">
        <v>56</v>
      </c>
      <c r="K139" s="19">
        <v>15025.515836538463</v>
      </c>
    </row>
    <row r="140" spans="4:11" x14ac:dyDescent="0.2">
      <c r="D140">
        <v>60</v>
      </c>
      <c r="E140" s="2">
        <v>505526.62566999998</v>
      </c>
      <c r="G140">
        <v>48</v>
      </c>
      <c r="H140" s="2">
        <v>29</v>
      </c>
      <c r="J140">
        <v>57</v>
      </c>
      <c r="K140" s="19">
        <v>16447.185250000002</v>
      </c>
    </row>
    <row r="141" spans="4:11" x14ac:dyDescent="0.2">
      <c r="D141">
        <v>61</v>
      </c>
      <c r="E141" s="2">
        <v>506562.52499999997</v>
      </c>
      <c r="G141">
        <v>20</v>
      </c>
      <c r="H141" s="2">
        <v>29</v>
      </c>
      <c r="J141">
        <v>58</v>
      </c>
      <c r="K141" s="19">
        <v>13878.9281116</v>
      </c>
    </row>
    <row r="142" spans="4:11" x14ac:dyDescent="0.2">
      <c r="D142">
        <v>47</v>
      </c>
      <c r="E142" s="2">
        <v>511965.98820000002</v>
      </c>
      <c r="G142">
        <v>51</v>
      </c>
      <c r="H142" s="2">
        <v>29</v>
      </c>
      <c r="J142">
        <v>59</v>
      </c>
      <c r="K142" s="19">
        <v>18895.869531599998</v>
      </c>
    </row>
    <row r="143" spans="4:11" x14ac:dyDescent="0.2">
      <c r="D143">
        <v>64</v>
      </c>
      <c r="E143" s="2">
        <v>512061.67841999989</v>
      </c>
      <c r="G143">
        <v>46</v>
      </c>
      <c r="H143" s="2">
        <v>29</v>
      </c>
      <c r="J143">
        <v>60</v>
      </c>
      <c r="K143" s="19">
        <v>21979.418507391303</v>
      </c>
    </row>
    <row r="144" spans="4:11" x14ac:dyDescent="0.2">
      <c r="D144">
        <v>43</v>
      </c>
      <c r="E144" s="2">
        <v>520216.52363999997</v>
      </c>
      <c r="G144">
        <v>45</v>
      </c>
      <c r="H144" s="2">
        <v>29</v>
      </c>
      <c r="J144">
        <v>61</v>
      </c>
      <c r="K144" s="19">
        <v>22024.457608695651</v>
      </c>
    </row>
    <row r="145" spans="3:11" x14ac:dyDescent="0.2">
      <c r="D145">
        <v>54</v>
      </c>
      <c r="E145" s="2">
        <v>525239.30131000001</v>
      </c>
      <c r="G145">
        <v>47</v>
      </c>
      <c r="H145" s="2">
        <v>29</v>
      </c>
      <c r="J145">
        <v>62</v>
      </c>
      <c r="K145" s="19">
        <v>19163.856573478261</v>
      </c>
    </row>
    <row r="146" spans="3:11" x14ac:dyDescent="0.2">
      <c r="D146">
        <v>52</v>
      </c>
      <c r="E146" s="2">
        <v>529431.82185999991</v>
      </c>
      <c r="G146">
        <v>19</v>
      </c>
      <c r="H146" s="2">
        <v>68</v>
      </c>
      <c r="J146">
        <v>63</v>
      </c>
      <c r="K146" s="19">
        <v>19884.998460869567</v>
      </c>
    </row>
    <row r="147" spans="3:11" x14ac:dyDescent="0.2">
      <c r="D147">
        <v>19</v>
      </c>
      <c r="E147" s="2">
        <v>662857.83474999992</v>
      </c>
      <c r="G147">
        <v>18</v>
      </c>
      <c r="H147" s="2">
        <v>69</v>
      </c>
      <c r="J147">
        <v>64</v>
      </c>
      <c r="K147" s="19">
        <v>23275.530837272723</v>
      </c>
    </row>
    <row r="148" spans="3:11" x14ac:dyDescent="0.2">
      <c r="D148" t="s">
        <v>14</v>
      </c>
      <c r="E148" s="2">
        <v>17755824.990759008</v>
      </c>
      <c r="G148" t="s">
        <v>14</v>
      </c>
      <c r="H148" s="2">
        <v>1338</v>
      </c>
      <c r="J148" t="s">
        <v>14</v>
      </c>
      <c r="K148" s="20">
        <v>13270.422265141273</v>
      </c>
    </row>
    <row r="151" spans="3:11" x14ac:dyDescent="0.2">
      <c r="C151" s="16" t="s">
        <v>88</v>
      </c>
    </row>
    <row r="152" spans="3:11" x14ac:dyDescent="0.2">
      <c r="D152" t="s">
        <v>95</v>
      </c>
    </row>
    <row r="153" spans="3:11" x14ac:dyDescent="0.2">
      <c r="D153" t="s">
        <v>96</v>
      </c>
    </row>
    <row r="154" spans="3:11" x14ac:dyDescent="0.2">
      <c r="E154" t="s">
        <v>98</v>
      </c>
    </row>
    <row r="155" spans="3:11" x14ac:dyDescent="0.2">
      <c r="E155" t="s">
        <v>97</v>
      </c>
    </row>
    <row r="157" spans="3:11" x14ac:dyDescent="0.2">
      <c r="E157" t="s">
        <v>100</v>
      </c>
    </row>
    <row r="158" spans="3:11" x14ac:dyDescent="0.2">
      <c r="E158" t="s">
        <v>99</v>
      </c>
    </row>
    <row r="160" spans="3:11" x14ac:dyDescent="0.2">
      <c r="I160" t="s">
        <v>103</v>
      </c>
    </row>
    <row r="161" spans="3:10" x14ac:dyDescent="0.2">
      <c r="D161" t="s">
        <v>102</v>
      </c>
      <c r="I161">
        <f>COUNTIF(K101:K147,"&lt;=13270.42227")</f>
        <v>25</v>
      </c>
    </row>
    <row r="162" spans="3:10" x14ac:dyDescent="0.2">
      <c r="D162" t="s">
        <v>104</v>
      </c>
    </row>
    <row r="163" spans="3:10" x14ac:dyDescent="0.2">
      <c r="D163" t="s">
        <v>105</v>
      </c>
    </row>
    <row r="166" spans="3:10" ht="16" thickBot="1" x14ac:dyDescent="0.25">
      <c r="C166" s="67" t="s">
        <v>80</v>
      </c>
      <c r="D166" s="67"/>
    </row>
    <row r="167" spans="3:10" x14ac:dyDescent="0.2">
      <c r="E167" s="8" t="s">
        <v>48</v>
      </c>
      <c r="F167" s="8" t="s">
        <v>50</v>
      </c>
      <c r="H167" s="69" t="s">
        <v>106</v>
      </c>
      <c r="I167" s="69"/>
      <c r="J167" t="s">
        <v>107</v>
      </c>
    </row>
    <row r="168" spans="3:10" x14ac:dyDescent="0.2">
      <c r="E168" s="6">
        <v>15.96</v>
      </c>
      <c r="F168" s="6">
        <v>1</v>
      </c>
      <c r="H168" s="27">
        <v>15.96</v>
      </c>
      <c r="I168" s="27">
        <v>20.9</v>
      </c>
      <c r="J168" s="4">
        <v>358770.15105666674</v>
      </c>
    </row>
    <row r="169" spans="3:10" x14ac:dyDescent="0.2">
      <c r="E169" s="6">
        <v>16.9925</v>
      </c>
      <c r="F169" s="6">
        <v>2</v>
      </c>
      <c r="H169" s="27">
        <v>21.01</v>
      </c>
      <c r="I169" s="27">
        <v>25.934999999999999</v>
      </c>
      <c r="J169" s="4">
        <v>1194369.3333269756</v>
      </c>
    </row>
    <row r="170" spans="3:10" x14ac:dyDescent="0.2">
      <c r="E170" s="6">
        <v>18.025000000000002</v>
      </c>
      <c r="F170" s="6">
        <v>12</v>
      </c>
      <c r="H170" s="27">
        <v>26.03</v>
      </c>
      <c r="I170" s="27">
        <v>31.92</v>
      </c>
      <c r="J170" s="4">
        <v>1864017.8234365699</v>
      </c>
    </row>
    <row r="171" spans="3:10" x14ac:dyDescent="0.2">
      <c r="E171" s="6">
        <v>19.057500000000001</v>
      </c>
      <c r="F171" s="6">
        <v>10</v>
      </c>
      <c r="H171" s="27">
        <v>32</v>
      </c>
      <c r="I171" s="27">
        <v>37.905000000000001</v>
      </c>
      <c r="J171" s="4">
        <v>2331686.4138118094</v>
      </c>
    </row>
    <row r="172" spans="3:10" x14ac:dyDescent="0.2">
      <c r="E172" s="6">
        <v>20.09</v>
      </c>
      <c r="F172" s="6">
        <v>18</v>
      </c>
      <c r="H172" s="27">
        <v>38</v>
      </c>
      <c r="I172" s="27">
        <v>43.89</v>
      </c>
      <c r="J172" s="4">
        <v>1220369.1840176189</v>
      </c>
    </row>
    <row r="173" spans="3:10" x14ac:dyDescent="0.2">
      <c r="E173" s="6">
        <v>21.122500000000002</v>
      </c>
      <c r="F173" s="6">
        <v>24</v>
      </c>
      <c r="H173" s="27">
        <v>44</v>
      </c>
      <c r="I173" s="27">
        <v>50.38</v>
      </c>
      <c r="J173" s="4">
        <v>382856.53456</v>
      </c>
    </row>
    <row r="174" spans="3:10" x14ac:dyDescent="0.2">
      <c r="E174" s="6">
        <v>22.155000000000001</v>
      </c>
      <c r="F174" s="6">
        <v>36</v>
      </c>
      <c r="H174" s="27">
        <v>51</v>
      </c>
      <c r="I174" s="27">
        <v>52.58</v>
      </c>
      <c r="J174" s="4">
        <v>45664.8609</v>
      </c>
    </row>
    <row r="175" spans="3:10" x14ac:dyDescent="0.2">
      <c r="E175" s="6">
        <v>23.1875</v>
      </c>
      <c r="F175" s="6">
        <v>42</v>
      </c>
    </row>
    <row r="176" spans="3:10" x14ac:dyDescent="0.2">
      <c r="E176" s="6">
        <v>24.22</v>
      </c>
      <c r="F176" s="6">
        <v>53</v>
      </c>
    </row>
    <row r="177" spans="5:6" x14ac:dyDescent="0.2">
      <c r="E177" s="6">
        <v>25.252500000000001</v>
      </c>
      <c r="F177" s="6">
        <v>62</v>
      </c>
    </row>
    <row r="178" spans="5:6" x14ac:dyDescent="0.2">
      <c r="E178" s="6">
        <v>26.285</v>
      </c>
      <c r="F178" s="6">
        <v>74</v>
      </c>
    </row>
    <row r="179" spans="5:6" x14ac:dyDescent="0.2">
      <c r="E179" s="6">
        <v>27.317500000000003</v>
      </c>
      <c r="F179" s="6">
        <v>67</v>
      </c>
    </row>
    <row r="180" spans="5:6" x14ac:dyDescent="0.2">
      <c r="E180" s="6">
        <v>28.35</v>
      </c>
      <c r="F180" s="6">
        <v>100</v>
      </c>
    </row>
    <row r="181" spans="5:6" x14ac:dyDescent="0.2">
      <c r="E181" s="6">
        <v>29.3825</v>
      </c>
      <c r="F181" s="6">
        <v>76</v>
      </c>
    </row>
    <row r="182" spans="5:6" x14ac:dyDescent="0.2">
      <c r="E182" s="6">
        <v>30.414999999999999</v>
      </c>
      <c r="F182" s="6">
        <v>95</v>
      </c>
    </row>
    <row r="183" spans="5:6" x14ac:dyDescent="0.2">
      <c r="E183" s="6">
        <v>31.447499999999998</v>
      </c>
      <c r="F183" s="6">
        <v>86</v>
      </c>
    </row>
    <row r="184" spans="5:6" x14ac:dyDescent="0.2">
      <c r="E184" s="6">
        <v>32.480000000000004</v>
      </c>
      <c r="F184" s="6">
        <v>82</v>
      </c>
    </row>
    <row r="185" spans="5:6" x14ac:dyDescent="0.2">
      <c r="E185" s="6">
        <v>33.512500000000003</v>
      </c>
      <c r="F185" s="6">
        <v>81</v>
      </c>
    </row>
    <row r="186" spans="5:6" x14ac:dyDescent="0.2">
      <c r="E186" s="6">
        <v>34.545000000000002</v>
      </c>
      <c r="F186" s="6">
        <v>76</v>
      </c>
    </row>
    <row r="187" spans="5:6" x14ac:dyDescent="0.2">
      <c r="E187" s="6">
        <v>35.577500000000001</v>
      </c>
      <c r="F187" s="6">
        <v>52</v>
      </c>
    </row>
    <row r="188" spans="5:6" x14ac:dyDescent="0.2">
      <c r="E188" s="6">
        <v>36.61</v>
      </c>
      <c r="F188" s="6">
        <v>60</v>
      </c>
    </row>
    <row r="189" spans="5:6" x14ac:dyDescent="0.2">
      <c r="E189" s="6">
        <v>37.642499999999998</v>
      </c>
      <c r="F189" s="6">
        <v>59</v>
      </c>
    </row>
    <row r="190" spans="5:6" x14ac:dyDescent="0.2">
      <c r="E190" s="6">
        <v>38.674999999999997</v>
      </c>
      <c r="F190" s="6">
        <v>36</v>
      </c>
    </row>
    <row r="191" spans="5:6" x14ac:dyDescent="0.2">
      <c r="E191" s="6">
        <v>39.707499999999996</v>
      </c>
      <c r="F191" s="6">
        <v>32</v>
      </c>
    </row>
    <row r="192" spans="5:6" x14ac:dyDescent="0.2">
      <c r="E192" s="6">
        <v>40.74</v>
      </c>
      <c r="F192" s="6">
        <v>30</v>
      </c>
    </row>
    <row r="193" spans="3:6" x14ac:dyDescent="0.2">
      <c r="E193" s="6">
        <v>41.772500000000001</v>
      </c>
      <c r="F193" s="6">
        <v>16</v>
      </c>
    </row>
    <row r="194" spans="3:6" x14ac:dyDescent="0.2">
      <c r="E194" s="6">
        <v>42.805</v>
      </c>
      <c r="F194" s="6">
        <v>18</v>
      </c>
    </row>
    <row r="195" spans="3:6" x14ac:dyDescent="0.2">
      <c r="E195" s="6">
        <v>43.837499999999999</v>
      </c>
      <c r="F195" s="6">
        <v>8</v>
      </c>
    </row>
    <row r="196" spans="3:6" x14ac:dyDescent="0.2">
      <c r="E196" s="6">
        <v>44.870000000000005</v>
      </c>
      <c r="F196" s="6">
        <v>8</v>
      </c>
    </row>
    <row r="197" spans="3:6" x14ac:dyDescent="0.2">
      <c r="E197" s="6">
        <v>45.902500000000003</v>
      </c>
      <c r="F197" s="6">
        <v>5</v>
      </c>
    </row>
    <row r="198" spans="3:6" x14ac:dyDescent="0.2">
      <c r="E198" s="6">
        <v>46.935000000000002</v>
      </c>
      <c r="F198" s="6">
        <v>7</v>
      </c>
    </row>
    <row r="199" spans="3:6" x14ac:dyDescent="0.2">
      <c r="E199" s="6">
        <v>47.967500000000001</v>
      </c>
      <c r="F199" s="6">
        <v>4</v>
      </c>
    </row>
    <row r="200" spans="3:6" x14ac:dyDescent="0.2">
      <c r="E200" s="6">
        <v>49</v>
      </c>
      <c r="F200" s="6">
        <v>1</v>
      </c>
    </row>
    <row r="201" spans="3:6" x14ac:dyDescent="0.2">
      <c r="E201" s="6">
        <v>50.032499999999999</v>
      </c>
      <c r="F201" s="6">
        <v>1</v>
      </c>
    </row>
    <row r="202" spans="3:6" x14ac:dyDescent="0.2">
      <c r="E202" s="6">
        <v>51.064999999999998</v>
      </c>
      <c r="F202" s="6">
        <v>1</v>
      </c>
    </row>
    <row r="203" spans="3:6" x14ac:dyDescent="0.2">
      <c r="E203" s="6">
        <v>52.097499999999997</v>
      </c>
      <c r="F203" s="6">
        <v>0</v>
      </c>
    </row>
    <row r="204" spans="3:6" ht="16" thickBot="1" x14ac:dyDescent="0.25">
      <c r="E204" s="7" t="s">
        <v>49</v>
      </c>
      <c r="F204" s="7">
        <v>2</v>
      </c>
    </row>
    <row r="208" spans="3:6" x14ac:dyDescent="0.2">
      <c r="C208" s="29" t="s">
        <v>88</v>
      </c>
    </row>
    <row r="215" spans="3:10" x14ac:dyDescent="0.2">
      <c r="C215" s="67" t="s">
        <v>81</v>
      </c>
      <c r="D215" s="67"/>
      <c r="E215" s="67"/>
    </row>
    <row r="216" spans="3:10" x14ac:dyDescent="0.2">
      <c r="F216" s="1" t="s">
        <v>4</v>
      </c>
      <c r="G216" s="23" t="s">
        <v>52</v>
      </c>
      <c r="I216" s="1" t="s">
        <v>4</v>
      </c>
      <c r="J216" s="23" t="s">
        <v>108</v>
      </c>
    </row>
    <row r="217" spans="3:10" s="23" customFormat="1" x14ac:dyDescent="0.2">
      <c r="F217" s="23" t="s">
        <v>10</v>
      </c>
      <c r="G217" s="20">
        <v>8974061.4689189959</v>
      </c>
      <c r="I217" s="23" t="s">
        <v>10</v>
      </c>
      <c r="J217" s="20">
        <v>36910.608030000003</v>
      </c>
    </row>
    <row r="218" spans="3:10" s="23" customFormat="1" x14ac:dyDescent="0.2">
      <c r="F218" s="23" t="s">
        <v>7</v>
      </c>
      <c r="G218" s="20">
        <v>8781763.5218400005</v>
      </c>
      <c r="I218" s="23" t="s">
        <v>7</v>
      </c>
      <c r="J218" s="20">
        <v>63770.428010000003</v>
      </c>
    </row>
    <row r="219" spans="3:10" s="23" customFormat="1" x14ac:dyDescent="0.2">
      <c r="F219" s="23" t="s">
        <v>14</v>
      </c>
      <c r="G219" s="22">
        <v>17755824.990758996</v>
      </c>
      <c r="I219" s="23" t="s">
        <v>14</v>
      </c>
      <c r="J219" s="22">
        <v>63770.428010000003</v>
      </c>
    </row>
    <row r="220" spans="3:10" s="23" customFormat="1" x14ac:dyDescent="0.2"/>
    <row r="221" spans="3:10" s="23" customFormat="1" x14ac:dyDescent="0.2">
      <c r="F221" s="1" t="s">
        <v>4</v>
      </c>
      <c r="G221" s="23" t="s">
        <v>94</v>
      </c>
      <c r="I221" s="1" t="s">
        <v>4</v>
      </c>
      <c r="J221" s="23" t="s">
        <v>109</v>
      </c>
    </row>
    <row r="222" spans="3:10" s="23" customFormat="1" x14ac:dyDescent="0.2">
      <c r="F222" s="23" t="s">
        <v>10</v>
      </c>
      <c r="G222" s="20">
        <v>1064</v>
      </c>
      <c r="I222" s="23" t="s">
        <v>10</v>
      </c>
      <c r="J222" s="20">
        <v>1121.8739</v>
      </c>
    </row>
    <row r="223" spans="3:10" s="23" customFormat="1" x14ac:dyDescent="0.2">
      <c r="F223" s="23" t="s">
        <v>7</v>
      </c>
      <c r="G223" s="20">
        <v>274</v>
      </c>
      <c r="I223" s="23" t="s">
        <v>7</v>
      </c>
      <c r="J223" s="20">
        <v>12829.455099999999</v>
      </c>
    </row>
    <row r="224" spans="3:10" s="23" customFormat="1" x14ac:dyDescent="0.2">
      <c r="F224" s="23" t="s">
        <v>14</v>
      </c>
      <c r="G224" s="22">
        <v>1338</v>
      </c>
      <c r="I224" s="23" t="s">
        <v>14</v>
      </c>
      <c r="J224" s="22">
        <v>1121.8739</v>
      </c>
    </row>
    <row r="225" spans="3:10" s="23" customFormat="1" x14ac:dyDescent="0.2"/>
    <row r="226" spans="3:10" s="23" customFormat="1" x14ac:dyDescent="0.2">
      <c r="F226" s="1" t="s">
        <v>4</v>
      </c>
      <c r="G226" s="23" t="s">
        <v>101</v>
      </c>
      <c r="I226" s="1" t="s">
        <v>4</v>
      </c>
      <c r="J226" s="23" t="s">
        <v>110</v>
      </c>
    </row>
    <row r="227" spans="3:10" s="23" customFormat="1" x14ac:dyDescent="0.2">
      <c r="F227" s="23" t="s">
        <v>10</v>
      </c>
      <c r="G227" s="20">
        <v>8434.2682978561988</v>
      </c>
      <c r="I227" s="23" t="s">
        <v>10</v>
      </c>
      <c r="J227" s="20">
        <v>5993.7818191949418</v>
      </c>
    </row>
    <row r="228" spans="3:10" s="23" customFormat="1" x14ac:dyDescent="0.2">
      <c r="F228" s="23" t="s">
        <v>7</v>
      </c>
      <c r="G228" s="20">
        <v>32050.231831532848</v>
      </c>
      <c r="I228" s="23" t="s">
        <v>7</v>
      </c>
      <c r="J228" s="20">
        <v>11541.547175589127</v>
      </c>
    </row>
    <row r="229" spans="3:10" s="23" customFormat="1" x14ac:dyDescent="0.2">
      <c r="F229" s="23" t="s">
        <v>14</v>
      </c>
      <c r="G229" s="22">
        <v>13270.422265141251</v>
      </c>
      <c r="I229" s="23" t="s">
        <v>14</v>
      </c>
      <c r="J229" s="22">
        <v>12110.011236694007</v>
      </c>
    </row>
    <row r="230" spans="3:10" s="23" customFormat="1" x14ac:dyDescent="0.2"/>
    <row r="231" spans="3:10" s="23" customFormat="1" x14ac:dyDescent="0.2"/>
    <row r="232" spans="3:10" s="23" customFormat="1" x14ac:dyDescent="0.2">
      <c r="C232" s="29" t="s">
        <v>88</v>
      </c>
    </row>
    <row r="233" spans="3:10" s="23" customFormat="1" x14ac:dyDescent="0.2"/>
    <row r="234" spans="3:10" s="23" customFormat="1" x14ac:dyDescent="0.2"/>
    <row r="235" spans="3:10" s="23" customFormat="1" x14ac:dyDescent="0.2"/>
    <row r="236" spans="3:10" s="23" customFormat="1" x14ac:dyDescent="0.2"/>
    <row r="237" spans="3:10" s="23" customFormat="1" x14ac:dyDescent="0.2"/>
    <row r="238" spans="3:10" s="23" customFormat="1" x14ac:dyDescent="0.2"/>
    <row r="239" spans="3:10" s="23" customFormat="1" x14ac:dyDescent="0.2"/>
    <row r="240" spans="3:10" s="23" customFormat="1" x14ac:dyDescent="0.2"/>
    <row r="241" spans="3:12" s="23" customFormat="1" x14ac:dyDescent="0.2"/>
    <row r="242" spans="3:12" s="23" customFormat="1" x14ac:dyDescent="0.2"/>
    <row r="243" spans="3:12" s="23" customFormat="1" x14ac:dyDescent="0.2"/>
    <row r="244" spans="3:12" s="23" customFormat="1" x14ac:dyDescent="0.2"/>
    <row r="245" spans="3:12" s="23" customFormat="1" x14ac:dyDescent="0.2"/>
    <row r="246" spans="3:12" s="23" customFormat="1" x14ac:dyDescent="0.2"/>
    <row r="247" spans="3:12" x14ac:dyDescent="0.2">
      <c r="C247" s="67" t="s">
        <v>82</v>
      </c>
      <c r="D247" s="67"/>
      <c r="E247" s="67"/>
      <c r="F247" s="67"/>
      <c r="G247" s="67"/>
      <c r="H247" s="67"/>
    </row>
    <row r="249" spans="3:12" s="23" customFormat="1" x14ac:dyDescent="0.2">
      <c r="D249" s="1" t="s">
        <v>51</v>
      </c>
      <c r="E249" s="1" t="s">
        <v>4</v>
      </c>
      <c r="I249" s="1" t="s">
        <v>51</v>
      </c>
      <c r="J249" s="1" t="s">
        <v>4</v>
      </c>
    </row>
    <row r="250" spans="3:12" s="23" customFormat="1" x14ac:dyDescent="0.2">
      <c r="D250" s="1" t="s">
        <v>5</v>
      </c>
      <c r="E250" s="23" t="s">
        <v>10</v>
      </c>
      <c r="F250" s="23" t="s">
        <v>7</v>
      </c>
      <c r="G250" s="23" t="s">
        <v>14</v>
      </c>
      <c r="I250" s="1" t="s">
        <v>5</v>
      </c>
      <c r="J250" s="23" t="s">
        <v>10</v>
      </c>
      <c r="K250" s="23" t="s">
        <v>7</v>
      </c>
      <c r="L250" s="23" t="s">
        <v>14</v>
      </c>
    </row>
    <row r="251" spans="3:12" s="23" customFormat="1" x14ac:dyDescent="0.2">
      <c r="D251" s="23" t="s">
        <v>13</v>
      </c>
      <c r="E251" s="20">
        <v>257</v>
      </c>
      <c r="F251" s="20">
        <v>67</v>
      </c>
      <c r="G251" s="20">
        <v>324</v>
      </c>
      <c r="I251" s="23" t="s">
        <v>13</v>
      </c>
      <c r="J251" s="32">
        <v>0.79320987654320985</v>
      </c>
      <c r="K251" s="32">
        <v>0.20679012345679013</v>
      </c>
      <c r="L251" s="32">
        <v>1</v>
      </c>
    </row>
    <row r="252" spans="3:12" s="23" customFormat="1" x14ac:dyDescent="0.2">
      <c r="D252" s="23" t="s">
        <v>12</v>
      </c>
      <c r="E252" s="20">
        <v>267</v>
      </c>
      <c r="F252" s="20">
        <v>58</v>
      </c>
      <c r="G252" s="20">
        <v>325</v>
      </c>
      <c r="I252" s="23" t="s">
        <v>12</v>
      </c>
      <c r="J252" s="32">
        <v>0.82153846153846155</v>
      </c>
      <c r="K252" s="32">
        <v>0.17846153846153845</v>
      </c>
      <c r="L252" s="32">
        <v>1</v>
      </c>
    </row>
    <row r="253" spans="3:12" s="23" customFormat="1" x14ac:dyDescent="0.2">
      <c r="D253" s="23" t="s">
        <v>11</v>
      </c>
      <c r="E253" s="20">
        <v>273</v>
      </c>
      <c r="F253" s="20">
        <v>91</v>
      </c>
      <c r="G253" s="20">
        <v>364</v>
      </c>
      <c r="I253" s="23" t="s">
        <v>11</v>
      </c>
      <c r="J253" s="32">
        <v>0.75</v>
      </c>
      <c r="K253" s="32">
        <v>0.25</v>
      </c>
      <c r="L253" s="32">
        <v>1</v>
      </c>
    </row>
    <row r="254" spans="3:12" s="23" customFormat="1" x14ac:dyDescent="0.2">
      <c r="D254" s="23" t="s">
        <v>8</v>
      </c>
      <c r="E254" s="20">
        <v>267</v>
      </c>
      <c r="F254" s="20">
        <v>58</v>
      </c>
      <c r="G254" s="20">
        <v>325</v>
      </c>
      <c r="I254" s="23" t="s">
        <v>8</v>
      </c>
      <c r="J254" s="32">
        <v>0.82153846153846155</v>
      </c>
      <c r="K254" s="32">
        <v>0.17846153846153845</v>
      </c>
      <c r="L254" s="32">
        <v>1</v>
      </c>
    </row>
    <row r="255" spans="3:12" s="23" customFormat="1" x14ac:dyDescent="0.2">
      <c r="D255" s="23" t="s">
        <v>14</v>
      </c>
      <c r="E255" s="22">
        <v>1064</v>
      </c>
      <c r="F255" s="22">
        <v>274</v>
      </c>
      <c r="G255" s="22">
        <v>1338</v>
      </c>
      <c r="I255" s="23" t="s">
        <v>14</v>
      </c>
      <c r="J255" s="31">
        <v>0.79521674140508225</v>
      </c>
      <c r="K255" s="31">
        <v>0.20478325859491778</v>
      </c>
      <c r="L255" s="31">
        <v>1</v>
      </c>
    </row>
    <row r="256" spans="3:12" s="23" customFormat="1" x14ac:dyDescent="0.2"/>
    <row r="257" spans="3:13" s="23" customFormat="1" x14ac:dyDescent="0.2"/>
    <row r="258" spans="3:13" s="23" customFormat="1" x14ac:dyDescent="0.2"/>
    <row r="259" spans="3:13" s="23" customFormat="1" x14ac:dyDescent="0.2">
      <c r="C259" s="29" t="s">
        <v>88</v>
      </c>
    </row>
    <row r="260" spans="3:13" s="23" customFormat="1" x14ac:dyDescent="0.2"/>
    <row r="261" spans="3:13" s="23" customFormat="1" x14ac:dyDescent="0.2"/>
    <row r="262" spans="3:13" s="23" customFormat="1" x14ac:dyDescent="0.2"/>
    <row r="263" spans="3:13" s="23" customFormat="1" x14ac:dyDescent="0.2"/>
    <row r="264" spans="3:13" s="23" customFormat="1" x14ac:dyDescent="0.2"/>
    <row r="265" spans="3:13" x14ac:dyDescent="0.2">
      <c r="C265" s="17" t="s">
        <v>83</v>
      </c>
      <c r="D265" s="17"/>
      <c r="E265" s="17"/>
      <c r="F265" s="17"/>
      <c r="I265" s="23"/>
      <c r="J265" s="23"/>
      <c r="K265" s="23"/>
      <c r="L265" s="23"/>
      <c r="M265" s="23"/>
    </row>
    <row r="266" spans="3:13" x14ac:dyDescent="0.2">
      <c r="I266" s="23"/>
      <c r="J266" s="23"/>
      <c r="K266" s="23"/>
      <c r="L266" s="23"/>
      <c r="M266" s="23"/>
    </row>
    <row r="267" spans="3:13" s="23" customFormat="1" x14ac:dyDescent="0.2">
      <c r="D267" s="1" t="s">
        <v>52</v>
      </c>
      <c r="E267" s="1" t="s">
        <v>4</v>
      </c>
      <c r="I267" s="1" t="s">
        <v>52</v>
      </c>
      <c r="J267" s="1" t="s">
        <v>4</v>
      </c>
    </row>
    <row r="268" spans="3:13" s="23" customFormat="1" x14ac:dyDescent="0.2">
      <c r="D268" s="1" t="s">
        <v>5</v>
      </c>
      <c r="E268" s="23" t="s">
        <v>10</v>
      </c>
      <c r="F268" s="23" t="s">
        <v>7</v>
      </c>
      <c r="G268" s="23" t="s">
        <v>14</v>
      </c>
      <c r="I268" s="1" t="s">
        <v>5</v>
      </c>
      <c r="J268" s="23" t="s">
        <v>10</v>
      </c>
      <c r="K268" s="23" t="s">
        <v>7</v>
      </c>
    </row>
    <row r="269" spans="3:13" s="23" customFormat="1" x14ac:dyDescent="0.2">
      <c r="D269" s="23" t="s">
        <v>13</v>
      </c>
      <c r="E269" s="23">
        <v>2355541.6396289999</v>
      </c>
      <c r="F269" s="23">
        <v>1988126.9436799998</v>
      </c>
      <c r="G269" s="23">
        <v>4343668.5833089994</v>
      </c>
      <c r="I269" s="23" t="s">
        <v>13</v>
      </c>
      <c r="J269" s="33">
        <v>0.54229313181959016</v>
      </c>
      <c r="K269" s="33">
        <v>0.45770686818040984</v>
      </c>
    </row>
    <row r="270" spans="3:13" s="23" customFormat="1" x14ac:dyDescent="0.2">
      <c r="D270" s="23" t="s">
        <v>12</v>
      </c>
      <c r="E270" s="23">
        <v>2284575.8119600001</v>
      </c>
      <c r="F270" s="23">
        <v>1751136.1845799999</v>
      </c>
      <c r="G270" s="23">
        <v>4035711.9965399997</v>
      </c>
      <c r="I270" s="23" t="s">
        <v>12</v>
      </c>
      <c r="J270" s="33">
        <v>0.56608990282722638</v>
      </c>
      <c r="K270" s="33">
        <v>0.43391009717277373</v>
      </c>
    </row>
    <row r="271" spans="3:13" s="23" customFormat="1" x14ac:dyDescent="0.2">
      <c r="D271" s="23" t="s">
        <v>11</v>
      </c>
      <c r="E271" s="23">
        <v>2192795.0523399995</v>
      </c>
      <c r="F271" s="23">
        <v>3170894.7109499993</v>
      </c>
      <c r="G271" s="23">
        <v>5363689.7632899992</v>
      </c>
      <c r="I271" s="23" t="s">
        <v>11</v>
      </c>
      <c r="J271" s="33">
        <v>0.40882212602001333</v>
      </c>
      <c r="K271" s="33">
        <v>0.59117787397998656</v>
      </c>
    </row>
    <row r="272" spans="3:13" s="23" customFormat="1" x14ac:dyDescent="0.2">
      <c r="D272" s="23" t="s">
        <v>8</v>
      </c>
      <c r="E272" s="23">
        <v>2141148.9649900002</v>
      </c>
      <c r="F272" s="23">
        <v>1871605.6826300006</v>
      </c>
      <c r="G272" s="23">
        <v>4012754.6476200009</v>
      </c>
      <c r="I272" s="23" t="s">
        <v>8</v>
      </c>
      <c r="J272" s="33">
        <v>0.53358581648143721</v>
      </c>
      <c r="K272" s="33">
        <v>0.46641418351856273</v>
      </c>
    </row>
    <row r="273" spans="4:11" s="23" customFormat="1" x14ac:dyDescent="0.2">
      <c r="D273" s="23" t="s">
        <v>14</v>
      </c>
      <c r="E273" s="22">
        <v>8974061.4689189978</v>
      </c>
      <c r="F273" s="22">
        <v>8781763.5218399987</v>
      </c>
      <c r="G273" s="22">
        <v>17755824.990759</v>
      </c>
      <c r="I273" s="23" t="s">
        <v>14</v>
      </c>
      <c r="J273" s="31">
        <v>0.50541506652546631</v>
      </c>
      <c r="K273" s="31">
        <v>0.49458493347453347</v>
      </c>
    </row>
    <row r="274" spans="4:11" s="23" customFormat="1" x14ac:dyDescent="0.2">
      <c r="G274" s="18"/>
    </row>
    <row r="275" spans="4:11" s="23" customFormat="1" x14ac:dyDescent="0.2">
      <c r="K275" s="18"/>
    </row>
    <row r="276" spans="4:11" s="23" customFormat="1" x14ac:dyDescent="0.2">
      <c r="K276" s="18"/>
    </row>
    <row r="277" spans="4:11" s="23" customFormat="1" x14ac:dyDescent="0.2">
      <c r="K277" s="18"/>
    </row>
    <row r="278" spans="4:11" s="23" customFormat="1" x14ac:dyDescent="0.2">
      <c r="D278" s="1" t="s">
        <v>94</v>
      </c>
      <c r="E278" s="1" t="s">
        <v>4</v>
      </c>
      <c r="I278" s="1" t="s">
        <v>94</v>
      </c>
      <c r="J278" s="1" t="s">
        <v>4</v>
      </c>
    </row>
    <row r="279" spans="4:11" s="23" customFormat="1" x14ac:dyDescent="0.2">
      <c r="D279" s="1" t="s">
        <v>5</v>
      </c>
      <c r="E279" s="23" t="s">
        <v>10</v>
      </c>
      <c r="F279" s="23" t="s">
        <v>7</v>
      </c>
      <c r="G279" s="23" t="s">
        <v>14</v>
      </c>
      <c r="I279" s="1" t="s">
        <v>5</v>
      </c>
      <c r="J279" s="23" t="s">
        <v>10</v>
      </c>
      <c r="K279" s="23" t="s">
        <v>7</v>
      </c>
    </row>
    <row r="280" spans="4:11" s="23" customFormat="1" x14ac:dyDescent="0.2">
      <c r="D280" s="23" t="s">
        <v>13</v>
      </c>
      <c r="E280" s="23">
        <v>257</v>
      </c>
      <c r="F280" s="23">
        <v>67</v>
      </c>
      <c r="G280" s="23">
        <v>324</v>
      </c>
      <c r="I280" s="23" t="s">
        <v>13</v>
      </c>
      <c r="J280" s="33">
        <v>0.79320987654320985</v>
      </c>
      <c r="K280" s="33">
        <v>0.20679012345679013</v>
      </c>
    </row>
    <row r="281" spans="4:11" s="23" customFormat="1" x14ac:dyDescent="0.2">
      <c r="D281" s="23" t="s">
        <v>12</v>
      </c>
      <c r="E281" s="23">
        <v>267</v>
      </c>
      <c r="F281" s="23">
        <v>58</v>
      </c>
      <c r="G281" s="23">
        <v>325</v>
      </c>
      <c r="I281" s="23" t="s">
        <v>12</v>
      </c>
      <c r="J281" s="33">
        <v>0.82153846153846155</v>
      </c>
      <c r="K281" s="33">
        <v>0.17846153846153845</v>
      </c>
    </row>
    <row r="282" spans="4:11" s="23" customFormat="1" x14ac:dyDescent="0.2">
      <c r="D282" s="23" t="s">
        <v>11</v>
      </c>
      <c r="E282" s="23">
        <v>273</v>
      </c>
      <c r="F282" s="23">
        <v>91</v>
      </c>
      <c r="G282" s="23">
        <v>364</v>
      </c>
      <c r="I282" s="23" t="s">
        <v>11</v>
      </c>
      <c r="J282" s="33">
        <v>0.75</v>
      </c>
      <c r="K282" s="33">
        <v>0.25</v>
      </c>
    </row>
    <row r="283" spans="4:11" s="23" customFormat="1" x14ac:dyDescent="0.2">
      <c r="D283" s="23" t="s">
        <v>8</v>
      </c>
      <c r="E283" s="23">
        <v>267</v>
      </c>
      <c r="F283" s="23">
        <v>58</v>
      </c>
      <c r="G283" s="23">
        <v>325</v>
      </c>
      <c r="I283" s="23" t="s">
        <v>8</v>
      </c>
      <c r="J283" s="33">
        <v>0.82153846153846155</v>
      </c>
      <c r="K283" s="33">
        <v>0.17846153846153845</v>
      </c>
    </row>
    <row r="284" spans="4:11" s="23" customFormat="1" x14ac:dyDescent="0.2">
      <c r="D284" s="23" t="s">
        <v>14</v>
      </c>
      <c r="E284" s="22">
        <v>1064</v>
      </c>
      <c r="F284" s="22">
        <v>274</v>
      </c>
      <c r="G284" s="22">
        <v>1338</v>
      </c>
      <c r="I284" s="23" t="s">
        <v>14</v>
      </c>
      <c r="J284" s="31">
        <v>0.79521674140508225</v>
      </c>
      <c r="K284" s="31">
        <v>0.20478325859491778</v>
      </c>
    </row>
    <row r="285" spans="4:11" s="23" customFormat="1" x14ac:dyDescent="0.2">
      <c r="K285" s="18"/>
    </row>
    <row r="286" spans="4:11" s="23" customFormat="1" x14ac:dyDescent="0.2">
      <c r="K286" s="18"/>
    </row>
    <row r="287" spans="4:11" s="23" customFormat="1" x14ac:dyDescent="0.2">
      <c r="K287" s="18"/>
    </row>
    <row r="288" spans="4:11" s="23" customFormat="1" x14ac:dyDescent="0.2">
      <c r="K288" s="18"/>
    </row>
    <row r="289" spans="4:11" s="23" customFormat="1" x14ac:dyDescent="0.2">
      <c r="D289" s="1" t="s">
        <v>101</v>
      </c>
      <c r="E289" s="1" t="s">
        <v>4</v>
      </c>
      <c r="I289" s="1" t="s">
        <v>101</v>
      </c>
      <c r="J289" s="1" t="s">
        <v>4</v>
      </c>
    </row>
    <row r="290" spans="4:11" s="23" customFormat="1" x14ac:dyDescent="0.2">
      <c r="D290" s="1" t="s">
        <v>5</v>
      </c>
      <c r="E290" s="23" t="s">
        <v>10</v>
      </c>
      <c r="F290" s="23" t="s">
        <v>7</v>
      </c>
      <c r="G290" s="23" t="s">
        <v>14</v>
      </c>
      <c r="I290" s="1" t="s">
        <v>5</v>
      </c>
      <c r="J290" s="23" t="s">
        <v>10</v>
      </c>
      <c r="K290" s="23" t="s">
        <v>7</v>
      </c>
    </row>
    <row r="291" spans="4:11" s="23" customFormat="1" x14ac:dyDescent="0.2">
      <c r="D291" s="23" t="s">
        <v>13</v>
      </c>
      <c r="E291" s="23">
        <v>9165.5316717081714</v>
      </c>
      <c r="F291" s="23">
        <v>29673.536472835818</v>
      </c>
      <c r="G291" s="23">
        <v>13406.3845163858</v>
      </c>
      <c r="I291" s="23" t="s">
        <v>13</v>
      </c>
      <c r="J291" s="33">
        <v>0.68366916229395813</v>
      </c>
      <c r="K291" s="33">
        <v>2.2133884371709374</v>
      </c>
    </row>
    <row r="292" spans="4:11" s="23" customFormat="1" x14ac:dyDescent="0.2">
      <c r="D292" s="23" t="s">
        <v>12</v>
      </c>
      <c r="E292" s="23">
        <v>8556.4637152059931</v>
      </c>
      <c r="F292" s="23">
        <v>30192.003182413791</v>
      </c>
      <c r="G292" s="23">
        <v>12417.575373969234</v>
      </c>
      <c r="I292" s="23" t="s">
        <v>12</v>
      </c>
      <c r="J292" s="33">
        <v>0.68906074314175469</v>
      </c>
      <c r="K292" s="33">
        <v>2.4313927858819211</v>
      </c>
    </row>
    <row r="293" spans="4:11" s="23" customFormat="1" x14ac:dyDescent="0.2">
      <c r="D293" s="23" t="s">
        <v>11</v>
      </c>
      <c r="E293" s="23">
        <v>8032.2163089377273</v>
      </c>
      <c r="F293" s="23">
        <v>34844.996823626367</v>
      </c>
      <c r="G293" s="23">
        <v>14735.411437609893</v>
      </c>
      <c r="I293" s="23" t="s">
        <v>11</v>
      </c>
      <c r="J293" s="33">
        <v>0.54509616802668426</v>
      </c>
      <c r="K293" s="33">
        <v>2.3647114959199458</v>
      </c>
    </row>
    <row r="294" spans="4:11" s="23" customFormat="1" x14ac:dyDescent="0.2">
      <c r="D294" s="23" t="s">
        <v>8</v>
      </c>
      <c r="E294" s="23">
        <v>8019.2845130711621</v>
      </c>
      <c r="F294" s="23">
        <v>32269.063493620699</v>
      </c>
      <c r="G294" s="23">
        <v>12346.937377292312</v>
      </c>
      <c r="I294" s="23" t="s">
        <v>8</v>
      </c>
      <c r="J294" s="33">
        <v>0.64949584403171201</v>
      </c>
      <c r="K294" s="33">
        <v>2.6135277524747047</v>
      </c>
    </row>
    <row r="295" spans="4:11" s="23" customFormat="1" x14ac:dyDescent="0.2">
      <c r="D295" s="23" t="s">
        <v>14</v>
      </c>
      <c r="E295" s="22">
        <v>8434.2682978562061</v>
      </c>
      <c r="F295" s="22">
        <v>32050.231831532841</v>
      </c>
      <c r="G295" s="22">
        <v>13270.422265141258</v>
      </c>
      <c r="I295" s="23" t="s">
        <v>14</v>
      </c>
      <c r="J295" s="31">
        <v>0.63556894643897954</v>
      </c>
      <c r="K295" s="31">
        <v>2.4151629233172467</v>
      </c>
    </row>
    <row r="296" spans="4:11" s="23" customFormat="1" x14ac:dyDescent="0.2">
      <c r="K296" s="18"/>
    </row>
    <row r="297" spans="4:11" s="23" customFormat="1" x14ac:dyDescent="0.2">
      <c r="K297" s="18"/>
    </row>
    <row r="298" spans="4:11" s="23" customFormat="1" x14ac:dyDescent="0.2">
      <c r="K298" s="18"/>
    </row>
    <row r="299" spans="4:11" s="23" customFormat="1" x14ac:dyDescent="0.2">
      <c r="D299" s="1" t="s">
        <v>108</v>
      </c>
      <c r="E299" s="1" t="s">
        <v>4</v>
      </c>
      <c r="I299" s="1" t="s">
        <v>109</v>
      </c>
      <c r="J299" s="1" t="s">
        <v>4</v>
      </c>
    </row>
    <row r="300" spans="4:11" s="23" customFormat="1" x14ac:dyDescent="0.2">
      <c r="D300" s="1" t="s">
        <v>5</v>
      </c>
      <c r="E300" s="23" t="s">
        <v>10</v>
      </c>
      <c r="F300" s="23" t="s">
        <v>7</v>
      </c>
      <c r="I300" s="1" t="s">
        <v>5</v>
      </c>
      <c r="J300" s="23" t="s">
        <v>10</v>
      </c>
      <c r="K300" s="23" t="s">
        <v>7</v>
      </c>
    </row>
    <row r="301" spans="4:11" s="23" customFormat="1" x14ac:dyDescent="0.2">
      <c r="D301" s="23" t="s">
        <v>13</v>
      </c>
      <c r="E301" s="23">
        <v>32108.662820000001</v>
      </c>
      <c r="F301" s="23">
        <v>58571.074480000003</v>
      </c>
      <c r="I301" s="23" t="s">
        <v>13</v>
      </c>
      <c r="J301" s="33">
        <v>1694.7963999999999</v>
      </c>
      <c r="K301" s="33">
        <v>12829.455099999999</v>
      </c>
    </row>
    <row r="302" spans="4:11" s="23" customFormat="1" x14ac:dyDescent="0.2">
      <c r="D302" s="23" t="s">
        <v>12</v>
      </c>
      <c r="E302" s="23">
        <v>33471.971890000001</v>
      </c>
      <c r="F302" s="23">
        <v>60021.398970000002</v>
      </c>
      <c r="I302" s="23" t="s">
        <v>12</v>
      </c>
      <c r="J302" s="33">
        <v>1621.3402000000001</v>
      </c>
      <c r="K302" s="33">
        <v>14711.7438</v>
      </c>
    </row>
    <row r="303" spans="4:11" s="23" customFormat="1" x14ac:dyDescent="0.2">
      <c r="D303" s="23" t="s">
        <v>11</v>
      </c>
      <c r="E303" s="23">
        <v>36580.282160000002</v>
      </c>
      <c r="F303" s="23">
        <v>63770.428010000003</v>
      </c>
      <c r="I303" s="23" t="s">
        <v>11</v>
      </c>
      <c r="J303" s="33">
        <v>1121.8739</v>
      </c>
      <c r="K303" s="33">
        <v>16577.779500000001</v>
      </c>
    </row>
    <row r="304" spans="4:11" s="23" customFormat="1" x14ac:dyDescent="0.2">
      <c r="D304" s="23" t="s">
        <v>8</v>
      </c>
      <c r="E304" s="23">
        <v>36910.608030000003</v>
      </c>
      <c r="F304" s="23">
        <v>52590.829389999999</v>
      </c>
      <c r="I304" s="23" t="s">
        <v>8</v>
      </c>
      <c r="J304" s="33">
        <v>1241.5650000000001</v>
      </c>
      <c r="K304" s="33">
        <v>13844.505999999999</v>
      </c>
    </row>
    <row r="305" spans="3:7" s="23" customFormat="1" x14ac:dyDescent="0.2"/>
    <row r="306" spans="3:7" s="23" customFormat="1" x14ac:dyDescent="0.2"/>
    <row r="307" spans="3:7" s="23" customFormat="1" ht="16" x14ac:dyDescent="0.2">
      <c r="C307" s="37" t="s">
        <v>88</v>
      </c>
    </row>
    <row r="308" spans="3:7" s="23" customFormat="1" x14ac:dyDescent="0.2"/>
    <row r="309" spans="3:7" s="23" customFormat="1" x14ac:dyDescent="0.2"/>
    <row r="310" spans="3:7" s="23" customFormat="1" x14ac:dyDescent="0.2"/>
    <row r="311" spans="3:7" s="23" customFormat="1" x14ac:dyDescent="0.2"/>
    <row r="312" spans="3:7" s="23" customFormat="1" x14ac:dyDescent="0.2"/>
    <row r="313" spans="3:7" s="23" customFormat="1" x14ac:dyDescent="0.2"/>
    <row r="314" spans="3:7" s="23" customFormat="1" x14ac:dyDescent="0.2"/>
    <row r="315" spans="3:7" s="23" customFormat="1" x14ac:dyDescent="0.2"/>
    <row r="316" spans="3:7" s="23" customFormat="1" x14ac:dyDescent="0.2"/>
    <row r="317" spans="3:7" x14ac:dyDescent="0.2">
      <c r="C317" s="17" t="s">
        <v>84</v>
      </c>
      <c r="D317" s="17"/>
      <c r="E317" s="17"/>
      <c r="F317" s="17"/>
      <c r="G317" s="17"/>
    </row>
    <row r="319" spans="3:7" s="23" customFormat="1" ht="16" x14ac:dyDescent="0.2">
      <c r="E319" s="25" t="s">
        <v>117</v>
      </c>
    </row>
    <row r="320" spans="3:7" s="23" customFormat="1" ht="16" x14ac:dyDescent="0.2">
      <c r="D320" s="36" t="s">
        <v>0</v>
      </c>
      <c r="E320" s="23">
        <f>CORREL(Table1[age],Table1[charges])</f>
        <v>0.29900819333064782</v>
      </c>
    </row>
    <row r="321" spans="3:10" s="23" customFormat="1" ht="16" x14ac:dyDescent="0.2">
      <c r="D321" s="36" t="s">
        <v>1</v>
      </c>
      <c r="E321" s="23">
        <f>CORREL(Table1[sex],Table1[charges])</f>
        <v>5.7292062202025956E-2</v>
      </c>
    </row>
    <row r="322" spans="3:10" s="23" customFormat="1" ht="16" x14ac:dyDescent="0.2">
      <c r="D322" s="36" t="s">
        <v>2</v>
      </c>
      <c r="E322" s="23">
        <f>CORREL(Table1[bmi],Table1[charges])</f>
        <v>0.19834096883362906</v>
      </c>
    </row>
    <row r="323" spans="3:10" s="23" customFormat="1" ht="16" x14ac:dyDescent="0.2">
      <c r="D323" s="36" t="s">
        <v>3</v>
      </c>
      <c r="E323" s="23">
        <f>CORREL(Table1[children],Table1[charges])</f>
        <v>6.7998226847905102E-2</v>
      </c>
    </row>
    <row r="324" spans="3:10" s="23" customFormat="1" ht="16" x14ac:dyDescent="0.2">
      <c r="D324" s="36" t="s">
        <v>4</v>
      </c>
      <c r="E324" s="35">
        <f>CORREL(Table1[smoker],Table1[charges])</f>
        <v>0.78725143049846968</v>
      </c>
    </row>
    <row r="325" spans="3:10" s="23" customFormat="1" ht="16" x14ac:dyDescent="0.2">
      <c r="D325" s="36" t="s">
        <v>5</v>
      </c>
      <c r="E325" s="23">
        <f>CORREL(Table1[region],Table1[charges])</f>
        <v>-5.1509463270865453E-2</v>
      </c>
    </row>
    <row r="326" spans="3:10" s="23" customFormat="1" x14ac:dyDescent="0.2"/>
    <row r="327" spans="3:10" s="23" customFormat="1" x14ac:dyDescent="0.2"/>
    <row r="328" spans="3:10" s="23" customFormat="1" x14ac:dyDescent="0.2"/>
    <row r="329" spans="3:10" s="23" customFormat="1" x14ac:dyDescent="0.2"/>
    <row r="330" spans="3:10" s="23" customFormat="1" ht="16" x14ac:dyDescent="0.2">
      <c r="C330" s="37" t="s">
        <v>119</v>
      </c>
    </row>
    <row r="331" spans="3:10" s="23" customFormat="1" x14ac:dyDescent="0.2">
      <c r="D331" s="28" t="s">
        <v>120</v>
      </c>
      <c r="E331" s="28"/>
      <c r="F331" s="28"/>
      <c r="G331" s="28"/>
      <c r="H331" s="28"/>
      <c r="I331" s="28"/>
      <c r="J331" s="28"/>
    </row>
    <row r="332" spans="3:10" s="23" customFormat="1" x14ac:dyDescent="0.2">
      <c r="D332" s="28" t="s">
        <v>121</v>
      </c>
      <c r="E332" s="28"/>
    </row>
    <row r="333" spans="3:10" s="23" customFormat="1" x14ac:dyDescent="0.2">
      <c r="D333" s="28"/>
      <c r="E333" s="28"/>
    </row>
    <row r="334" spans="3:10" s="23" customFormat="1" x14ac:dyDescent="0.2">
      <c r="D334" s="28"/>
      <c r="E334" s="28"/>
    </row>
    <row r="335" spans="3:10" s="23" customFormat="1" x14ac:dyDescent="0.2">
      <c r="D335" s="28"/>
      <c r="E335" s="28"/>
    </row>
    <row r="336" spans="3:10" s="23" customFormat="1" x14ac:dyDescent="0.2">
      <c r="D336" s="28"/>
      <c r="E336" s="28"/>
    </row>
    <row r="337" spans="3:6" s="23" customFormat="1" x14ac:dyDescent="0.2">
      <c r="D337" s="28"/>
      <c r="E337" s="28"/>
    </row>
    <row r="338" spans="3:6" s="23" customFormat="1" x14ac:dyDescent="0.2">
      <c r="D338" s="28"/>
      <c r="E338" s="28"/>
    </row>
    <row r="339" spans="3:6" s="23" customFormat="1" x14ac:dyDescent="0.2"/>
    <row r="340" spans="3:6" x14ac:dyDescent="0.2">
      <c r="C340" s="17" t="s">
        <v>85</v>
      </c>
      <c r="D340" s="17"/>
      <c r="E340" s="17"/>
      <c r="F340" s="17"/>
    </row>
    <row r="342" spans="3:6" s="23" customFormat="1" x14ac:dyDescent="0.2"/>
    <row r="343" spans="3:6" s="23" customFormat="1" x14ac:dyDescent="0.2"/>
    <row r="344" spans="3:6" s="23" customFormat="1" x14ac:dyDescent="0.2"/>
    <row r="345" spans="3:6" s="23" customFormat="1" x14ac:dyDescent="0.2"/>
    <row r="346" spans="3:6" s="23" customFormat="1" x14ac:dyDescent="0.2"/>
    <row r="347" spans="3:6" s="23" customFormat="1" x14ac:dyDescent="0.2"/>
    <row r="348" spans="3:6" s="23" customFormat="1" x14ac:dyDescent="0.2"/>
    <row r="349" spans="3:6" s="23" customFormat="1" x14ac:dyDescent="0.2"/>
    <row r="350" spans="3:6" s="23" customFormat="1" x14ac:dyDescent="0.2"/>
    <row r="351" spans="3:6" s="23" customFormat="1" x14ac:dyDescent="0.2"/>
    <row r="352" spans="3:6" s="23" customFormat="1" x14ac:dyDescent="0.2"/>
    <row r="353" spans="3:7" s="23" customFormat="1" x14ac:dyDescent="0.2"/>
    <row r="354" spans="3:7" s="23" customFormat="1" x14ac:dyDescent="0.2"/>
    <row r="355" spans="3:7" s="23" customFormat="1" x14ac:dyDescent="0.2"/>
    <row r="356" spans="3:7" s="23" customFormat="1" x14ac:dyDescent="0.2"/>
    <row r="357" spans="3:7" s="23" customFormat="1" x14ac:dyDescent="0.2"/>
    <row r="358" spans="3:7" s="23" customFormat="1" x14ac:dyDescent="0.2"/>
    <row r="359" spans="3:7" s="23" customFormat="1" x14ac:dyDescent="0.2"/>
    <row r="360" spans="3:7" s="23" customFormat="1" x14ac:dyDescent="0.2"/>
    <row r="361" spans="3:7" s="23" customFormat="1" x14ac:dyDescent="0.2"/>
    <row r="362" spans="3:7" s="23" customFormat="1" x14ac:dyDescent="0.2"/>
    <row r="363" spans="3:7" s="23" customFormat="1" x14ac:dyDescent="0.2"/>
    <row r="364" spans="3:7" s="23" customFormat="1" x14ac:dyDescent="0.2"/>
    <row r="365" spans="3:7" s="23" customFormat="1" x14ac:dyDescent="0.2"/>
    <row r="366" spans="3:7" s="23" customFormat="1" x14ac:dyDescent="0.2"/>
    <row r="367" spans="3:7" x14ac:dyDescent="0.2">
      <c r="C367" s="17" t="s">
        <v>86</v>
      </c>
      <c r="D367" s="17"/>
      <c r="E367" s="17"/>
      <c r="F367" s="17"/>
      <c r="G367" s="17"/>
    </row>
  </sheetData>
  <mergeCells count="9">
    <mergeCell ref="C215:E215"/>
    <mergeCell ref="C247:H247"/>
    <mergeCell ref="C81:F81"/>
    <mergeCell ref="C21:H21"/>
    <mergeCell ref="C2:F2"/>
    <mergeCell ref="C80:E80"/>
    <mergeCell ref="C98:D98"/>
    <mergeCell ref="H167:I167"/>
    <mergeCell ref="C166:D166"/>
  </mergeCells>
  <conditionalFormatting pivot="1" sqref="K101:K147">
    <cfRule type="aboveAverage" dxfId="97" priority="1" aboveAverage="0"/>
  </conditionalFormatting>
  <pageMargins left="0.7" right="0.7" top="0.75" bottom="0.75" header="0.3" footer="0.3"/>
  <drawing r:id="rId2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32FE8-12AE-4009-8B41-D0BC566B9AA1}">
  <dimension ref="A1:R1339"/>
  <sheetViews>
    <sheetView topLeftCell="A1310" zoomScale="137" zoomScaleNormal="100" workbookViewId="0">
      <selection activeCell="A1339" sqref="A1339"/>
    </sheetView>
  </sheetViews>
  <sheetFormatPr baseColWidth="10" defaultColWidth="8.83203125" defaultRowHeight="15" x14ac:dyDescent="0.2"/>
  <cols>
    <col min="1" max="1" width="8.83203125" style="4" bestFit="1" customWidth="1"/>
    <col min="2" max="2" width="8.6640625" style="4" bestFit="1" customWidth="1"/>
    <col min="3" max="3" width="9.1640625" style="4" bestFit="1" customWidth="1"/>
    <col min="4" max="4" width="12.6640625" style="4" bestFit="1" customWidth="1"/>
    <col min="5" max="5" width="11.83203125" style="4" bestFit="1" customWidth="1"/>
    <col min="6" max="6" width="11.1640625" style="4" bestFit="1" customWidth="1"/>
    <col min="7" max="7" width="12.1640625" style="4" bestFit="1" customWidth="1"/>
  </cols>
  <sheetData>
    <row r="1" spans="1:18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16</v>
      </c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18" x14ac:dyDescent="0.2">
      <c r="A2" s="4">
        <v>19</v>
      </c>
      <c r="B2" s="4">
        <v>0</v>
      </c>
      <c r="C2" s="4">
        <v>27.9</v>
      </c>
      <c r="D2" s="4">
        <v>0</v>
      </c>
      <c r="E2" s="4">
        <v>1</v>
      </c>
      <c r="F2" s="4">
        <v>4</v>
      </c>
      <c r="G2" s="4">
        <v>16884.923999999999</v>
      </c>
      <c r="I2" s="23"/>
      <c r="J2" s="23"/>
      <c r="K2" s="23"/>
      <c r="L2" s="23"/>
      <c r="M2" s="23"/>
      <c r="N2" s="23"/>
      <c r="O2" s="23"/>
      <c r="P2" s="23"/>
      <c r="Q2" s="23"/>
      <c r="R2" s="23"/>
    </row>
    <row r="3" spans="1:18" x14ac:dyDescent="0.2">
      <c r="A3" s="4">
        <v>18</v>
      </c>
      <c r="B3" s="4">
        <v>1</v>
      </c>
      <c r="C3" s="4">
        <v>33.770000000000003</v>
      </c>
      <c r="D3" s="4">
        <v>1</v>
      </c>
      <c r="E3" s="4">
        <v>0</v>
      </c>
      <c r="F3" s="4">
        <v>2</v>
      </c>
      <c r="G3" s="4">
        <v>1725.5523000000001</v>
      </c>
      <c r="I3" s="23"/>
      <c r="J3" s="23"/>
      <c r="K3" s="23"/>
      <c r="L3" s="23"/>
      <c r="M3" s="23"/>
      <c r="N3" s="23"/>
      <c r="O3" s="23"/>
      <c r="P3" s="23"/>
      <c r="Q3" s="23"/>
      <c r="R3" s="23"/>
    </row>
    <row r="4" spans="1:18" x14ac:dyDescent="0.2">
      <c r="A4" s="4">
        <v>28</v>
      </c>
      <c r="B4" s="4">
        <v>1</v>
      </c>
      <c r="C4" s="4">
        <v>33</v>
      </c>
      <c r="D4" s="4">
        <v>3</v>
      </c>
      <c r="E4" s="4">
        <v>0</v>
      </c>
      <c r="F4" s="4">
        <v>2</v>
      </c>
      <c r="G4" s="4">
        <v>4449.4620000000004</v>
      </c>
      <c r="I4" s="23"/>
      <c r="J4" s="23"/>
      <c r="K4" s="23"/>
      <c r="L4" s="23"/>
      <c r="M4" s="23"/>
      <c r="N4" s="23"/>
      <c r="O4" s="23"/>
      <c r="P4" s="23"/>
      <c r="Q4" s="23"/>
      <c r="R4" s="23"/>
    </row>
    <row r="5" spans="1:18" x14ac:dyDescent="0.2">
      <c r="A5" s="4">
        <v>33</v>
      </c>
      <c r="B5" s="4">
        <v>1</v>
      </c>
      <c r="C5" s="4">
        <v>22.704999999999998</v>
      </c>
      <c r="D5" s="4">
        <v>0</v>
      </c>
      <c r="E5" s="4">
        <v>0</v>
      </c>
      <c r="F5" s="4">
        <v>3</v>
      </c>
      <c r="G5" s="4">
        <v>21984.47061</v>
      </c>
      <c r="I5" s="23"/>
      <c r="J5" s="23"/>
      <c r="K5" s="23"/>
      <c r="L5" s="23"/>
      <c r="M5" s="23"/>
      <c r="N5" s="23"/>
      <c r="O5" s="23"/>
      <c r="P5" s="23"/>
      <c r="Q5" s="23"/>
      <c r="R5" s="23"/>
    </row>
    <row r="6" spans="1:18" x14ac:dyDescent="0.2">
      <c r="A6" s="4">
        <v>32</v>
      </c>
      <c r="B6" s="4">
        <v>1</v>
      </c>
      <c r="C6" s="4">
        <v>28.88</v>
      </c>
      <c r="D6" s="4">
        <v>0</v>
      </c>
      <c r="E6" s="4">
        <v>0</v>
      </c>
      <c r="F6" s="4">
        <v>3</v>
      </c>
      <c r="G6" s="4">
        <v>3866.8552</v>
      </c>
      <c r="I6" s="23"/>
      <c r="J6" s="23"/>
      <c r="K6" s="23"/>
      <c r="L6" s="23"/>
      <c r="M6" s="23"/>
      <c r="N6" s="23"/>
      <c r="O6" s="23"/>
      <c r="P6" s="23"/>
      <c r="Q6" s="23"/>
      <c r="R6" s="23"/>
    </row>
    <row r="7" spans="1:18" x14ac:dyDescent="0.2">
      <c r="A7" s="4">
        <v>31</v>
      </c>
      <c r="B7" s="4">
        <v>0</v>
      </c>
      <c r="C7" s="4">
        <v>25.74</v>
      </c>
      <c r="D7" s="4">
        <v>0</v>
      </c>
      <c r="E7" s="4">
        <v>0</v>
      </c>
      <c r="F7" s="4">
        <v>2</v>
      </c>
      <c r="G7" s="4">
        <v>3756.6215999999999</v>
      </c>
      <c r="I7" s="23"/>
      <c r="J7" s="23"/>
      <c r="K7" s="23"/>
      <c r="L7" s="23"/>
      <c r="M7" s="23"/>
      <c r="N7" s="23"/>
      <c r="O7" s="23"/>
      <c r="P7" s="23"/>
      <c r="Q7" s="23"/>
      <c r="R7" s="23"/>
    </row>
    <row r="8" spans="1:18" x14ac:dyDescent="0.2">
      <c r="A8" s="4">
        <v>46</v>
      </c>
      <c r="B8" s="4">
        <v>0</v>
      </c>
      <c r="C8" s="4">
        <v>33.44</v>
      </c>
      <c r="D8" s="4">
        <v>1</v>
      </c>
      <c r="E8" s="4">
        <v>0</v>
      </c>
      <c r="F8" s="4">
        <v>2</v>
      </c>
      <c r="G8" s="4">
        <v>8240.5895999999993</v>
      </c>
      <c r="I8" s="23"/>
      <c r="J8" s="23"/>
      <c r="K8" s="23"/>
      <c r="L8" s="23"/>
      <c r="M8" s="23"/>
      <c r="N8" s="23"/>
      <c r="O8" s="23"/>
      <c r="P8" s="23"/>
      <c r="Q8" s="23"/>
      <c r="R8" s="23"/>
    </row>
    <row r="9" spans="1:18" x14ac:dyDescent="0.2">
      <c r="A9" s="4">
        <v>37</v>
      </c>
      <c r="B9" s="4">
        <v>0</v>
      </c>
      <c r="C9" s="4">
        <v>27.74</v>
      </c>
      <c r="D9" s="4">
        <v>3</v>
      </c>
      <c r="E9" s="4">
        <v>0</v>
      </c>
      <c r="F9" s="4">
        <v>3</v>
      </c>
      <c r="G9" s="4">
        <v>7281.5056000000004</v>
      </c>
      <c r="I9" s="23"/>
      <c r="J9" s="23"/>
      <c r="K9" s="23"/>
      <c r="L9" s="23"/>
      <c r="M9" s="23"/>
      <c r="N9" s="23"/>
      <c r="O9" s="23"/>
      <c r="P9" s="23"/>
      <c r="Q9" s="23"/>
      <c r="R9" s="23"/>
    </row>
    <row r="10" spans="1:18" x14ac:dyDescent="0.2">
      <c r="A10" s="4">
        <v>37</v>
      </c>
      <c r="B10" s="4">
        <v>1</v>
      </c>
      <c r="C10" s="4">
        <v>29.83</v>
      </c>
      <c r="D10" s="4">
        <v>2</v>
      </c>
      <c r="E10" s="4">
        <v>0</v>
      </c>
      <c r="F10" s="4">
        <v>1</v>
      </c>
      <c r="G10" s="4">
        <v>6406.4107000000004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</row>
    <row r="11" spans="1:18" x14ac:dyDescent="0.2">
      <c r="A11" s="4">
        <v>60</v>
      </c>
      <c r="B11" s="4">
        <v>0</v>
      </c>
      <c r="C11" s="4">
        <v>25.84</v>
      </c>
      <c r="D11" s="4">
        <v>0</v>
      </c>
      <c r="E11" s="4">
        <v>0</v>
      </c>
      <c r="F11" s="4">
        <v>3</v>
      </c>
      <c r="G11" s="4">
        <v>28923.136920000001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</row>
    <row r="12" spans="1:18" x14ac:dyDescent="0.2">
      <c r="A12" s="4">
        <v>25</v>
      </c>
      <c r="B12" s="4">
        <v>1</v>
      </c>
      <c r="C12" s="4">
        <v>26.22</v>
      </c>
      <c r="D12" s="4">
        <v>0</v>
      </c>
      <c r="E12" s="4">
        <v>0</v>
      </c>
      <c r="F12" s="4">
        <v>1</v>
      </c>
      <c r="G12" s="4">
        <v>2721.3208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</row>
    <row r="13" spans="1:18" x14ac:dyDescent="0.2">
      <c r="A13" s="4">
        <v>62</v>
      </c>
      <c r="B13" s="4">
        <v>0</v>
      </c>
      <c r="C13" s="4">
        <v>26.29</v>
      </c>
      <c r="D13" s="4">
        <v>0</v>
      </c>
      <c r="E13" s="4">
        <v>1</v>
      </c>
      <c r="F13" s="4">
        <v>2</v>
      </c>
      <c r="G13" s="4">
        <v>27808.7251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</row>
    <row r="14" spans="1:18" x14ac:dyDescent="0.2">
      <c r="A14" s="4">
        <v>23</v>
      </c>
      <c r="B14" s="4">
        <v>1</v>
      </c>
      <c r="C14" s="4">
        <v>34.4</v>
      </c>
      <c r="D14" s="4">
        <v>0</v>
      </c>
      <c r="E14" s="4">
        <v>0</v>
      </c>
      <c r="F14" s="4">
        <v>4</v>
      </c>
      <c r="G14" s="4">
        <v>1826.8430000000001</v>
      </c>
      <c r="I14" s="23"/>
      <c r="J14" s="23"/>
      <c r="K14" s="23"/>
      <c r="L14" s="23"/>
      <c r="M14" s="23"/>
      <c r="N14" s="23"/>
      <c r="O14" s="23"/>
      <c r="P14" s="23"/>
      <c r="Q14" s="23"/>
      <c r="R14" s="23"/>
    </row>
    <row r="15" spans="1:18" x14ac:dyDescent="0.2">
      <c r="A15" s="4">
        <v>56</v>
      </c>
      <c r="B15" s="4">
        <v>0</v>
      </c>
      <c r="C15" s="4">
        <v>39.82</v>
      </c>
      <c r="D15" s="4">
        <v>0</v>
      </c>
      <c r="E15" s="4">
        <v>0</v>
      </c>
      <c r="F15" s="4">
        <v>2</v>
      </c>
      <c r="G15" s="4">
        <v>11090.7178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</row>
    <row r="16" spans="1:18" x14ac:dyDescent="0.2">
      <c r="A16" s="4">
        <v>27</v>
      </c>
      <c r="B16" s="4">
        <v>1</v>
      </c>
      <c r="C16" s="4">
        <v>42.13</v>
      </c>
      <c r="D16" s="4">
        <v>0</v>
      </c>
      <c r="E16" s="4">
        <v>1</v>
      </c>
      <c r="F16" s="4">
        <v>2</v>
      </c>
      <c r="G16" s="4">
        <v>39611.757700000002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</row>
    <row r="17" spans="1:18" x14ac:dyDescent="0.2">
      <c r="A17" s="4">
        <v>19</v>
      </c>
      <c r="B17" s="4">
        <v>1</v>
      </c>
      <c r="C17" s="4">
        <v>24.6</v>
      </c>
      <c r="D17" s="4">
        <v>1</v>
      </c>
      <c r="E17" s="4">
        <v>0</v>
      </c>
      <c r="F17" s="4">
        <v>4</v>
      </c>
      <c r="G17" s="4">
        <v>1837.2370000000001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</row>
    <row r="18" spans="1:18" x14ac:dyDescent="0.2">
      <c r="A18" s="4">
        <v>52</v>
      </c>
      <c r="B18" s="4">
        <v>0</v>
      </c>
      <c r="C18" s="4">
        <v>30.78</v>
      </c>
      <c r="D18" s="4">
        <v>1</v>
      </c>
      <c r="E18" s="4">
        <v>0</v>
      </c>
      <c r="F18" s="4">
        <v>1</v>
      </c>
      <c r="G18" s="4">
        <v>10797.3362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</row>
    <row r="19" spans="1:18" x14ac:dyDescent="0.2">
      <c r="A19" s="4">
        <v>23</v>
      </c>
      <c r="B19" s="4">
        <v>1</v>
      </c>
      <c r="C19" s="4">
        <v>23.844999999999999</v>
      </c>
      <c r="D19" s="4">
        <v>0</v>
      </c>
      <c r="E19" s="4">
        <v>0</v>
      </c>
      <c r="F19" s="4">
        <v>1</v>
      </c>
      <c r="G19" s="4">
        <v>2395.17155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</row>
    <row r="20" spans="1:18" x14ac:dyDescent="0.2">
      <c r="A20" s="4">
        <v>56</v>
      </c>
      <c r="B20" s="4">
        <v>1</v>
      </c>
      <c r="C20" s="4">
        <v>40.299999999999997</v>
      </c>
      <c r="D20" s="4">
        <v>0</v>
      </c>
      <c r="E20" s="4">
        <v>0</v>
      </c>
      <c r="F20" s="4">
        <v>4</v>
      </c>
      <c r="G20" s="4">
        <v>10602.385</v>
      </c>
      <c r="I20" s="23"/>
      <c r="J20" s="23"/>
      <c r="K20" s="23"/>
      <c r="L20" s="23"/>
      <c r="M20" s="23"/>
      <c r="N20" s="23"/>
      <c r="O20" s="23"/>
      <c r="P20" s="23"/>
      <c r="Q20" s="23"/>
      <c r="R20" s="23"/>
    </row>
    <row r="21" spans="1:18" x14ac:dyDescent="0.2">
      <c r="A21" s="4">
        <v>30</v>
      </c>
      <c r="B21" s="4">
        <v>1</v>
      </c>
      <c r="C21" s="4">
        <v>35.299999999999997</v>
      </c>
      <c r="D21" s="4">
        <v>0</v>
      </c>
      <c r="E21" s="4">
        <v>1</v>
      </c>
      <c r="F21" s="4">
        <v>4</v>
      </c>
      <c r="G21" s="4">
        <v>36837.466999999997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</row>
    <row r="22" spans="1:18" x14ac:dyDescent="0.2">
      <c r="A22" s="4">
        <v>60</v>
      </c>
      <c r="B22" s="4">
        <v>0</v>
      </c>
      <c r="C22" s="4">
        <v>36.005000000000003</v>
      </c>
      <c r="D22" s="4">
        <v>0</v>
      </c>
      <c r="E22" s="4">
        <v>0</v>
      </c>
      <c r="F22" s="4">
        <v>1</v>
      </c>
      <c r="G22" s="4">
        <v>13228.846949999999</v>
      </c>
      <c r="I22" s="23"/>
      <c r="J22" s="23"/>
      <c r="K22" s="23"/>
      <c r="L22" s="23"/>
      <c r="M22" s="23"/>
      <c r="N22" s="23"/>
      <c r="O22" s="23"/>
      <c r="P22" s="23"/>
      <c r="Q22" s="23"/>
      <c r="R22" s="23"/>
    </row>
    <row r="23" spans="1:18" x14ac:dyDescent="0.2">
      <c r="A23" s="4">
        <v>30</v>
      </c>
      <c r="B23" s="4">
        <v>0</v>
      </c>
      <c r="C23" s="4">
        <v>32.4</v>
      </c>
      <c r="D23" s="4">
        <v>1</v>
      </c>
      <c r="E23" s="4">
        <v>0</v>
      </c>
      <c r="F23" s="4">
        <v>4</v>
      </c>
      <c r="G23" s="4">
        <v>4149.7359999999999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</row>
    <row r="24" spans="1:18" x14ac:dyDescent="0.2">
      <c r="A24" s="4">
        <v>18</v>
      </c>
      <c r="B24" s="4">
        <v>1</v>
      </c>
      <c r="C24" s="4">
        <v>34.1</v>
      </c>
      <c r="D24" s="4">
        <v>0</v>
      </c>
      <c r="E24" s="4">
        <v>0</v>
      </c>
      <c r="F24" s="4">
        <v>2</v>
      </c>
      <c r="G24" s="4">
        <v>1137.011</v>
      </c>
      <c r="I24" s="23"/>
      <c r="J24" s="23"/>
      <c r="K24" s="23"/>
      <c r="L24" s="23"/>
      <c r="M24" s="23"/>
      <c r="N24" s="23"/>
      <c r="O24" s="23"/>
      <c r="P24" s="23"/>
      <c r="Q24" s="23"/>
      <c r="R24" s="23"/>
    </row>
    <row r="25" spans="1:18" x14ac:dyDescent="0.2">
      <c r="A25" s="4">
        <v>34</v>
      </c>
      <c r="B25" s="4">
        <v>0</v>
      </c>
      <c r="C25" s="4">
        <v>31.92</v>
      </c>
      <c r="D25" s="4">
        <v>1</v>
      </c>
      <c r="E25" s="4">
        <v>1</v>
      </c>
      <c r="F25" s="4">
        <v>1</v>
      </c>
      <c r="G25" s="4">
        <v>37701.876799999998</v>
      </c>
      <c r="I25" s="23"/>
      <c r="J25" s="23"/>
      <c r="K25" s="23"/>
      <c r="L25" s="23"/>
      <c r="M25" s="23"/>
      <c r="N25" s="23"/>
      <c r="O25" s="23"/>
      <c r="P25" s="23"/>
      <c r="Q25" s="23"/>
      <c r="R25" s="23"/>
    </row>
    <row r="26" spans="1:18" x14ac:dyDescent="0.2">
      <c r="A26" s="4">
        <v>37</v>
      </c>
      <c r="B26" s="4">
        <v>1</v>
      </c>
      <c r="C26" s="4">
        <v>28.024999999999999</v>
      </c>
      <c r="D26" s="4">
        <v>2</v>
      </c>
      <c r="E26" s="4">
        <v>0</v>
      </c>
      <c r="F26" s="4">
        <v>3</v>
      </c>
      <c r="G26" s="4">
        <v>6203.90175</v>
      </c>
      <c r="I26" s="23"/>
      <c r="J26" s="23"/>
      <c r="K26" s="23"/>
      <c r="L26" s="23"/>
      <c r="M26" s="23"/>
      <c r="N26" s="23"/>
      <c r="O26" s="23"/>
      <c r="P26" s="23"/>
      <c r="Q26" s="23"/>
      <c r="R26" s="23"/>
    </row>
    <row r="27" spans="1:18" x14ac:dyDescent="0.2">
      <c r="A27" s="4">
        <v>59</v>
      </c>
      <c r="B27" s="4">
        <v>0</v>
      </c>
      <c r="C27" s="4">
        <v>27.72</v>
      </c>
      <c r="D27" s="4">
        <v>3</v>
      </c>
      <c r="E27" s="4">
        <v>0</v>
      </c>
      <c r="F27" s="4">
        <v>2</v>
      </c>
      <c r="G27" s="4">
        <v>14001.1338</v>
      </c>
      <c r="I27" s="23"/>
      <c r="J27" s="23"/>
      <c r="K27" s="23"/>
      <c r="L27" s="23"/>
      <c r="M27" s="23"/>
      <c r="N27" s="23"/>
      <c r="O27" s="23"/>
      <c r="P27" s="23"/>
      <c r="Q27" s="23"/>
      <c r="R27" s="23"/>
    </row>
    <row r="28" spans="1:18" x14ac:dyDescent="0.2">
      <c r="A28" s="4">
        <v>63</v>
      </c>
      <c r="B28" s="4">
        <v>0</v>
      </c>
      <c r="C28" s="4">
        <v>23.085000000000001</v>
      </c>
      <c r="D28" s="4">
        <v>0</v>
      </c>
      <c r="E28" s="4">
        <v>0</v>
      </c>
      <c r="F28" s="4">
        <v>1</v>
      </c>
      <c r="G28" s="4">
        <v>14451.835150000001</v>
      </c>
      <c r="I28" s="23"/>
      <c r="J28" s="23"/>
      <c r="K28" s="23"/>
      <c r="L28" s="23"/>
      <c r="M28" s="23"/>
      <c r="N28" s="23"/>
      <c r="O28" s="23"/>
      <c r="P28" s="23"/>
      <c r="Q28" s="23"/>
      <c r="R28" s="23"/>
    </row>
    <row r="29" spans="1:18" x14ac:dyDescent="0.2">
      <c r="A29" s="4">
        <v>55</v>
      </c>
      <c r="B29" s="4">
        <v>0</v>
      </c>
      <c r="C29" s="4">
        <v>32.774999999999999</v>
      </c>
      <c r="D29" s="4">
        <v>2</v>
      </c>
      <c r="E29" s="4">
        <v>0</v>
      </c>
      <c r="F29" s="4">
        <v>3</v>
      </c>
      <c r="G29" s="4">
        <v>12268.632250000001</v>
      </c>
      <c r="I29" s="23"/>
      <c r="J29" s="23"/>
      <c r="K29" s="23"/>
      <c r="L29" s="23"/>
      <c r="M29" s="23"/>
      <c r="N29" s="23"/>
      <c r="O29" s="23"/>
      <c r="P29" s="23"/>
      <c r="Q29" s="23"/>
      <c r="R29" s="23"/>
    </row>
    <row r="30" spans="1:18" x14ac:dyDescent="0.2">
      <c r="A30" s="4">
        <v>23</v>
      </c>
      <c r="B30" s="4">
        <v>1</v>
      </c>
      <c r="C30" s="4">
        <v>17.385000000000002</v>
      </c>
      <c r="D30" s="4">
        <v>1</v>
      </c>
      <c r="E30" s="4">
        <v>0</v>
      </c>
      <c r="F30" s="4">
        <v>3</v>
      </c>
      <c r="G30" s="4">
        <v>2775.1921499999999</v>
      </c>
      <c r="I30" s="23"/>
      <c r="J30" s="23"/>
      <c r="K30" s="23"/>
      <c r="L30" s="23"/>
      <c r="M30" s="23"/>
      <c r="N30" s="23"/>
      <c r="O30" s="23"/>
      <c r="P30" s="23"/>
      <c r="Q30" s="23"/>
      <c r="R30" s="23"/>
    </row>
    <row r="31" spans="1:18" x14ac:dyDescent="0.2">
      <c r="A31" s="4">
        <v>31</v>
      </c>
      <c r="B31" s="4">
        <v>1</v>
      </c>
      <c r="C31" s="4">
        <v>36.299999999999997</v>
      </c>
      <c r="D31" s="4">
        <v>2</v>
      </c>
      <c r="E31" s="4">
        <v>1</v>
      </c>
      <c r="F31" s="4">
        <v>4</v>
      </c>
      <c r="G31" s="4">
        <v>38711</v>
      </c>
      <c r="I31" s="23"/>
      <c r="J31" s="23"/>
      <c r="K31" s="23"/>
      <c r="L31" s="23"/>
      <c r="M31" s="23"/>
      <c r="N31" s="23"/>
      <c r="O31" s="23"/>
      <c r="P31" s="23"/>
      <c r="Q31" s="23"/>
      <c r="R31" s="23"/>
    </row>
    <row r="32" spans="1:18" x14ac:dyDescent="0.2">
      <c r="A32" s="4">
        <v>22</v>
      </c>
      <c r="B32" s="4">
        <v>1</v>
      </c>
      <c r="C32" s="4">
        <v>35.6</v>
      </c>
      <c r="D32" s="4">
        <v>0</v>
      </c>
      <c r="E32" s="4">
        <v>1</v>
      </c>
      <c r="F32" s="4">
        <v>4</v>
      </c>
      <c r="G32" s="4">
        <v>35585.576000000001</v>
      </c>
      <c r="I32" s="23"/>
      <c r="J32" s="23"/>
      <c r="K32" s="23"/>
      <c r="L32" s="23"/>
      <c r="M32" s="23"/>
      <c r="N32" s="23"/>
      <c r="O32" s="23"/>
      <c r="P32" s="23"/>
      <c r="Q32" s="23"/>
      <c r="R32" s="23"/>
    </row>
    <row r="33" spans="1:18" x14ac:dyDescent="0.2">
      <c r="A33" s="4">
        <v>18</v>
      </c>
      <c r="B33" s="4">
        <v>0</v>
      </c>
      <c r="C33" s="4">
        <v>26.315000000000001</v>
      </c>
      <c r="D33" s="4">
        <v>0</v>
      </c>
      <c r="E33" s="4">
        <v>0</v>
      </c>
      <c r="F33" s="4">
        <v>1</v>
      </c>
      <c r="G33" s="4">
        <v>2198.1898500000002</v>
      </c>
      <c r="I33" s="23"/>
      <c r="J33" s="23"/>
      <c r="K33" s="23"/>
      <c r="L33" s="23"/>
      <c r="M33" s="23"/>
      <c r="N33" s="23"/>
      <c r="O33" s="23"/>
      <c r="P33" s="23"/>
      <c r="Q33" s="23"/>
      <c r="R33" s="23"/>
    </row>
    <row r="34" spans="1:18" x14ac:dyDescent="0.2">
      <c r="A34" s="4">
        <v>19</v>
      </c>
      <c r="B34" s="4">
        <v>0</v>
      </c>
      <c r="C34" s="4">
        <v>28.6</v>
      </c>
      <c r="D34" s="4">
        <v>5</v>
      </c>
      <c r="E34" s="4">
        <v>0</v>
      </c>
      <c r="F34" s="4">
        <v>4</v>
      </c>
      <c r="G34" s="4">
        <v>4687.7969999999996</v>
      </c>
      <c r="I34" s="23"/>
      <c r="J34" s="23"/>
      <c r="K34" s="23"/>
      <c r="L34" s="23"/>
      <c r="M34" s="23"/>
      <c r="N34" s="23"/>
      <c r="O34" s="23"/>
      <c r="P34" s="23"/>
      <c r="Q34" s="23"/>
      <c r="R34" s="23"/>
    </row>
    <row r="35" spans="1:18" x14ac:dyDescent="0.2">
      <c r="A35" s="4">
        <v>63</v>
      </c>
      <c r="B35" s="4">
        <v>1</v>
      </c>
      <c r="C35" s="4">
        <v>28.31</v>
      </c>
      <c r="D35" s="4">
        <v>0</v>
      </c>
      <c r="E35" s="4">
        <v>0</v>
      </c>
      <c r="F35" s="4">
        <v>3</v>
      </c>
      <c r="G35" s="4">
        <v>13770.097900000001</v>
      </c>
      <c r="I35" s="23"/>
      <c r="J35" s="23"/>
      <c r="K35" s="23"/>
      <c r="L35" s="23"/>
      <c r="M35" s="23"/>
      <c r="N35" s="23"/>
      <c r="O35" s="23"/>
      <c r="P35" s="23"/>
      <c r="Q35" s="23"/>
      <c r="R35" s="23"/>
    </row>
    <row r="36" spans="1:18" x14ac:dyDescent="0.2">
      <c r="A36" s="4">
        <v>28</v>
      </c>
      <c r="B36" s="4">
        <v>1</v>
      </c>
      <c r="C36" s="4">
        <v>36.4</v>
      </c>
      <c r="D36" s="4">
        <v>1</v>
      </c>
      <c r="E36" s="4">
        <v>1</v>
      </c>
      <c r="F36" s="4">
        <v>4</v>
      </c>
      <c r="G36" s="4">
        <v>51194.559139999998</v>
      </c>
      <c r="I36" s="23"/>
      <c r="J36" s="23"/>
      <c r="K36" s="23"/>
      <c r="L36" s="23"/>
      <c r="M36" s="23"/>
      <c r="N36" s="23"/>
      <c r="O36" s="23"/>
      <c r="P36" s="23"/>
      <c r="Q36" s="23"/>
      <c r="R36" s="23"/>
    </row>
    <row r="37" spans="1:18" x14ac:dyDescent="0.2">
      <c r="A37" s="4">
        <v>19</v>
      </c>
      <c r="B37" s="4">
        <v>1</v>
      </c>
      <c r="C37" s="4">
        <v>20.425000000000001</v>
      </c>
      <c r="D37" s="4">
        <v>0</v>
      </c>
      <c r="E37" s="4">
        <v>0</v>
      </c>
      <c r="F37" s="4">
        <v>3</v>
      </c>
      <c r="G37" s="4">
        <v>1625.4337499999999</v>
      </c>
      <c r="I37" s="23"/>
      <c r="J37" s="23"/>
      <c r="K37" s="23"/>
      <c r="L37" s="23"/>
      <c r="M37" s="23"/>
      <c r="N37" s="23"/>
      <c r="O37" s="23"/>
      <c r="P37" s="23"/>
      <c r="Q37" s="23"/>
      <c r="R37" s="23"/>
    </row>
    <row r="38" spans="1:18" x14ac:dyDescent="0.2">
      <c r="A38" s="4">
        <v>62</v>
      </c>
      <c r="B38" s="4">
        <v>0</v>
      </c>
      <c r="C38" s="4">
        <v>32.965000000000003</v>
      </c>
      <c r="D38" s="4">
        <v>3</v>
      </c>
      <c r="E38" s="4">
        <v>0</v>
      </c>
      <c r="F38" s="4">
        <v>3</v>
      </c>
      <c r="G38" s="4">
        <v>15612.19335</v>
      </c>
      <c r="I38" s="23"/>
      <c r="J38" s="23"/>
      <c r="K38" s="23"/>
      <c r="L38" s="23"/>
      <c r="M38" s="23"/>
      <c r="N38" s="23"/>
      <c r="O38" s="23"/>
      <c r="P38" s="23"/>
      <c r="Q38" s="23"/>
      <c r="R38" s="23"/>
    </row>
    <row r="39" spans="1:18" x14ac:dyDescent="0.2">
      <c r="A39" s="4">
        <v>26</v>
      </c>
      <c r="B39" s="4">
        <v>1</v>
      </c>
      <c r="C39" s="4">
        <v>20.8</v>
      </c>
      <c r="D39" s="4">
        <v>0</v>
      </c>
      <c r="E39" s="4">
        <v>0</v>
      </c>
      <c r="F39" s="4">
        <v>4</v>
      </c>
      <c r="G39" s="4">
        <v>2302.3000000000002</v>
      </c>
      <c r="I39" s="23"/>
      <c r="J39" s="23"/>
      <c r="K39" s="23"/>
      <c r="L39" s="23"/>
      <c r="M39" s="23"/>
      <c r="N39" s="23"/>
      <c r="O39" s="23"/>
      <c r="P39" s="23"/>
      <c r="Q39" s="23"/>
      <c r="R39" s="23"/>
    </row>
    <row r="40" spans="1:18" x14ac:dyDescent="0.2">
      <c r="A40" s="4">
        <v>35</v>
      </c>
      <c r="B40" s="4">
        <v>1</v>
      </c>
      <c r="C40" s="4">
        <v>36.67</v>
      </c>
      <c r="D40" s="4">
        <v>1</v>
      </c>
      <c r="E40" s="4">
        <v>1</v>
      </c>
      <c r="F40" s="4">
        <v>1</v>
      </c>
      <c r="G40" s="4">
        <v>39774.276299999998</v>
      </c>
      <c r="I40" s="23"/>
      <c r="J40" s="23"/>
      <c r="K40" s="23"/>
      <c r="L40" s="23"/>
      <c r="M40" s="23"/>
      <c r="N40" s="23"/>
      <c r="O40" s="23"/>
      <c r="P40" s="23"/>
      <c r="Q40" s="23"/>
      <c r="R40" s="23"/>
    </row>
    <row r="41" spans="1:18" x14ac:dyDescent="0.2">
      <c r="A41" s="4">
        <v>60</v>
      </c>
      <c r="B41" s="4">
        <v>1</v>
      </c>
      <c r="C41" s="4">
        <v>39.9</v>
      </c>
      <c r="D41" s="4">
        <v>0</v>
      </c>
      <c r="E41" s="4">
        <v>1</v>
      </c>
      <c r="F41" s="4">
        <v>4</v>
      </c>
      <c r="G41" s="4">
        <v>48173.360999999997</v>
      </c>
      <c r="I41" s="23"/>
      <c r="J41" s="23"/>
      <c r="K41" s="23"/>
      <c r="L41" s="23"/>
      <c r="M41" s="23"/>
      <c r="N41" s="23"/>
      <c r="O41" s="23"/>
      <c r="P41" s="23"/>
      <c r="Q41" s="23"/>
      <c r="R41" s="23"/>
    </row>
    <row r="42" spans="1:18" x14ac:dyDescent="0.2">
      <c r="A42" s="4">
        <v>24</v>
      </c>
      <c r="B42" s="4">
        <v>0</v>
      </c>
      <c r="C42" s="4">
        <v>26.6</v>
      </c>
      <c r="D42" s="4">
        <v>0</v>
      </c>
      <c r="E42" s="4">
        <v>0</v>
      </c>
      <c r="F42" s="4">
        <v>1</v>
      </c>
      <c r="G42" s="4">
        <v>3046.0619999999999</v>
      </c>
      <c r="I42" s="23"/>
      <c r="J42" s="23"/>
      <c r="K42" s="23"/>
      <c r="L42" s="23"/>
      <c r="M42" s="23"/>
      <c r="N42" s="23"/>
      <c r="O42" s="23"/>
      <c r="P42" s="23"/>
      <c r="Q42" s="23"/>
      <c r="R42" s="23"/>
    </row>
    <row r="43" spans="1:18" x14ac:dyDescent="0.2">
      <c r="A43" s="4">
        <v>31</v>
      </c>
      <c r="B43" s="4">
        <v>0</v>
      </c>
      <c r="C43" s="4">
        <v>36.630000000000003</v>
      </c>
      <c r="D43" s="4">
        <v>2</v>
      </c>
      <c r="E43" s="4">
        <v>0</v>
      </c>
      <c r="F43" s="4">
        <v>2</v>
      </c>
      <c r="G43" s="4">
        <v>4949.7587000000003</v>
      </c>
      <c r="I43" s="23"/>
      <c r="J43" s="23"/>
      <c r="K43" s="23"/>
      <c r="L43" s="23"/>
      <c r="M43" s="23"/>
      <c r="N43" s="23"/>
      <c r="O43" s="23"/>
      <c r="P43" s="23"/>
      <c r="Q43" s="23"/>
      <c r="R43" s="23"/>
    </row>
    <row r="44" spans="1:18" x14ac:dyDescent="0.2">
      <c r="A44" s="4">
        <v>41</v>
      </c>
      <c r="B44" s="4">
        <v>1</v>
      </c>
      <c r="C44" s="4">
        <v>21.78</v>
      </c>
      <c r="D44" s="4">
        <v>1</v>
      </c>
      <c r="E44" s="4">
        <v>0</v>
      </c>
      <c r="F44" s="4">
        <v>2</v>
      </c>
      <c r="G44" s="4">
        <v>6272.4772000000003</v>
      </c>
      <c r="I44" s="23"/>
      <c r="J44" s="23"/>
      <c r="K44" s="23"/>
      <c r="L44" s="23"/>
      <c r="M44" s="23"/>
      <c r="N44" s="23"/>
      <c r="O44" s="23"/>
      <c r="P44" s="23"/>
      <c r="Q44" s="23"/>
      <c r="R44" s="23"/>
    </row>
    <row r="45" spans="1:18" x14ac:dyDescent="0.2">
      <c r="A45" s="4">
        <v>37</v>
      </c>
      <c r="B45" s="4">
        <v>0</v>
      </c>
      <c r="C45" s="4">
        <v>30.8</v>
      </c>
      <c r="D45" s="4">
        <v>2</v>
      </c>
      <c r="E45" s="4">
        <v>0</v>
      </c>
      <c r="F45" s="4">
        <v>2</v>
      </c>
      <c r="G45" s="4">
        <v>6313.759</v>
      </c>
      <c r="I45" s="23"/>
      <c r="J45" s="23"/>
      <c r="K45" s="23"/>
      <c r="L45" s="23"/>
      <c r="M45" s="23"/>
      <c r="N45" s="23"/>
      <c r="O45" s="23"/>
      <c r="P45" s="23"/>
      <c r="Q45" s="23"/>
      <c r="R45" s="23"/>
    </row>
    <row r="46" spans="1:18" x14ac:dyDescent="0.2">
      <c r="A46" s="4">
        <v>38</v>
      </c>
      <c r="B46" s="4">
        <v>1</v>
      </c>
      <c r="C46" s="4">
        <v>37.049999999999997</v>
      </c>
      <c r="D46" s="4">
        <v>1</v>
      </c>
      <c r="E46" s="4">
        <v>0</v>
      </c>
      <c r="F46" s="4">
        <v>1</v>
      </c>
      <c r="G46" s="4">
        <v>6079.6715000000004</v>
      </c>
      <c r="I46" s="23"/>
      <c r="J46" s="23"/>
      <c r="K46" s="23"/>
      <c r="L46" s="23"/>
      <c r="M46" s="23"/>
      <c r="N46" s="23"/>
      <c r="O46" s="23"/>
      <c r="P46" s="23"/>
      <c r="Q46" s="23"/>
      <c r="R46" s="23"/>
    </row>
    <row r="47" spans="1:18" x14ac:dyDescent="0.2">
      <c r="A47" s="4">
        <v>55</v>
      </c>
      <c r="B47" s="4">
        <v>1</v>
      </c>
      <c r="C47" s="4">
        <v>37.299999999999997</v>
      </c>
      <c r="D47" s="4">
        <v>0</v>
      </c>
      <c r="E47" s="4">
        <v>0</v>
      </c>
      <c r="F47" s="4">
        <v>4</v>
      </c>
      <c r="G47" s="4">
        <v>20630.283510000001</v>
      </c>
      <c r="I47" s="23"/>
      <c r="J47" s="23"/>
      <c r="K47" s="23"/>
      <c r="L47" s="23"/>
      <c r="M47" s="23"/>
      <c r="N47" s="23"/>
      <c r="O47" s="23"/>
      <c r="P47" s="23"/>
      <c r="Q47" s="23"/>
      <c r="R47" s="23"/>
    </row>
    <row r="48" spans="1:18" x14ac:dyDescent="0.2">
      <c r="A48" s="4">
        <v>18</v>
      </c>
      <c r="B48" s="4">
        <v>0</v>
      </c>
      <c r="C48" s="4">
        <v>38.664999999999999</v>
      </c>
      <c r="D48" s="4">
        <v>2</v>
      </c>
      <c r="E48" s="4">
        <v>0</v>
      </c>
      <c r="F48" s="4">
        <v>1</v>
      </c>
      <c r="G48" s="4">
        <v>3393.35635</v>
      </c>
      <c r="I48" s="23"/>
      <c r="J48" s="23"/>
      <c r="K48" s="23"/>
      <c r="L48" s="23"/>
      <c r="M48" s="23"/>
      <c r="N48" s="23"/>
      <c r="O48" s="23"/>
      <c r="P48" s="23"/>
      <c r="Q48" s="23"/>
      <c r="R48" s="23"/>
    </row>
    <row r="49" spans="1:18" x14ac:dyDescent="0.2">
      <c r="A49" s="4">
        <v>28</v>
      </c>
      <c r="B49" s="4">
        <v>0</v>
      </c>
      <c r="C49" s="4">
        <v>34.770000000000003</v>
      </c>
      <c r="D49" s="4">
        <v>0</v>
      </c>
      <c r="E49" s="4">
        <v>0</v>
      </c>
      <c r="F49" s="4">
        <v>3</v>
      </c>
      <c r="G49" s="4">
        <v>3556.9223000000002</v>
      </c>
      <c r="I49" s="23"/>
      <c r="J49" s="23"/>
      <c r="K49" s="23"/>
      <c r="L49" s="23"/>
      <c r="M49" s="23"/>
      <c r="N49" s="23"/>
      <c r="O49" s="23"/>
      <c r="P49" s="23"/>
      <c r="Q49" s="23"/>
      <c r="R49" s="23"/>
    </row>
    <row r="50" spans="1:18" x14ac:dyDescent="0.2">
      <c r="A50" s="4">
        <v>60</v>
      </c>
      <c r="B50" s="4">
        <v>0</v>
      </c>
      <c r="C50" s="4">
        <v>24.53</v>
      </c>
      <c r="D50" s="4">
        <v>0</v>
      </c>
      <c r="E50" s="4">
        <v>0</v>
      </c>
      <c r="F50" s="4">
        <v>2</v>
      </c>
      <c r="G50" s="4">
        <v>12629.896699999999</v>
      </c>
      <c r="I50" s="23"/>
      <c r="J50" s="23"/>
      <c r="K50" s="23"/>
      <c r="L50" s="23"/>
      <c r="M50" s="23"/>
      <c r="N50" s="23"/>
      <c r="O50" s="23"/>
      <c r="P50" s="23"/>
      <c r="Q50" s="23"/>
      <c r="R50" s="23"/>
    </row>
    <row r="51" spans="1:18" x14ac:dyDescent="0.2">
      <c r="A51" s="4">
        <v>36</v>
      </c>
      <c r="B51" s="4">
        <v>1</v>
      </c>
      <c r="C51" s="4">
        <v>35.200000000000003</v>
      </c>
      <c r="D51" s="4">
        <v>1</v>
      </c>
      <c r="E51" s="4">
        <v>1</v>
      </c>
      <c r="F51" s="4">
        <v>2</v>
      </c>
      <c r="G51" s="4">
        <v>38709.175999999999</v>
      </c>
      <c r="I51" s="23"/>
      <c r="J51" s="23"/>
      <c r="K51" s="23"/>
      <c r="L51" s="23"/>
      <c r="M51" s="23"/>
      <c r="N51" s="23"/>
      <c r="O51" s="23"/>
      <c r="P51" s="23"/>
      <c r="Q51" s="23"/>
      <c r="R51" s="23"/>
    </row>
    <row r="52" spans="1:18" x14ac:dyDescent="0.2">
      <c r="A52" s="4">
        <v>18</v>
      </c>
      <c r="B52" s="4">
        <v>0</v>
      </c>
      <c r="C52" s="4">
        <v>35.625</v>
      </c>
      <c r="D52" s="4">
        <v>0</v>
      </c>
      <c r="E52" s="4">
        <v>0</v>
      </c>
      <c r="F52" s="4">
        <v>1</v>
      </c>
      <c r="G52" s="4">
        <v>2211.1307499999998</v>
      </c>
      <c r="I52" s="23"/>
      <c r="J52" s="23"/>
      <c r="K52" s="23"/>
      <c r="L52" s="23"/>
      <c r="M52" s="23"/>
      <c r="N52" s="23"/>
      <c r="O52" s="23"/>
      <c r="P52" s="23"/>
      <c r="Q52" s="23"/>
      <c r="R52" s="23"/>
    </row>
    <row r="53" spans="1:18" x14ac:dyDescent="0.2">
      <c r="A53" s="4">
        <v>21</v>
      </c>
      <c r="B53" s="4">
        <v>0</v>
      </c>
      <c r="C53" s="4">
        <v>33.630000000000003</v>
      </c>
      <c r="D53" s="4">
        <v>2</v>
      </c>
      <c r="E53" s="4">
        <v>0</v>
      </c>
      <c r="F53" s="4">
        <v>3</v>
      </c>
      <c r="G53" s="4">
        <v>3579.8287</v>
      </c>
      <c r="I53" s="23"/>
      <c r="J53" s="23"/>
      <c r="K53" s="23"/>
      <c r="L53" s="23"/>
      <c r="M53" s="23"/>
      <c r="N53" s="23"/>
      <c r="O53" s="23"/>
      <c r="P53" s="23"/>
      <c r="Q53" s="23"/>
      <c r="R53" s="23"/>
    </row>
    <row r="54" spans="1:18" x14ac:dyDescent="0.2">
      <c r="A54" s="4">
        <v>48</v>
      </c>
      <c r="B54" s="4">
        <v>1</v>
      </c>
      <c r="C54" s="4">
        <v>28</v>
      </c>
      <c r="D54" s="4">
        <v>1</v>
      </c>
      <c r="E54" s="4">
        <v>1</v>
      </c>
      <c r="F54" s="4">
        <v>4</v>
      </c>
      <c r="G54" s="4">
        <v>23568.272000000001</v>
      </c>
      <c r="I54" s="23"/>
      <c r="J54" s="23"/>
      <c r="K54" s="23"/>
      <c r="L54" s="23"/>
      <c r="M54" s="23"/>
      <c r="N54" s="23"/>
      <c r="O54" s="23"/>
      <c r="P54" s="23"/>
      <c r="Q54" s="23"/>
      <c r="R54" s="23"/>
    </row>
    <row r="55" spans="1:18" x14ac:dyDescent="0.2">
      <c r="A55" s="4">
        <v>36</v>
      </c>
      <c r="B55" s="4">
        <v>1</v>
      </c>
      <c r="C55" s="4">
        <v>34.43</v>
      </c>
      <c r="D55" s="4">
        <v>0</v>
      </c>
      <c r="E55" s="4">
        <v>1</v>
      </c>
      <c r="F55" s="4">
        <v>2</v>
      </c>
      <c r="G55" s="4">
        <v>37742.575700000001</v>
      </c>
      <c r="I55" s="23"/>
      <c r="J55" s="23"/>
      <c r="K55" s="23"/>
      <c r="L55" s="23"/>
      <c r="M55" s="23"/>
      <c r="N55" s="23"/>
      <c r="O55" s="23"/>
      <c r="P55" s="23"/>
      <c r="Q55" s="23"/>
      <c r="R55" s="23"/>
    </row>
    <row r="56" spans="1:18" x14ac:dyDescent="0.2">
      <c r="A56" s="4">
        <v>40</v>
      </c>
      <c r="B56" s="4">
        <v>0</v>
      </c>
      <c r="C56" s="4">
        <v>28.69</v>
      </c>
      <c r="D56" s="4">
        <v>3</v>
      </c>
      <c r="E56" s="4">
        <v>0</v>
      </c>
      <c r="F56" s="4">
        <v>3</v>
      </c>
      <c r="G56" s="4">
        <v>8059.6791000000003</v>
      </c>
      <c r="I56" s="23"/>
      <c r="J56" s="23"/>
      <c r="K56" s="23"/>
      <c r="L56" s="23"/>
      <c r="M56" s="23"/>
      <c r="N56" s="23"/>
      <c r="O56" s="23"/>
      <c r="P56" s="23"/>
      <c r="Q56" s="23"/>
      <c r="R56" s="23"/>
    </row>
    <row r="57" spans="1:18" x14ac:dyDescent="0.2">
      <c r="A57" s="4">
        <v>58</v>
      </c>
      <c r="B57" s="4">
        <v>1</v>
      </c>
      <c r="C57" s="4">
        <v>36.954999999999998</v>
      </c>
      <c r="D57" s="4">
        <v>2</v>
      </c>
      <c r="E57" s="4">
        <v>1</v>
      </c>
      <c r="F57" s="4">
        <v>3</v>
      </c>
      <c r="G57" s="4">
        <v>47496.494449999998</v>
      </c>
      <c r="I57" s="23"/>
      <c r="J57" s="23"/>
      <c r="K57" s="23"/>
      <c r="L57" s="23"/>
      <c r="M57" s="23"/>
      <c r="N57" s="23"/>
      <c r="O57" s="23"/>
      <c r="P57" s="23"/>
      <c r="Q57" s="23"/>
      <c r="R57" s="23"/>
    </row>
    <row r="58" spans="1:18" x14ac:dyDescent="0.2">
      <c r="A58" s="4">
        <v>58</v>
      </c>
      <c r="B58" s="4">
        <v>0</v>
      </c>
      <c r="C58" s="4">
        <v>31.824999999999999</v>
      </c>
      <c r="D58" s="4">
        <v>2</v>
      </c>
      <c r="E58" s="4">
        <v>0</v>
      </c>
      <c r="F58" s="4">
        <v>1</v>
      </c>
      <c r="G58" s="4">
        <v>13607.36875</v>
      </c>
      <c r="I58" s="23"/>
      <c r="J58" s="23"/>
      <c r="K58" s="23"/>
      <c r="L58" s="23"/>
      <c r="M58" s="23"/>
      <c r="N58" s="23"/>
      <c r="O58" s="23"/>
      <c r="P58" s="23"/>
      <c r="Q58" s="23"/>
      <c r="R58" s="23"/>
    </row>
    <row r="59" spans="1:18" x14ac:dyDescent="0.2">
      <c r="A59" s="4">
        <v>18</v>
      </c>
      <c r="B59" s="4">
        <v>1</v>
      </c>
      <c r="C59" s="4">
        <v>31.68</v>
      </c>
      <c r="D59" s="4">
        <v>2</v>
      </c>
      <c r="E59" s="4">
        <v>1</v>
      </c>
      <c r="F59" s="4">
        <v>2</v>
      </c>
      <c r="G59" s="4">
        <v>34303.167200000004</v>
      </c>
      <c r="I59" s="23"/>
      <c r="J59" s="23"/>
      <c r="K59" s="23"/>
      <c r="L59" s="23"/>
      <c r="M59" s="23"/>
      <c r="N59" s="23"/>
      <c r="O59" s="23"/>
      <c r="P59" s="23"/>
      <c r="Q59" s="23"/>
      <c r="R59" s="23"/>
    </row>
    <row r="60" spans="1:18" x14ac:dyDescent="0.2">
      <c r="A60" s="4">
        <v>53</v>
      </c>
      <c r="B60" s="4">
        <v>0</v>
      </c>
      <c r="C60" s="4">
        <v>22.88</v>
      </c>
      <c r="D60" s="4">
        <v>1</v>
      </c>
      <c r="E60" s="4">
        <v>1</v>
      </c>
      <c r="F60" s="4">
        <v>2</v>
      </c>
      <c r="G60" s="4">
        <v>23244.790199999999</v>
      </c>
      <c r="I60" s="23"/>
      <c r="J60" s="23"/>
      <c r="K60" s="23"/>
      <c r="L60" s="23"/>
      <c r="M60" s="23"/>
      <c r="N60" s="23"/>
      <c r="O60" s="23"/>
      <c r="P60" s="23"/>
      <c r="Q60" s="23"/>
      <c r="R60" s="23"/>
    </row>
    <row r="61" spans="1:18" x14ac:dyDescent="0.2">
      <c r="A61" s="4">
        <v>34</v>
      </c>
      <c r="B61" s="4">
        <v>0</v>
      </c>
      <c r="C61" s="4">
        <v>37.335000000000001</v>
      </c>
      <c r="D61" s="4">
        <v>2</v>
      </c>
      <c r="E61" s="4">
        <v>0</v>
      </c>
      <c r="F61" s="4">
        <v>3</v>
      </c>
      <c r="G61" s="4">
        <v>5989.5236500000001</v>
      </c>
      <c r="I61" s="23"/>
      <c r="J61" s="23"/>
      <c r="K61" s="23"/>
      <c r="L61" s="23"/>
      <c r="M61" s="23"/>
      <c r="N61" s="23"/>
      <c r="O61" s="23"/>
      <c r="P61" s="23"/>
      <c r="Q61" s="23"/>
      <c r="R61" s="23"/>
    </row>
    <row r="62" spans="1:18" x14ac:dyDescent="0.2">
      <c r="A62" s="4">
        <v>43</v>
      </c>
      <c r="B62" s="4">
        <v>1</v>
      </c>
      <c r="C62" s="4">
        <v>27.36</v>
      </c>
      <c r="D62" s="4">
        <v>3</v>
      </c>
      <c r="E62" s="4">
        <v>0</v>
      </c>
      <c r="F62" s="4">
        <v>1</v>
      </c>
      <c r="G62" s="4">
        <v>8606.2173999999995</v>
      </c>
      <c r="I62" s="23"/>
      <c r="J62" s="23"/>
      <c r="K62" s="23"/>
      <c r="L62" s="23"/>
      <c r="M62" s="23"/>
      <c r="N62" s="23"/>
      <c r="O62" s="23"/>
      <c r="P62" s="23"/>
      <c r="Q62" s="23"/>
      <c r="R62" s="23"/>
    </row>
    <row r="63" spans="1:18" x14ac:dyDescent="0.2">
      <c r="A63" s="4">
        <v>25</v>
      </c>
      <c r="B63" s="4">
        <v>1</v>
      </c>
      <c r="C63" s="4">
        <v>33.659999999999997</v>
      </c>
      <c r="D63" s="4">
        <v>4</v>
      </c>
      <c r="E63" s="4">
        <v>0</v>
      </c>
      <c r="F63" s="4">
        <v>2</v>
      </c>
      <c r="G63" s="4">
        <v>4504.6624000000002</v>
      </c>
      <c r="I63" s="23"/>
      <c r="J63" s="23"/>
      <c r="K63" s="23"/>
      <c r="L63" s="23"/>
      <c r="M63" s="23"/>
      <c r="N63" s="23"/>
      <c r="O63" s="23"/>
      <c r="P63" s="23"/>
      <c r="Q63" s="23"/>
      <c r="R63" s="23"/>
    </row>
    <row r="64" spans="1:18" x14ac:dyDescent="0.2">
      <c r="A64" s="4">
        <v>64</v>
      </c>
      <c r="B64" s="4">
        <v>1</v>
      </c>
      <c r="C64" s="4">
        <v>24.7</v>
      </c>
      <c r="D64" s="4">
        <v>1</v>
      </c>
      <c r="E64" s="4">
        <v>0</v>
      </c>
      <c r="F64" s="4">
        <v>3</v>
      </c>
      <c r="G64" s="4">
        <v>30166.618170000002</v>
      </c>
      <c r="I64" s="23"/>
      <c r="J64" s="23"/>
      <c r="K64" s="23"/>
      <c r="L64" s="23"/>
      <c r="M64" s="23"/>
      <c r="N64" s="23"/>
      <c r="O64" s="23"/>
      <c r="P64" s="23"/>
      <c r="Q64" s="23"/>
      <c r="R64" s="23"/>
    </row>
    <row r="65" spans="1:18" x14ac:dyDescent="0.2">
      <c r="A65" s="4">
        <v>28</v>
      </c>
      <c r="B65" s="4">
        <v>0</v>
      </c>
      <c r="C65" s="4">
        <v>25.934999999999999</v>
      </c>
      <c r="D65" s="4">
        <v>1</v>
      </c>
      <c r="E65" s="4">
        <v>0</v>
      </c>
      <c r="F65" s="4">
        <v>3</v>
      </c>
      <c r="G65" s="4">
        <v>4133.6416499999996</v>
      </c>
      <c r="I65" s="23"/>
      <c r="J65" s="23"/>
      <c r="K65" s="23"/>
      <c r="L65" s="23"/>
      <c r="M65" s="23"/>
      <c r="N65" s="23"/>
      <c r="O65" s="23"/>
      <c r="P65" s="23"/>
      <c r="Q65" s="23"/>
      <c r="R65" s="23"/>
    </row>
    <row r="66" spans="1:18" x14ac:dyDescent="0.2">
      <c r="A66" s="4">
        <v>20</v>
      </c>
      <c r="B66" s="4">
        <v>0</v>
      </c>
      <c r="C66" s="4">
        <v>22.42</v>
      </c>
      <c r="D66" s="4">
        <v>0</v>
      </c>
      <c r="E66" s="4">
        <v>1</v>
      </c>
      <c r="F66" s="4">
        <v>3</v>
      </c>
      <c r="G66" s="4">
        <v>14711.7438</v>
      </c>
      <c r="I66" s="23"/>
      <c r="J66" s="23"/>
      <c r="K66" s="23"/>
      <c r="L66" s="23"/>
      <c r="M66" s="23"/>
      <c r="N66" s="23"/>
      <c r="O66" s="23"/>
      <c r="P66" s="23"/>
      <c r="Q66" s="23"/>
      <c r="R66" s="23"/>
    </row>
    <row r="67" spans="1:18" x14ac:dyDescent="0.2">
      <c r="A67" s="4">
        <v>19</v>
      </c>
      <c r="B67" s="4">
        <v>0</v>
      </c>
      <c r="C67" s="4">
        <v>28.9</v>
      </c>
      <c r="D67" s="4">
        <v>0</v>
      </c>
      <c r="E67" s="4">
        <v>0</v>
      </c>
      <c r="F67" s="4">
        <v>4</v>
      </c>
      <c r="G67" s="4">
        <v>1743.2139999999999</v>
      </c>
      <c r="I67" s="23"/>
      <c r="J67" s="23"/>
      <c r="K67" s="23"/>
      <c r="L67" s="23"/>
      <c r="M67" s="23"/>
      <c r="N67" s="23"/>
      <c r="O67" s="23"/>
      <c r="P67" s="23"/>
      <c r="Q67" s="23"/>
      <c r="R67" s="23"/>
    </row>
    <row r="68" spans="1:18" x14ac:dyDescent="0.2">
      <c r="A68" s="4">
        <v>61</v>
      </c>
      <c r="B68" s="4">
        <v>0</v>
      </c>
      <c r="C68" s="4">
        <v>39.1</v>
      </c>
      <c r="D68" s="4">
        <v>2</v>
      </c>
      <c r="E68" s="4">
        <v>0</v>
      </c>
      <c r="F68" s="4">
        <v>4</v>
      </c>
      <c r="G68" s="4">
        <v>14235.072</v>
      </c>
      <c r="I68" s="23"/>
      <c r="J68" s="23"/>
      <c r="K68" s="23"/>
      <c r="L68" s="23"/>
      <c r="M68" s="23"/>
      <c r="N68" s="23"/>
      <c r="O68" s="23"/>
      <c r="P68" s="23"/>
      <c r="Q68" s="23"/>
      <c r="R68" s="23"/>
    </row>
    <row r="69" spans="1:18" x14ac:dyDescent="0.2">
      <c r="A69" s="4">
        <v>40</v>
      </c>
      <c r="B69" s="4">
        <v>1</v>
      </c>
      <c r="C69" s="4">
        <v>26.315000000000001</v>
      </c>
      <c r="D69" s="4">
        <v>1</v>
      </c>
      <c r="E69" s="4">
        <v>0</v>
      </c>
      <c r="F69" s="4">
        <v>3</v>
      </c>
      <c r="G69" s="4">
        <v>6389.3778499999999</v>
      </c>
      <c r="I69" s="23"/>
      <c r="J69" s="23"/>
      <c r="K69" s="23"/>
      <c r="L69" s="23"/>
      <c r="M69" s="23"/>
      <c r="N69" s="23"/>
      <c r="O69" s="23"/>
      <c r="P69" s="23"/>
      <c r="Q69" s="23"/>
      <c r="R69" s="23"/>
    </row>
    <row r="70" spans="1:18" x14ac:dyDescent="0.2">
      <c r="A70" s="4">
        <v>40</v>
      </c>
      <c r="B70" s="4">
        <v>0</v>
      </c>
      <c r="C70" s="4">
        <v>36.19</v>
      </c>
      <c r="D70" s="4">
        <v>0</v>
      </c>
      <c r="E70" s="4">
        <v>0</v>
      </c>
      <c r="F70" s="4">
        <v>2</v>
      </c>
      <c r="G70" s="4">
        <v>5920.1040999999996</v>
      </c>
      <c r="I70" s="23"/>
      <c r="J70" s="23"/>
      <c r="K70" s="23"/>
      <c r="L70" s="23"/>
      <c r="M70" s="23"/>
      <c r="N70" s="23"/>
      <c r="O70" s="23"/>
      <c r="P70" s="23"/>
      <c r="Q70" s="23"/>
      <c r="R70" s="23"/>
    </row>
    <row r="71" spans="1:18" x14ac:dyDescent="0.2">
      <c r="A71" s="4">
        <v>28</v>
      </c>
      <c r="B71" s="4">
        <v>1</v>
      </c>
      <c r="C71" s="4">
        <v>23.98</v>
      </c>
      <c r="D71" s="4">
        <v>3</v>
      </c>
      <c r="E71" s="4">
        <v>1</v>
      </c>
      <c r="F71" s="4">
        <v>2</v>
      </c>
      <c r="G71" s="4">
        <v>17663.144199999999</v>
      </c>
      <c r="I71" s="23"/>
      <c r="J71" s="23"/>
      <c r="K71" s="23"/>
      <c r="L71" s="23"/>
      <c r="M71" s="23"/>
      <c r="N71" s="23"/>
      <c r="O71" s="23"/>
      <c r="P71" s="23"/>
      <c r="Q71" s="23"/>
      <c r="R71" s="23"/>
    </row>
    <row r="72" spans="1:18" x14ac:dyDescent="0.2">
      <c r="A72" s="4">
        <v>27</v>
      </c>
      <c r="B72" s="4">
        <v>0</v>
      </c>
      <c r="C72" s="4">
        <v>24.75</v>
      </c>
      <c r="D72" s="4">
        <v>0</v>
      </c>
      <c r="E72" s="4">
        <v>1</v>
      </c>
      <c r="F72" s="4">
        <v>2</v>
      </c>
      <c r="G72" s="4">
        <v>16577.779500000001</v>
      </c>
      <c r="I72" s="23"/>
      <c r="J72" s="23"/>
      <c r="K72" s="23"/>
      <c r="L72" s="23"/>
      <c r="M72" s="23"/>
      <c r="N72" s="23"/>
      <c r="O72" s="23"/>
      <c r="P72" s="23"/>
      <c r="Q72" s="23"/>
      <c r="R72" s="23"/>
    </row>
    <row r="73" spans="1:18" x14ac:dyDescent="0.2">
      <c r="A73" s="4">
        <v>31</v>
      </c>
      <c r="B73" s="4">
        <v>1</v>
      </c>
      <c r="C73" s="4">
        <v>28.5</v>
      </c>
      <c r="D73" s="4">
        <v>5</v>
      </c>
      <c r="E73" s="4">
        <v>0</v>
      </c>
      <c r="F73" s="4">
        <v>1</v>
      </c>
      <c r="G73" s="4">
        <v>6799.4579999999996</v>
      </c>
      <c r="I73" s="23"/>
      <c r="J73" s="23"/>
      <c r="K73" s="23"/>
      <c r="L73" s="23"/>
      <c r="M73" s="23"/>
      <c r="N73" s="23"/>
      <c r="O73" s="23"/>
      <c r="P73" s="23"/>
      <c r="Q73" s="23"/>
      <c r="R73" s="23"/>
    </row>
    <row r="74" spans="1:18" x14ac:dyDescent="0.2">
      <c r="A74" s="4">
        <v>53</v>
      </c>
      <c r="B74" s="4">
        <v>0</v>
      </c>
      <c r="C74" s="4">
        <v>28.1</v>
      </c>
      <c r="D74" s="4">
        <v>3</v>
      </c>
      <c r="E74" s="4">
        <v>0</v>
      </c>
      <c r="F74" s="4">
        <v>4</v>
      </c>
      <c r="G74" s="4">
        <v>11741.726000000001</v>
      </c>
      <c r="I74" s="23"/>
      <c r="J74" s="23"/>
      <c r="K74" s="23"/>
      <c r="L74" s="23"/>
      <c r="M74" s="23"/>
      <c r="N74" s="23"/>
      <c r="O74" s="23"/>
      <c r="P74" s="23"/>
      <c r="Q74" s="23"/>
      <c r="R74" s="23"/>
    </row>
    <row r="75" spans="1:18" x14ac:dyDescent="0.2">
      <c r="A75" s="4">
        <v>58</v>
      </c>
      <c r="B75" s="4">
        <v>1</v>
      </c>
      <c r="C75" s="4">
        <v>32.01</v>
      </c>
      <c r="D75" s="4">
        <v>1</v>
      </c>
      <c r="E75" s="4">
        <v>0</v>
      </c>
      <c r="F75" s="4">
        <v>2</v>
      </c>
      <c r="G75" s="4">
        <v>11946.625899999999</v>
      </c>
      <c r="I75" s="23"/>
      <c r="J75" s="23"/>
      <c r="K75" s="23"/>
      <c r="L75" s="23"/>
      <c r="M75" s="23"/>
      <c r="N75" s="23"/>
      <c r="O75" s="23"/>
      <c r="P75" s="23"/>
      <c r="Q75" s="23"/>
      <c r="R75" s="23"/>
    </row>
    <row r="76" spans="1:18" x14ac:dyDescent="0.2">
      <c r="A76" s="4">
        <v>44</v>
      </c>
      <c r="B76" s="4">
        <v>1</v>
      </c>
      <c r="C76" s="4">
        <v>27.4</v>
      </c>
      <c r="D76" s="4">
        <v>2</v>
      </c>
      <c r="E76" s="4">
        <v>0</v>
      </c>
      <c r="F76" s="4">
        <v>4</v>
      </c>
      <c r="G76" s="4">
        <v>7726.8540000000003</v>
      </c>
      <c r="I76" s="23"/>
      <c r="J76" s="23"/>
      <c r="K76" s="23"/>
      <c r="L76" s="23"/>
      <c r="M76" s="23"/>
      <c r="N76" s="23"/>
      <c r="O76" s="23"/>
      <c r="P76" s="23"/>
      <c r="Q76" s="23"/>
      <c r="R76" s="23"/>
    </row>
    <row r="77" spans="1:18" x14ac:dyDescent="0.2">
      <c r="A77" s="4">
        <v>57</v>
      </c>
      <c r="B77" s="4">
        <v>1</v>
      </c>
      <c r="C77" s="4">
        <v>34.01</v>
      </c>
      <c r="D77" s="4">
        <v>0</v>
      </c>
      <c r="E77" s="4">
        <v>0</v>
      </c>
      <c r="F77" s="4">
        <v>3</v>
      </c>
      <c r="G77" s="4">
        <v>11356.660900000001</v>
      </c>
      <c r="I77" s="23"/>
      <c r="J77" s="23"/>
      <c r="K77" s="23"/>
      <c r="L77" s="23"/>
      <c r="M77" s="23"/>
      <c r="N77" s="23"/>
      <c r="O77" s="23"/>
      <c r="P77" s="23"/>
      <c r="Q77" s="23"/>
      <c r="R77" s="23"/>
    </row>
    <row r="78" spans="1:18" x14ac:dyDescent="0.2">
      <c r="A78" s="4">
        <v>29</v>
      </c>
      <c r="B78" s="4">
        <v>0</v>
      </c>
      <c r="C78" s="4">
        <v>29.59</v>
      </c>
      <c r="D78" s="4">
        <v>1</v>
      </c>
      <c r="E78" s="4">
        <v>0</v>
      </c>
      <c r="F78" s="4">
        <v>2</v>
      </c>
      <c r="G78" s="4">
        <v>3947.4131000000002</v>
      </c>
      <c r="I78" s="23"/>
      <c r="J78" s="23"/>
      <c r="K78" s="23"/>
      <c r="L78" s="23"/>
      <c r="M78" s="23"/>
      <c r="N78" s="23"/>
      <c r="O78" s="23"/>
      <c r="P78" s="23"/>
      <c r="Q78" s="23"/>
      <c r="R78" s="23"/>
    </row>
    <row r="79" spans="1:18" x14ac:dyDescent="0.2">
      <c r="A79" s="4">
        <v>21</v>
      </c>
      <c r="B79" s="4">
        <v>1</v>
      </c>
      <c r="C79" s="4">
        <v>35.53</v>
      </c>
      <c r="D79" s="4">
        <v>0</v>
      </c>
      <c r="E79" s="4">
        <v>0</v>
      </c>
      <c r="F79" s="4">
        <v>2</v>
      </c>
      <c r="G79" s="4">
        <v>1532.4697000000001</v>
      </c>
      <c r="I79" s="23"/>
      <c r="J79" s="23"/>
      <c r="K79" s="23"/>
      <c r="L79" s="23"/>
      <c r="M79" s="23"/>
      <c r="N79" s="23"/>
      <c r="O79" s="23"/>
      <c r="P79" s="23"/>
      <c r="Q79" s="23"/>
      <c r="R79" s="23"/>
    </row>
    <row r="80" spans="1:18" x14ac:dyDescent="0.2">
      <c r="A80" s="4">
        <v>22</v>
      </c>
      <c r="B80" s="4">
        <v>0</v>
      </c>
      <c r="C80" s="4">
        <v>39.805</v>
      </c>
      <c r="D80" s="4">
        <v>0</v>
      </c>
      <c r="E80" s="4">
        <v>0</v>
      </c>
      <c r="F80" s="4">
        <v>1</v>
      </c>
      <c r="G80" s="4">
        <v>2755.0209500000001</v>
      </c>
      <c r="I80" s="23"/>
      <c r="J80" s="23"/>
      <c r="K80" s="23"/>
      <c r="L80" s="23"/>
      <c r="M80" s="23"/>
      <c r="N80" s="23"/>
      <c r="O80" s="23"/>
      <c r="P80" s="23"/>
      <c r="Q80" s="23"/>
      <c r="R80" s="23"/>
    </row>
    <row r="81" spans="1:18" x14ac:dyDescent="0.2">
      <c r="A81" s="4">
        <v>41</v>
      </c>
      <c r="B81" s="4">
        <v>0</v>
      </c>
      <c r="C81" s="4">
        <v>32.965000000000003</v>
      </c>
      <c r="D81" s="4">
        <v>0</v>
      </c>
      <c r="E81" s="4">
        <v>0</v>
      </c>
      <c r="F81" s="4">
        <v>3</v>
      </c>
      <c r="G81" s="4">
        <v>6571.0243499999997</v>
      </c>
      <c r="I81" s="23"/>
      <c r="J81" s="23"/>
      <c r="K81" s="23"/>
      <c r="L81" s="23"/>
      <c r="M81" s="23"/>
      <c r="N81" s="23"/>
      <c r="O81" s="23"/>
      <c r="P81" s="23"/>
      <c r="Q81" s="23"/>
      <c r="R81" s="23"/>
    </row>
    <row r="82" spans="1:18" x14ac:dyDescent="0.2">
      <c r="A82" s="4">
        <v>31</v>
      </c>
      <c r="B82" s="4">
        <v>1</v>
      </c>
      <c r="C82" s="4">
        <v>26.885000000000002</v>
      </c>
      <c r="D82" s="4">
        <v>1</v>
      </c>
      <c r="E82" s="4">
        <v>0</v>
      </c>
      <c r="F82" s="4">
        <v>1</v>
      </c>
      <c r="G82" s="4">
        <v>4441.2131499999996</v>
      </c>
      <c r="I82" s="23"/>
      <c r="J82" s="23"/>
      <c r="K82" s="23"/>
      <c r="L82" s="23"/>
      <c r="M82" s="23"/>
      <c r="N82" s="23"/>
      <c r="O82" s="23"/>
      <c r="P82" s="23"/>
      <c r="Q82" s="23"/>
      <c r="R82" s="23"/>
    </row>
    <row r="83" spans="1:18" x14ac:dyDescent="0.2">
      <c r="A83" s="4">
        <v>45</v>
      </c>
      <c r="B83" s="4">
        <v>0</v>
      </c>
      <c r="C83" s="4">
        <v>38.284999999999997</v>
      </c>
      <c r="D83" s="4">
        <v>0</v>
      </c>
      <c r="E83" s="4">
        <v>0</v>
      </c>
      <c r="F83" s="4">
        <v>1</v>
      </c>
      <c r="G83" s="4">
        <v>7935.29115</v>
      </c>
      <c r="I83" s="23"/>
      <c r="J83" s="23"/>
      <c r="K83" s="23"/>
      <c r="L83" s="23"/>
      <c r="M83" s="23"/>
      <c r="N83" s="23"/>
      <c r="O83" s="23"/>
      <c r="P83" s="23"/>
      <c r="Q83" s="23"/>
      <c r="R83" s="23"/>
    </row>
    <row r="84" spans="1:18" x14ac:dyDescent="0.2">
      <c r="A84" s="4">
        <v>22</v>
      </c>
      <c r="B84" s="4">
        <v>1</v>
      </c>
      <c r="C84" s="4">
        <v>37.619999999999997</v>
      </c>
      <c r="D84" s="4">
        <v>1</v>
      </c>
      <c r="E84" s="4">
        <v>1</v>
      </c>
      <c r="F84" s="4">
        <v>2</v>
      </c>
      <c r="G84" s="4">
        <v>37165.163800000002</v>
      </c>
      <c r="I84" s="23"/>
      <c r="J84" s="23"/>
      <c r="K84" s="23"/>
      <c r="L84" s="23"/>
      <c r="M84" s="23"/>
      <c r="N84" s="23"/>
      <c r="O84" s="23"/>
      <c r="P84" s="23"/>
      <c r="Q84" s="23"/>
      <c r="R84" s="23"/>
    </row>
    <row r="85" spans="1:18" x14ac:dyDescent="0.2">
      <c r="A85" s="4">
        <v>48</v>
      </c>
      <c r="B85" s="4">
        <v>0</v>
      </c>
      <c r="C85" s="4">
        <v>41.23</v>
      </c>
      <c r="D85" s="4">
        <v>4</v>
      </c>
      <c r="E85" s="4">
        <v>0</v>
      </c>
      <c r="F85" s="4">
        <v>3</v>
      </c>
      <c r="G85" s="4">
        <v>11033.661700000001</v>
      </c>
      <c r="I85" s="23"/>
      <c r="J85" s="23"/>
      <c r="K85" s="23"/>
      <c r="L85" s="23"/>
      <c r="M85" s="23"/>
      <c r="N85" s="23"/>
      <c r="O85" s="23"/>
      <c r="P85" s="23"/>
      <c r="Q85" s="23"/>
      <c r="R85" s="23"/>
    </row>
    <row r="86" spans="1:18" x14ac:dyDescent="0.2">
      <c r="A86" s="4">
        <v>37</v>
      </c>
      <c r="B86" s="4">
        <v>0</v>
      </c>
      <c r="C86" s="4">
        <v>34.799999999999997</v>
      </c>
      <c r="D86" s="4">
        <v>2</v>
      </c>
      <c r="E86" s="4">
        <v>1</v>
      </c>
      <c r="F86" s="4">
        <v>4</v>
      </c>
      <c r="G86" s="4">
        <v>39836.519</v>
      </c>
      <c r="I86" s="23"/>
      <c r="J86" s="23"/>
      <c r="K86" s="23"/>
      <c r="L86" s="23"/>
      <c r="M86" s="23"/>
      <c r="N86" s="23"/>
      <c r="O86" s="23"/>
      <c r="P86" s="23"/>
      <c r="Q86" s="23"/>
      <c r="R86" s="23"/>
    </row>
    <row r="87" spans="1:18" x14ac:dyDescent="0.2">
      <c r="A87" s="4">
        <v>45</v>
      </c>
      <c r="B87" s="4">
        <v>1</v>
      </c>
      <c r="C87" s="4">
        <v>22.895</v>
      </c>
      <c r="D87" s="4">
        <v>2</v>
      </c>
      <c r="E87" s="4">
        <v>1</v>
      </c>
      <c r="F87" s="4">
        <v>3</v>
      </c>
      <c r="G87" s="4">
        <v>21098.554049999999</v>
      </c>
      <c r="I87" s="23"/>
      <c r="J87" s="23"/>
      <c r="K87" s="23"/>
      <c r="L87" s="23"/>
      <c r="M87" s="23"/>
      <c r="N87" s="23"/>
      <c r="O87" s="23"/>
      <c r="P87" s="23"/>
      <c r="Q87" s="23"/>
      <c r="R87" s="23"/>
    </row>
    <row r="88" spans="1:18" x14ac:dyDescent="0.2">
      <c r="A88" s="4">
        <v>57</v>
      </c>
      <c r="B88" s="4">
        <v>0</v>
      </c>
      <c r="C88" s="4">
        <v>31.16</v>
      </c>
      <c r="D88" s="4">
        <v>0</v>
      </c>
      <c r="E88" s="4">
        <v>1</v>
      </c>
      <c r="F88" s="4">
        <v>3</v>
      </c>
      <c r="G88" s="4">
        <v>43578.939400000003</v>
      </c>
      <c r="I88" s="23"/>
      <c r="J88" s="23"/>
      <c r="K88" s="23"/>
      <c r="L88" s="23"/>
      <c r="M88" s="23"/>
      <c r="N88" s="23"/>
      <c r="O88" s="23"/>
      <c r="P88" s="23"/>
      <c r="Q88" s="23"/>
      <c r="R88" s="23"/>
    </row>
    <row r="89" spans="1:18" x14ac:dyDescent="0.2">
      <c r="A89" s="4">
        <v>56</v>
      </c>
      <c r="B89" s="4">
        <v>0</v>
      </c>
      <c r="C89" s="4">
        <v>27.2</v>
      </c>
      <c r="D89" s="4">
        <v>0</v>
      </c>
      <c r="E89" s="4">
        <v>0</v>
      </c>
      <c r="F89" s="4">
        <v>4</v>
      </c>
      <c r="G89" s="4">
        <v>11073.175999999999</v>
      </c>
      <c r="I89" s="23"/>
      <c r="J89" s="23"/>
      <c r="K89" s="23"/>
      <c r="L89" s="23"/>
      <c r="M89" s="23"/>
      <c r="N89" s="23"/>
      <c r="O89" s="23"/>
      <c r="P89" s="23"/>
      <c r="Q89" s="23"/>
      <c r="R89" s="23"/>
    </row>
    <row r="90" spans="1:18" x14ac:dyDescent="0.2">
      <c r="A90" s="4">
        <v>46</v>
      </c>
      <c r="B90" s="4">
        <v>0</v>
      </c>
      <c r="C90" s="4">
        <v>27.74</v>
      </c>
      <c r="D90" s="4">
        <v>0</v>
      </c>
      <c r="E90" s="4">
        <v>0</v>
      </c>
      <c r="F90" s="4">
        <v>3</v>
      </c>
      <c r="G90" s="4">
        <v>8026.6665999999996</v>
      </c>
      <c r="I90" s="23"/>
      <c r="J90" s="23"/>
      <c r="K90" s="23"/>
      <c r="L90" s="23"/>
      <c r="M90" s="23"/>
      <c r="N90" s="23"/>
      <c r="O90" s="23"/>
      <c r="P90" s="23"/>
      <c r="Q90" s="23"/>
      <c r="R90" s="23"/>
    </row>
    <row r="91" spans="1:18" x14ac:dyDescent="0.2">
      <c r="A91" s="4">
        <v>55</v>
      </c>
      <c r="B91" s="4">
        <v>0</v>
      </c>
      <c r="C91" s="4">
        <v>26.98</v>
      </c>
      <c r="D91" s="4">
        <v>0</v>
      </c>
      <c r="E91" s="4">
        <v>0</v>
      </c>
      <c r="F91" s="4">
        <v>3</v>
      </c>
      <c r="G91" s="4">
        <v>11082.5772</v>
      </c>
      <c r="I91" s="23"/>
      <c r="J91" s="23"/>
      <c r="K91" s="23"/>
      <c r="L91" s="23"/>
      <c r="M91" s="23"/>
      <c r="N91" s="23"/>
      <c r="O91" s="23"/>
      <c r="P91" s="23"/>
      <c r="Q91" s="23"/>
      <c r="R91" s="23"/>
    </row>
    <row r="92" spans="1:18" x14ac:dyDescent="0.2">
      <c r="A92" s="4">
        <v>21</v>
      </c>
      <c r="B92" s="4">
        <v>0</v>
      </c>
      <c r="C92" s="4">
        <v>39.49</v>
      </c>
      <c r="D92" s="4">
        <v>0</v>
      </c>
      <c r="E92" s="4">
        <v>0</v>
      </c>
      <c r="F92" s="4">
        <v>2</v>
      </c>
      <c r="G92" s="4">
        <v>2026.9740999999999</v>
      </c>
      <c r="I92" s="23"/>
      <c r="J92" s="23"/>
      <c r="K92" s="23"/>
      <c r="L92" s="23"/>
      <c r="M92" s="23"/>
      <c r="N92" s="23"/>
      <c r="O92" s="23"/>
      <c r="P92" s="23"/>
      <c r="Q92" s="23"/>
      <c r="R92" s="23"/>
    </row>
    <row r="93" spans="1:18" x14ac:dyDescent="0.2">
      <c r="A93" s="4">
        <v>53</v>
      </c>
      <c r="B93" s="4">
        <v>0</v>
      </c>
      <c r="C93" s="4">
        <v>24.795000000000002</v>
      </c>
      <c r="D93" s="4">
        <v>1</v>
      </c>
      <c r="E93" s="4">
        <v>0</v>
      </c>
      <c r="F93" s="4">
        <v>3</v>
      </c>
      <c r="G93" s="4">
        <v>10942.13205</v>
      </c>
      <c r="I93" s="23"/>
      <c r="J93" s="23"/>
      <c r="K93" s="23"/>
      <c r="L93" s="23"/>
      <c r="M93" s="23"/>
      <c r="N93" s="23"/>
      <c r="O93" s="23"/>
      <c r="P93" s="23"/>
      <c r="Q93" s="23"/>
      <c r="R93" s="23"/>
    </row>
    <row r="94" spans="1:18" x14ac:dyDescent="0.2">
      <c r="A94" s="4">
        <v>59</v>
      </c>
      <c r="B94" s="4">
        <v>1</v>
      </c>
      <c r="C94" s="4">
        <v>29.83</v>
      </c>
      <c r="D94" s="4">
        <v>3</v>
      </c>
      <c r="E94" s="4">
        <v>1</v>
      </c>
      <c r="F94" s="4">
        <v>1</v>
      </c>
      <c r="G94" s="4">
        <v>30184.936699999998</v>
      </c>
      <c r="I94" s="23"/>
      <c r="J94" s="23"/>
      <c r="K94" s="23"/>
      <c r="L94" s="23"/>
      <c r="M94" s="23"/>
      <c r="N94" s="23"/>
      <c r="O94" s="23"/>
      <c r="P94" s="23"/>
      <c r="Q94" s="23"/>
      <c r="R94" s="23"/>
    </row>
    <row r="95" spans="1:18" x14ac:dyDescent="0.2">
      <c r="A95" s="4">
        <v>35</v>
      </c>
      <c r="B95" s="4">
        <v>1</v>
      </c>
      <c r="C95" s="4">
        <v>34.770000000000003</v>
      </c>
      <c r="D95" s="4">
        <v>2</v>
      </c>
      <c r="E95" s="4">
        <v>0</v>
      </c>
      <c r="F95" s="4">
        <v>3</v>
      </c>
      <c r="G95" s="4">
        <v>5729.0052999999998</v>
      </c>
      <c r="I95" s="23"/>
      <c r="J95" s="23"/>
      <c r="K95" s="23"/>
      <c r="L95" s="23"/>
      <c r="M95" s="23"/>
      <c r="N95" s="23"/>
      <c r="O95" s="23"/>
      <c r="P95" s="23"/>
      <c r="Q95" s="23"/>
      <c r="R95" s="23"/>
    </row>
    <row r="96" spans="1:18" x14ac:dyDescent="0.2">
      <c r="A96" s="4">
        <v>64</v>
      </c>
      <c r="B96" s="4">
        <v>0</v>
      </c>
      <c r="C96" s="4">
        <v>31.3</v>
      </c>
      <c r="D96" s="4">
        <v>2</v>
      </c>
      <c r="E96" s="4">
        <v>1</v>
      </c>
      <c r="F96" s="4">
        <v>4</v>
      </c>
      <c r="G96" s="4">
        <v>47291.055</v>
      </c>
      <c r="I96" s="23"/>
      <c r="J96" s="23"/>
      <c r="K96" s="23"/>
      <c r="L96" s="23"/>
      <c r="M96" s="23"/>
      <c r="N96" s="23"/>
      <c r="O96" s="23"/>
      <c r="P96" s="23"/>
      <c r="Q96" s="23"/>
      <c r="R96" s="23"/>
    </row>
    <row r="97" spans="1:18" x14ac:dyDescent="0.2">
      <c r="A97" s="4">
        <v>28</v>
      </c>
      <c r="B97" s="4">
        <v>0</v>
      </c>
      <c r="C97" s="4">
        <v>37.619999999999997</v>
      </c>
      <c r="D97" s="4">
        <v>1</v>
      </c>
      <c r="E97" s="4">
        <v>0</v>
      </c>
      <c r="F97" s="4">
        <v>2</v>
      </c>
      <c r="G97" s="4">
        <v>3766.8838000000001</v>
      </c>
      <c r="I97" s="23"/>
      <c r="J97" s="23"/>
      <c r="K97" s="23"/>
      <c r="L97" s="23"/>
      <c r="M97" s="23"/>
      <c r="N97" s="23"/>
      <c r="O97" s="23"/>
      <c r="P97" s="23"/>
      <c r="Q97" s="23"/>
      <c r="R97" s="23"/>
    </row>
    <row r="98" spans="1:18" x14ac:dyDescent="0.2">
      <c r="A98" s="4">
        <v>54</v>
      </c>
      <c r="B98" s="4">
        <v>0</v>
      </c>
      <c r="C98" s="4">
        <v>30.8</v>
      </c>
      <c r="D98" s="4">
        <v>3</v>
      </c>
      <c r="E98" s="4">
        <v>0</v>
      </c>
      <c r="F98" s="4">
        <v>4</v>
      </c>
      <c r="G98" s="4">
        <v>12105.32</v>
      </c>
      <c r="I98" s="23"/>
      <c r="J98" s="23"/>
      <c r="K98" s="23"/>
      <c r="L98" s="23"/>
      <c r="M98" s="23"/>
      <c r="N98" s="23"/>
      <c r="O98" s="23"/>
      <c r="P98" s="23"/>
      <c r="Q98" s="23"/>
      <c r="R98" s="23"/>
    </row>
    <row r="99" spans="1:18" x14ac:dyDescent="0.2">
      <c r="A99" s="4">
        <v>55</v>
      </c>
      <c r="B99" s="4">
        <v>1</v>
      </c>
      <c r="C99" s="4">
        <v>38.28</v>
      </c>
      <c r="D99" s="4">
        <v>0</v>
      </c>
      <c r="E99" s="4">
        <v>0</v>
      </c>
      <c r="F99" s="4">
        <v>2</v>
      </c>
      <c r="G99" s="4">
        <v>10226.2842</v>
      </c>
      <c r="I99" s="23"/>
      <c r="J99" s="23"/>
      <c r="K99" s="23"/>
      <c r="L99" s="23"/>
      <c r="M99" s="23"/>
      <c r="N99" s="23"/>
      <c r="O99" s="23"/>
      <c r="P99" s="23"/>
      <c r="Q99" s="23"/>
      <c r="R99" s="23"/>
    </row>
    <row r="100" spans="1:18" x14ac:dyDescent="0.2">
      <c r="A100" s="4">
        <v>56</v>
      </c>
      <c r="B100" s="4">
        <v>1</v>
      </c>
      <c r="C100" s="4">
        <v>19.95</v>
      </c>
      <c r="D100" s="4">
        <v>0</v>
      </c>
      <c r="E100" s="4">
        <v>1</v>
      </c>
      <c r="F100" s="4">
        <v>1</v>
      </c>
      <c r="G100" s="4">
        <v>22412.648499999999</v>
      </c>
      <c r="I100" s="23"/>
      <c r="J100" s="23"/>
      <c r="K100" s="23"/>
      <c r="L100" s="23"/>
      <c r="M100" s="23"/>
      <c r="N100" s="23"/>
      <c r="O100" s="23"/>
      <c r="P100" s="23"/>
      <c r="Q100" s="23"/>
      <c r="R100" s="23"/>
    </row>
    <row r="101" spans="1:18" x14ac:dyDescent="0.2">
      <c r="A101" s="4">
        <v>38</v>
      </c>
      <c r="B101" s="4">
        <v>1</v>
      </c>
      <c r="C101" s="4">
        <v>19.3</v>
      </c>
      <c r="D101" s="4">
        <v>0</v>
      </c>
      <c r="E101" s="4">
        <v>1</v>
      </c>
      <c r="F101" s="4">
        <v>4</v>
      </c>
      <c r="G101" s="4">
        <v>15820.699000000001</v>
      </c>
      <c r="I101" s="23"/>
      <c r="J101" s="23"/>
      <c r="K101" s="23"/>
      <c r="L101" s="23"/>
      <c r="M101" s="23"/>
      <c r="N101" s="23"/>
      <c r="O101" s="23"/>
      <c r="P101" s="23"/>
      <c r="Q101" s="23"/>
      <c r="R101" s="23"/>
    </row>
    <row r="102" spans="1:18" x14ac:dyDescent="0.2">
      <c r="A102" s="4">
        <v>41</v>
      </c>
      <c r="B102" s="4">
        <v>0</v>
      </c>
      <c r="C102" s="4">
        <v>31.6</v>
      </c>
      <c r="D102" s="4">
        <v>0</v>
      </c>
      <c r="E102" s="4">
        <v>0</v>
      </c>
      <c r="F102" s="4">
        <v>4</v>
      </c>
      <c r="G102" s="4">
        <v>6186.1270000000004</v>
      </c>
      <c r="I102" s="23"/>
      <c r="J102" s="23"/>
      <c r="K102" s="23"/>
      <c r="L102" s="23"/>
      <c r="M102" s="23"/>
      <c r="N102" s="23"/>
      <c r="O102" s="23"/>
      <c r="P102" s="23"/>
      <c r="Q102" s="23"/>
      <c r="R102" s="23"/>
    </row>
    <row r="103" spans="1:18" x14ac:dyDescent="0.2">
      <c r="A103" s="4">
        <v>30</v>
      </c>
      <c r="B103" s="4">
        <v>1</v>
      </c>
      <c r="C103" s="4">
        <v>25.46</v>
      </c>
      <c r="D103" s="4">
        <v>0</v>
      </c>
      <c r="E103" s="4">
        <v>0</v>
      </c>
      <c r="F103" s="4">
        <v>1</v>
      </c>
      <c r="G103" s="4">
        <v>3645.0893999999998</v>
      </c>
      <c r="I103" s="23"/>
      <c r="J103" s="23"/>
      <c r="K103" s="23"/>
      <c r="L103" s="23"/>
      <c r="M103" s="23"/>
      <c r="N103" s="23"/>
      <c r="O103" s="23"/>
      <c r="P103" s="23"/>
      <c r="Q103" s="23"/>
      <c r="R103" s="23"/>
    </row>
    <row r="104" spans="1:18" x14ac:dyDescent="0.2">
      <c r="A104" s="4">
        <v>18</v>
      </c>
      <c r="B104" s="4">
        <v>0</v>
      </c>
      <c r="C104" s="4">
        <v>30.114999999999998</v>
      </c>
      <c r="D104" s="4">
        <v>0</v>
      </c>
      <c r="E104" s="4">
        <v>0</v>
      </c>
      <c r="F104" s="4">
        <v>1</v>
      </c>
      <c r="G104" s="4">
        <v>21344.846699999998</v>
      </c>
      <c r="I104" s="23"/>
      <c r="J104" s="23"/>
      <c r="K104" s="23"/>
      <c r="L104" s="23"/>
      <c r="M104" s="23"/>
      <c r="N104" s="23"/>
      <c r="O104" s="23"/>
      <c r="P104" s="23"/>
      <c r="Q104" s="23"/>
      <c r="R104" s="23"/>
    </row>
    <row r="105" spans="1:18" x14ac:dyDescent="0.2">
      <c r="A105" s="4">
        <v>61</v>
      </c>
      <c r="B105" s="4">
        <v>0</v>
      </c>
      <c r="C105" s="4">
        <v>29.92</v>
      </c>
      <c r="D105" s="4">
        <v>3</v>
      </c>
      <c r="E105" s="4">
        <v>1</v>
      </c>
      <c r="F105" s="4">
        <v>2</v>
      </c>
      <c r="G105" s="4">
        <v>30942.191800000001</v>
      </c>
      <c r="I105" s="23"/>
      <c r="J105" s="23"/>
      <c r="K105" s="23"/>
      <c r="L105" s="23"/>
      <c r="M105" s="23"/>
      <c r="N105" s="23"/>
      <c r="O105" s="23"/>
      <c r="P105" s="23"/>
      <c r="Q105" s="23"/>
      <c r="R105" s="23"/>
    </row>
    <row r="106" spans="1:18" x14ac:dyDescent="0.2">
      <c r="A106" s="4">
        <v>34</v>
      </c>
      <c r="B106" s="4">
        <v>0</v>
      </c>
      <c r="C106" s="4">
        <v>27.5</v>
      </c>
      <c r="D106" s="4">
        <v>1</v>
      </c>
      <c r="E106" s="4">
        <v>0</v>
      </c>
      <c r="F106" s="4">
        <v>4</v>
      </c>
      <c r="G106" s="4">
        <v>5003.8530000000001</v>
      </c>
      <c r="I106" s="23"/>
      <c r="J106" s="23"/>
      <c r="K106" s="23"/>
      <c r="L106" s="23"/>
      <c r="M106" s="23"/>
      <c r="N106" s="23"/>
      <c r="O106" s="23"/>
      <c r="P106" s="23"/>
      <c r="Q106" s="23"/>
      <c r="R106" s="23"/>
    </row>
    <row r="107" spans="1:18" x14ac:dyDescent="0.2">
      <c r="A107" s="4">
        <v>20</v>
      </c>
      <c r="B107" s="4">
        <v>1</v>
      </c>
      <c r="C107" s="4">
        <v>28.024999999999999</v>
      </c>
      <c r="D107" s="4">
        <v>1</v>
      </c>
      <c r="E107" s="4">
        <v>1</v>
      </c>
      <c r="F107" s="4">
        <v>3</v>
      </c>
      <c r="G107" s="4">
        <v>17560.37975</v>
      </c>
      <c r="I107" s="23"/>
      <c r="J107" s="23"/>
      <c r="K107" s="23"/>
      <c r="L107" s="23"/>
      <c r="M107" s="23"/>
      <c r="N107" s="23"/>
      <c r="O107" s="23"/>
      <c r="P107" s="23"/>
      <c r="Q107" s="23"/>
      <c r="R107" s="23"/>
    </row>
    <row r="108" spans="1:18" x14ac:dyDescent="0.2">
      <c r="A108" s="4">
        <v>19</v>
      </c>
      <c r="B108" s="4">
        <v>0</v>
      </c>
      <c r="C108" s="4">
        <v>28.4</v>
      </c>
      <c r="D108" s="4">
        <v>1</v>
      </c>
      <c r="E108" s="4">
        <v>0</v>
      </c>
      <c r="F108" s="4">
        <v>4</v>
      </c>
      <c r="G108" s="4">
        <v>2331.5189999999998</v>
      </c>
      <c r="I108" s="23"/>
      <c r="J108" s="23"/>
      <c r="K108" s="23"/>
      <c r="L108" s="23"/>
      <c r="M108" s="23"/>
      <c r="N108" s="23"/>
      <c r="O108" s="23"/>
      <c r="P108" s="23"/>
      <c r="Q108" s="23"/>
      <c r="R108" s="23"/>
    </row>
    <row r="109" spans="1:18" x14ac:dyDescent="0.2">
      <c r="A109" s="4">
        <v>26</v>
      </c>
      <c r="B109" s="4">
        <v>1</v>
      </c>
      <c r="C109" s="4">
        <v>30.875</v>
      </c>
      <c r="D109" s="4">
        <v>2</v>
      </c>
      <c r="E109" s="4">
        <v>0</v>
      </c>
      <c r="F109" s="4">
        <v>3</v>
      </c>
      <c r="G109" s="4">
        <v>3877.3042500000001</v>
      </c>
      <c r="I109" s="23"/>
      <c r="J109" s="23"/>
      <c r="K109" s="23"/>
      <c r="L109" s="23"/>
      <c r="M109" s="23"/>
      <c r="N109" s="23"/>
      <c r="O109" s="23"/>
      <c r="P109" s="23"/>
      <c r="Q109" s="23"/>
      <c r="R109" s="23"/>
    </row>
    <row r="110" spans="1:18" x14ac:dyDescent="0.2">
      <c r="A110" s="4">
        <v>29</v>
      </c>
      <c r="B110" s="4">
        <v>1</v>
      </c>
      <c r="C110" s="4">
        <v>27.94</v>
      </c>
      <c r="D110" s="4">
        <v>0</v>
      </c>
      <c r="E110" s="4">
        <v>0</v>
      </c>
      <c r="F110" s="4">
        <v>2</v>
      </c>
      <c r="G110" s="4">
        <v>2867.1196</v>
      </c>
      <c r="I110" s="23"/>
      <c r="J110" s="23"/>
      <c r="K110" s="23"/>
      <c r="L110" s="23"/>
      <c r="M110" s="23"/>
      <c r="N110" s="23"/>
      <c r="O110" s="23"/>
      <c r="P110" s="23"/>
      <c r="Q110" s="23"/>
      <c r="R110" s="23"/>
    </row>
    <row r="111" spans="1:18" x14ac:dyDescent="0.2">
      <c r="A111" s="4">
        <v>63</v>
      </c>
      <c r="B111" s="4">
        <v>1</v>
      </c>
      <c r="C111" s="4">
        <v>35.090000000000003</v>
      </c>
      <c r="D111" s="4">
        <v>0</v>
      </c>
      <c r="E111" s="4">
        <v>1</v>
      </c>
      <c r="F111" s="4">
        <v>2</v>
      </c>
      <c r="G111" s="4">
        <v>47055.532099999997</v>
      </c>
      <c r="I111" s="23"/>
      <c r="J111" s="23"/>
      <c r="K111" s="23"/>
      <c r="L111" s="23"/>
      <c r="M111" s="23"/>
      <c r="N111" s="23"/>
      <c r="O111" s="23"/>
      <c r="P111" s="23"/>
      <c r="Q111" s="23"/>
      <c r="R111" s="23"/>
    </row>
    <row r="112" spans="1:18" x14ac:dyDescent="0.2">
      <c r="A112" s="4">
        <v>54</v>
      </c>
      <c r="B112" s="4">
        <v>1</v>
      </c>
      <c r="C112" s="4">
        <v>33.630000000000003</v>
      </c>
      <c r="D112" s="4">
        <v>1</v>
      </c>
      <c r="E112" s="4">
        <v>0</v>
      </c>
      <c r="F112" s="4">
        <v>3</v>
      </c>
      <c r="G112" s="4">
        <v>10825.253699999999</v>
      </c>
      <c r="I112" s="23"/>
      <c r="J112" s="23"/>
      <c r="K112" s="23"/>
      <c r="L112" s="23"/>
      <c r="M112" s="23"/>
      <c r="N112" s="23"/>
      <c r="O112" s="23"/>
      <c r="P112" s="23"/>
      <c r="Q112" s="23"/>
      <c r="R112" s="23"/>
    </row>
    <row r="113" spans="1:18" x14ac:dyDescent="0.2">
      <c r="A113" s="4">
        <v>55</v>
      </c>
      <c r="B113" s="4">
        <v>0</v>
      </c>
      <c r="C113" s="4">
        <v>29.7</v>
      </c>
      <c r="D113" s="4">
        <v>2</v>
      </c>
      <c r="E113" s="4">
        <v>0</v>
      </c>
      <c r="F113" s="4">
        <v>4</v>
      </c>
      <c r="G113" s="4">
        <v>11881.358</v>
      </c>
      <c r="I113" s="23"/>
      <c r="J113" s="23"/>
      <c r="K113" s="23"/>
      <c r="L113" s="23"/>
      <c r="M113" s="23"/>
      <c r="N113" s="23"/>
      <c r="O113" s="23"/>
      <c r="P113" s="23"/>
      <c r="Q113" s="23"/>
      <c r="R113" s="23"/>
    </row>
    <row r="114" spans="1:18" x14ac:dyDescent="0.2">
      <c r="A114" s="4">
        <v>37</v>
      </c>
      <c r="B114" s="4">
        <v>1</v>
      </c>
      <c r="C114" s="4">
        <v>30.8</v>
      </c>
      <c r="D114" s="4">
        <v>0</v>
      </c>
      <c r="E114" s="4">
        <v>0</v>
      </c>
      <c r="F114" s="4">
        <v>4</v>
      </c>
      <c r="G114" s="4">
        <v>4646.759</v>
      </c>
      <c r="I114" s="23"/>
      <c r="J114" s="23"/>
      <c r="K114" s="23"/>
      <c r="L114" s="23"/>
      <c r="M114" s="23"/>
      <c r="N114" s="23"/>
      <c r="O114" s="23"/>
      <c r="P114" s="23"/>
      <c r="Q114" s="23"/>
      <c r="R114" s="23"/>
    </row>
    <row r="115" spans="1:18" x14ac:dyDescent="0.2">
      <c r="A115" s="4">
        <v>21</v>
      </c>
      <c r="B115" s="4">
        <v>0</v>
      </c>
      <c r="C115" s="4">
        <v>35.72</v>
      </c>
      <c r="D115" s="4">
        <v>0</v>
      </c>
      <c r="E115" s="4">
        <v>0</v>
      </c>
      <c r="F115" s="4">
        <v>3</v>
      </c>
      <c r="G115" s="4">
        <v>2404.7338</v>
      </c>
      <c r="I115" s="23"/>
      <c r="J115" s="23"/>
      <c r="K115" s="23"/>
      <c r="L115" s="23"/>
      <c r="M115" s="23"/>
      <c r="N115" s="23"/>
      <c r="O115" s="23"/>
      <c r="P115" s="23"/>
      <c r="Q115" s="23"/>
      <c r="R115" s="23"/>
    </row>
    <row r="116" spans="1:18" x14ac:dyDescent="0.2">
      <c r="A116" s="4">
        <v>52</v>
      </c>
      <c r="B116" s="4">
        <v>1</v>
      </c>
      <c r="C116" s="4">
        <v>32.204999999999998</v>
      </c>
      <c r="D116" s="4">
        <v>3</v>
      </c>
      <c r="E116" s="4">
        <v>0</v>
      </c>
      <c r="F116" s="4">
        <v>1</v>
      </c>
      <c r="G116" s="4">
        <v>11488.31695</v>
      </c>
      <c r="I116" s="23"/>
      <c r="J116" s="23"/>
      <c r="K116" s="23"/>
      <c r="L116" s="23"/>
      <c r="M116" s="23"/>
      <c r="N116" s="23"/>
      <c r="O116" s="23"/>
      <c r="P116" s="23"/>
      <c r="Q116" s="23"/>
      <c r="R116" s="23"/>
    </row>
    <row r="117" spans="1:18" x14ac:dyDescent="0.2">
      <c r="A117" s="4">
        <v>60</v>
      </c>
      <c r="B117" s="4">
        <v>1</v>
      </c>
      <c r="C117" s="4">
        <v>28.594999999999999</v>
      </c>
      <c r="D117" s="4">
        <v>0</v>
      </c>
      <c r="E117" s="4">
        <v>0</v>
      </c>
      <c r="F117" s="4">
        <v>1</v>
      </c>
      <c r="G117" s="4">
        <v>30259.995559999999</v>
      </c>
      <c r="I117" s="23"/>
      <c r="J117" s="23"/>
      <c r="K117" s="23"/>
      <c r="L117" s="23"/>
      <c r="M117" s="23"/>
      <c r="N117" s="23"/>
      <c r="O117" s="23"/>
      <c r="P117" s="23"/>
      <c r="Q117" s="23"/>
      <c r="R117" s="23"/>
    </row>
    <row r="118" spans="1:18" x14ac:dyDescent="0.2">
      <c r="A118" s="4">
        <v>58</v>
      </c>
      <c r="B118" s="4">
        <v>1</v>
      </c>
      <c r="C118" s="4">
        <v>49.06</v>
      </c>
      <c r="D118" s="4">
        <v>0</v>
      </c>
      <c r="E118" s="4">
        <v>0</v>
      </c>
      <c r="F118" s="4">
        <v>2</v>
      </c>
      <c r="G118" s="4">
        <v>11381.3254</v>
      </c>
      <c r="I118" s="23"/>
      <c r="J118" s="23"/>
      <c r="K118" s="23"/>
      <c r="L118" s="23"/>
      <c r="M118" s="23"/>
      <c r="N118" s="23"/>
      <c r="O118" s="23"/>
      <c r="P118" s="23"/>
      <c r="Q118" s="23"/>
      <c r="R118" s="23"/>
    </row>
    <row r="119" spans="1:18" x14ac:dyDescent="0.2">
      <c r="A119" s="4">
        <v>29</v>
      </c>
      <c r="B119" s="4">
        <v>0</v>
      </c>
      <c r="C119" s="4">
        <v>27.94</v>
      </c>
      <c r="D119" s="4">
        <v>1</v>
      </c>
      <c r="E119" s="4">
        <v>1</v>
      </c>
      <c r="F119" s="4">
        <v>2</v>
      </c>
      <c r="G119" s="4">
        <v>19107.779600000002</v>
      </c>
      <c r="I119" s="23"/>
      <c r="J119" s="23"/>
      <c r="K119" s="23"/>
      <c r="L119" s="23"/>
      <c r="M119" s="23"/>
      <c r="N119" s="23"/>
      <c r="O119" s="23"/>
      <c r="P119" s="23"/>
      <c r="Q119" s="23"/>
      <c r="R119" s="23"/>
    </row>
    <row r="120" spans="1:18" x14ac:dyDescent="0.2">
      <c r="A120" s="4">
        <v>49</v>
      </c>
      <c r="B120" s="4">
        <v>0</v>
      </c>
      <c r="C120" s="4">
        <v>27.17</v>
      </c>
      <c r="D120" s="4">
        <v>0</v>
      </c>
      <c r="E120" s="4">
        <v>0</v>
      </c>
      <c r="F120" s="4">
        <v>2</v>
      </c>
      <c r="G120" s="4">
        <v>8601.3292999999994</v>
      </c>
      <c r="I120" s="23"/>
      <c r="J120" s="23"/>
      <c r="K120" s="23"/>
      <c r="L120" s="23"/>
      <c r="M120" s="23"/>
      <c r="N120" s="23"/>
      <c r="O120" s="23"/>
      <c r="P120" s="23"/>
      <c r="Q120" s="23"/>
      <c r="R120" s="23"/>
    </row>
    <row r="121" spans="1:18" x14ac:dyDescent="0.2">
      <c r="A121" s="4">
        <v>37</v>
      </c>
      <c r="B121" s="4">
        <v>0</v>
      </c>
      <c r="C121" s="4">
        <v>23.37</v>
      </c>
      <c r="D121" s="4">
        <v>2</v>
      </c>
      <c r="E121" s="4">
        <v>0</v>
      </c>
      <c r="F121" s="4">
        <v>3</v>
      </c>
      <c r="G121" s="4">
        <v>6686.4313000000002</v>
      </c>
      <c r="I121" s="23"/>
      <c r="J121" s="23"/>
      <c r="K121" s="23"/>
      <c r="L121" s="23"/>
      <c r="M121" s="23"/>
      <c r="N121" s="23"/>
      <c r="O121" s="23"/>
      <c r="P121" s="23"/>
      <c r="Q121" s="23"/>
      <c r="R121" s="23"/>
    </row>
    <row r="122" spans="1:18" x14ac:dyDescent="0.2">
      <c r="A122" s="4">
        <v>44</v>
      </c>
      <c r="B122" s="4">
        <v>1</v>
      </c>
      <c r="C122" s="4">
        <v>37.1</v>
      </c>
      <c r="D122" s="4">
        <v>2</v>
      </c>
      <c r="E122" s="4">
        <v>0</v>
      </c>
      <c r="F122" s="4">
        <v>4</v>
      </c>
      <c r="G122" s="4">
        <v>7740.3370000000004</v>
      </c>
      <c r="I122" s="23"/>
      <c r="J122" s="23"/>
      <c r="K122" s="23"/>
      <c r="L122" s="23"/>
      <c r="M122" s="23"/>
      <c r="N122" s="23"/>
      <c r="O122" s="23"/>
      <c r="P122" s="23"/>
      <c r="Q122" s="23"/>
      <c r="R122" s="23"/>
    </row>
    <row r="123" spans="1:18" x14ac:dyDescent="0.2">
      <c r="A123" s="4">
        <v>18</v>
      </c>
      <c r="B123" s="4">
        <v>1</v>
      </c>
      <c r="C123" s="4">
        <v>23.75</v>
      </c>
      <c r="D123" s="4">
        <v>0</v>
      </c>
      <c r="E123" s="4">
        <v>0</v>
      </c>
      <c r="F123" s="4">
        <v>1</v>
      </c>
      <c r="G123" s="4">
        <v>1705.6244999999999</v>
      </c>
      <c r="I123" s="23"/>
      <c r="J123" s="23"/>
      <c r="K123" s="23"/>
      <c r="L123" s="23"/>
      <c r="M123" s="23"/>
      <c r="N123" s="23"/>
      <c r="O123" s="23"/>
      <c r="P123" s="23"/>
      <c r="Q123" s="23"/>
      <c r="R123" s="23"/>
    </row>
    <row r="124" spans="1:18" x14ac:dyDescent="0.2">
      <c r="A124" s="4">
        <v>20</v>
      </c>
      <c r="B124" s="4">
        <v>0</v>
      </c>
      <c r="C124" s="4">
        <v>28.975000000000001</v>
      </c>
      <c r="D124" s="4">
        <v>0</v>
      </c>
      <c r="E124" s="4">
        <v>0</v>
      </c>
      <c r="F124" s="4">
        <v>3</v>
      </c>
      <c r="G124" s="4">
        <v>2257.47525</v>
      </c>
      <c r="I124" s="23"/>
      <c r="J124" s="23"/>
      <c r="K124" s="23"/>
      <c r="L124" s="23"/>
      <c r="M124" s="23"/>
      <c r="N124" s="23"/>
      <c r="O124" s="23"/>
      <c r="P124" s="23"/>
      <c r="Q124" s="23"/>
      <c r="R124" s="23"/>
    </row>
    <row r="125" spans="1:18" x14ac:dyDescent="0.2">
      <c r="A125" s="4">
        <v>44</v>
      </c>
      <c r="B125" s="4">
        <v>1</v>
      </c>
      <c r="C125" s="4">
        <v>31.35</v>
      </c>
      <c r="D125" s="4">
        <v>1</v>
      </c>
      <c r="E125" s="4">
        <v>1</v>
      </c>
      <c r="F125" s="4">
        <v>1</v>
      </c>
      <c r="G125" s="4">
        <v>39556.494500000001</v>
      </c>
      <c r="I125" s="23"/>
      <c r="J125" s="23"/>
      <c r="K125" s="23"/>
      <c r="L125" s="23"/>
      <c r="M125" s="23"/>
      <c r="N125" s="23"/>
      <c r="O125" s="23"/>
      <c r="P125" s="23"/>
      <c r="Q125" s="23"/>
      <c r="R125" s="23"/>
    </row>
    <row r="126" spans="1:18" x14ac:dyDescent="0.2">
      <c r="A126" s="4">
        <v>47</v>
      </c>
      <c r="B126" s="4">
        <v>0</v>
      </c>
      <c r="C126" s="4">
        <v>33.914999999999999</v>
      </c>
      <c r="D126" s="4">
        <v>3</v>
      </c>
      <c r="E126" s="4">
        <v>0</v>
      </c>
      <c r="F126" s="4">
        <v>3</v>
      </c>
      <c r="G126" s="4">
        <v>10115.00885</v>
      </c>
      <c r="I126" s="23"/>
      <c r="J126" s="23"/>
      <c r="K126" s="23"/>
      <c r="L126" s="23"/>
      <c r="M126" s="23"/>
      <c r="N126" s="23"/>
      <c r="O126" s="23"/>
      <c r="P126" s="23"/>
      <c r="Q126" s="23"/>
      <c r="R126" s="23"/>
    </row>
    <row r="127" spans="1:18" x14ac:dyDescent="0.2">
      <c r="A127" s="4">
        <v>26</v>
      </c>
      <c r="B127" s="4">
        <v>0</v>
      </c>
      <c r="C127" s="4">
        <v>28.785</v>
      </c>
      <c r="D127" s="4">
        <v>0</v>
      </c>
      <c r="E127" s="4">
        <v>0</v>
      </c>
      <c r="F127" s="4">
        <v>1</v>
      </c>
      <c r="G127" s="4">
        <v>3385.3991500000002</v>
      </c>
      <c r="I127" s="23"/>
      <c r="J127" s="23"/>
      <c r="K127" s="23"/>
      <c r="L127" s="23"/>
      <c r="M127" s="23"/>
      <c r="N127" s="23"/>
      <c r="O127" s="23"/>
      <c r="P127" s="23"/>
      <c r="Q127" s="23"/>
      <c r="R127" s="23"/>
    </row>
    <row r="128" spans="1:18" x14ac:dyDescent="0.2">
      <c r="A128" s="4">
        <v>19</v>
      </c>
      <c r="B128" s="4">
        <v>0</v>
      </c>
      <c r="C128" s="4">
        <v>28.3</v>
      </c>
      <c r="D128" s="4">
        <v>0</v>
      </c>
      <c r="E128" s="4">
        <v>1</v>
      </c>
      <c r="F128" s="4">
        <v>4</v>
      </c>
      <c r="G128" s="4">
        <v>17081.080000000002</v>
      </c>
      <c r="I128" s="23"/>
      <c r="J128" s="23"/>
      <c r="K128" s="23"/>
      <c r="L128" s="23"/>
      <c r="M128" s="23"/>
      <c r="N128" s="23"/>
      <c r="O128" s="23"/>
      <c r="P128" s="23"/>
      <c r="Q128" s="23"/>
      <c r="R128" s="23"/>
    </row>
    <row r="129" spans="1:18" x14ac:dyDescent="0.2">
      <c r="A129" s="4">
        <v>52</v>
      </c>
      <c r="B129" s="4">
        <v>0</v>
      </c>
      <c r="C129" s="4">
        <v>37.4</v>
      </c>
      <c r="D129" s="4">
        <v>0</v>
      </c>
      <c r="E129" s="4">
        <v>0</v>
      </c>
      <c r="F129" s="4">
        <v>4</v>
      </c>
      <c r="G129" s="4">
        <v>9634.5380000000005</v>
      </c>
      <c r="I129" s="23"/>
      <c r="J129" s="23"/>
      <c r="K129" s="23"/>
      <c r="L129" s="23"/>
      <c r="M129" s="23"/>
      <c r="N129" s="23"/>
      <c r="O129" s="23"/>
      <c r="P129" s="23"/>
      <c r="Q129" s="23"/>
      <c r="R129" s="23"/>
    </row>
    <row r="130" spans="1:18" x14ac:dyDescent="0.2">
      <c r="A130" s="4">
        <v>32</v>
      </c>
      <c r="B130" s="4">
        <v>0</v>
      </c>
      <c r="C130" s="4">
        <v>17.765000000000001</v>
      </c>
      <c r="D130" s="4">
        <v>2</v>
      </c>
      <c r="E130" s="4">
        <v>1</v>
      </c>
      <c r="F130" s="4">
        <v>3</v>
      </c>
      <c r="G130" s="4">
        <v>32734.186300000001</v>
      </c>
      <c r="I130" s="23"/>
      <c r="J130" s="23"/>
      <c r="K130" s="23"/>
      <c r="L130" s="23"/>
      <c r="M130" s="23"/>
      <c r="N130" s="23"/>
      <c r="O130" s="23"/>
      <c r="P130" s="23"/>
      <c r="Q130" s="23"/>
      <c r="R130" s="23"/>
    </row>
    <row r="131" spans="1:18" x14ac:dyDescent="0.2">
      <c r="A131" s="4">
        <v>38</v>
      </c>
      <c r="B131" s="4">
        <v>1</v>
      </c>
      <c r="C131" s="4">
        <v>34.700000000000003</v>
      </c>
      <c r="D131" s="4">
        <v>2</v>
      </c>
      <c r="E131" s="4">
        <v>0</v>
      </c>
      <c r="F131" s="4">
        <v>4</v>
      </c>
      <c r="G131" s="4">
        <v>6082.4049999999997</v>
      </c>
      <c r="I131" s="23"/>
      <c r="J131" s="23"/>
      <c r="K131" s="23"/>
      <c r="L131" s="23"/>
      <c r="M131" s="23"/>
      <c r="N131" s="23"/>
      <c r="O131" s="23"/>
      <c r="P131" s="23"/>
      <c r="Q131" s="23"/>
      <c r="R131" s="23"/>
    </row>
    <row r="132" spans="1:18" x14ac:dyDescent="0.2">
      <c r="A132" s="4">
        <v>59</v>
      </c>
      <c r="B132" s="4">
        <v>0</v>
      </c>
      <c r="C132" s="4">
        <v>26.504999999999999</v>
      </c>
      <c r="D132" s="4">
        <v>0</v>
      </c>
      <c r="E132" s="4">
        <v>0</v>
      </c>
      <c r="F132" s="4">
        <v>1</v>
      </c>
      <c r="G132" s="4">
        <v>12815.444949999999</v>
      </c>
      <c r="I132" s="23"/>
      <c r="J132" s="23"/>
      <c r="K132" s="23"/>
      <c r="L132" s="23"/>
      <c r="M132" s="23"/>
      <c r="N132" s="23"/>
      <c r="O132" s="23"/>
      <c r="P132" s="23"/>
      <c r="Q132" s="23"/>
      <c r="R132" s="23"/>
    </row>
    <row r="133" spans="1:18" x14ac:dyDescent="0.2">
      <c r="A133" s="4">
        <v>61</v>
      </c>
      <c r="B133" s="4">
        <v>0</v>
      </c>
      <c r="C133" s="4">
        <v>22.04</v>
      </c>
      <c r="D133" s="4">
        <v>0</v>
      </c>
      <c r="E133" s="4">
        <v>0</v>
      </c>
      <c r="F133" s="4">
        <v>1</v>
      </c>
      <c r="G133" s="4">
        <v>13616.3586</v>
      </c>
      <c r="I133" s="23"/>
      <c r="J133" s="23"/>
      <c r="K133" s="23"/>
      <c r="L133" s="23"/>
      <c r="M133" s="23"/>
      <c r="N133" s="23"/>
      <c r="O133" s="23"/>
      <c r="P133" s="23"/>
      <c r="Q133" s="23"/>
      <c r="R133" s="23"/>
    </row>
    <row r="134" spans="1:18" x14ac:dyDescent="0.2">
      <c r="A134" s="4">
        <v>53</v>
      </c>
      <c r="B134" s="4">
        <v>0</v>
      </c>
      <c r="C134" s="4">
        <v>35.9</v>
      </c>
      <c r="D134" s="4">
        <v>2</v>
      </c>
      <c r="E134" s="4">
        <v>0</v>
      </c>
      <c r="F134" s="4">
        <v>4</v>
      </c>
      <c r="G134" s="4">
        <v>11163.567999999999</v>
      </c>
      <c r="I134" s="23"/>
      <c r="J134" s="23"/>
      <c r="K134" s="23"/>
      <c r="L134" s="23"/>
      <c r="M134" s="23"/>
      <c r="N134" s="23"/>
      <c r="O134" s="23"/>
      <c r="P134" s="23"/>
      <c r="Q134" s="23"/>
      <c r="R134" s="23"/>
    </row>
    <row r="135" spans="1:18" x14ac:dyDescent="0.2">
      <c r="A135" s="4">
        <v>19</v>
      </c>
      <c r="B135" s="4">
        <v>1</v>
      </c>
      <c r="C135" s="4">
        <v>25.555</v>
      </c>
      <c r="D135" s="4">
        <v>0</v>
      </c>
      <c r="E135" s="4">
        <v>0</v>
      </c>
      <c r="F135" s="4">
        <v>3</v>
      </c>
      <c r="G135" s="4">
        <v>1632.5644500000001</v>
      </c>
      <c r="I135" s="23"/>
      <c r="J135" s="23"/>
      <c r="K135" s="23"/>
      <c r="L135" s="23"/>
      <c r="M135" s="23"/>
      <c r="N135" s="23"/>
      <c r="O135" s="23"/>
      <c r="P135" s="23"/>
      <c r="Q135" s="23"/>
      <c r="R135" s="23"/>
    </row>
    <row r="136" spans="1:18" x14ac:dyDescent="0.2">
      <c r="A136" s="4">
        <v>20</v>
      </c>
      <c r="B136" s="4">
        <v>0</v>
      </c>
      <c r="C136" s="4">
        <v>28.785</v>
      </c>
      <c r="D136" s="4">
        <v>0</v>
      </c>
      <c r="E136" s="4">
        <v>0</v>
      </c>
      <c r="F136" s="4">
        <v>1</v>
      </c>
      <c r="G136" s="4">
        <v>2457.2111500000001</v>
      </c>
      <c r="I136" s="23"/>
      <c r="J136" s="23"/>
      <c r="K136" s="23"/>
      <c r="L136" s="23"/>
      <c r="M136" s="23"/>
      <c r="N136" s="23"/>
      <c r="O136" s="23"/>
      <c r="P136" s="23"/>
      <c r="Q136" s="23"/>
      <c r="R136" s="23"/>
    </row>
    <row r="137" spans="1:18" x14ac:dyDescent="0.2">
      <c r="A137" s="4">
        <v>22</v>
      </c>
      <c r="B137" s="4">
        <v>0</v>
      </c>
      <c r="C137" s="4">
        <v>28.05</v>
      </c>
      <c r="D137" s="4">
        <v>0</v>
      </c>
      <c r="E137" s="4">
        <v>0</v>
      </c>
      <c r="F137" s="4">
        <v>2</v>
      </c>
      <c r="G137" s="4">
        <v>2155.6815000000001</v>
      </c>
      <c r="I137" s="23"/>
      <c r="J137" s="23"/>
      <c r="K137" s="23"/>
      <c r="L137" s="23"/>
      <c r="M137" s="23"/>
      <c r="N137" s="23"/>
      <c r="O137" s="23"/>
      <c r="P137" s="23"/>
      <c r="Q137" s="23"/>
      <c r="R137" s="23"/>
    </row>
    <row r="138" spans="1:18" x14ac:dyDescent="0.2">
      <c r="A138" s="4">
        <v>19</v>
      </c>
      <c r="B138" s="4">
        <v>1</v>
      </c>
      <c r="C138" s="4">
        <v>34.1</v>
      </c>
      <c r="D138" s="4">
        <v>0</v>
      </c>
      <c r="E138" s="4">
        <v>0</v>
      </c>
      <c r="F138" s="4">
        <v>4</v>
      </c>
      <c r="G138" s="4">
        <v>1261.442</v>
      </c>
      <c r="I138" s="23"/>
      <c r="J138" s="23"/>
      <c r="K138" s="23"/>
      <c r="L138" s="23"/>
      <c r="M138" s="23"/>
      <c r="N138" s="23"/>
      <c r="O138" s="23"/>
      <c r="P138" s="23"/>
      <c r="Q138" s="23"/>
      <c r="R138" s="23"/>
    </row>
    <row r="139" spans="1:18" x14ac:dyDescent="0.2">
      <c r="A139" s="4">
        <v>22</v>
      </c>
      <c r="B139" s="4">
        <v>1</v>
      </c>
      <c r="C139" s="4">
        <v>25.175000000000001</v>
      </c>
      <c r="D139" s="4">
        <v>0</v>
      </c>
      <c r="E139" s="4">
        <v>0</v>
      </c>
      <c r="F139" s="4">
        <v>3</v>
      </c>
      <c r="G139" s="4">
        <v>2045.68525</v>
      </c>
      <c r="I139" s="23"/>
      <c r="J139" s="23"/>
      <c r="K139" s="23"/>
      <c r="L139" s="23"/>
      <c r="M139" s="23"/>
      <c r="N139" s="23"/>
      <c r="O139" s="23"/>
      <c r="P139" s="23"/>
      <c r="Q139" s="23"/>
      <c r="R139" s="23"/>
    </row>
    <row r="140" spans="1:18" x14ac:dyDescent="0.2">
      <c r="A140" s="4">
        <v>54</v>
      </c>
      <c r="B140" s="4">
        <v>0</v>
      </c>
      <c r="C140" s="4">
        <v>31.9</v>
      </c>
      <c r="D140" s="4">
        <v>3</v>
      </c>
      <c r="E140" s="4">
        <v>0</v>
      </c>
      <c r="F140" s="4">
        <v>2</v>
      </c>
      <c r="G140" s="4">
        <v>27322.73386</v>
      </c>
      <c r="I140" s="23"/>
      <c r="J140" s="23"/>
      <c r="K140" s="23"/>
      <c r="L140" s="23"/>
      <c r="M140" s="23"/>
      <c r="N140" s="23"/>
      <c r="O140" s="23"/>
      <c r="P140" s="23"/>
      <c r="Q140" s="23"/>
      <c r="R140" s="23"/>
    </row>
    <row r="141" spans="1:18" x14ac:dyDescent="0.2">
      <c r="A141" s="4">
        <v>22</v>
      </c>
      <c r="B141" s="4">
        <v>0</v>
      </c>
      <c r="C141" s="4">
        <v>36</v>
      </c>
      <c r="D141" s="4">
        <v>0</v>
      </c>
      <c r="E141" s="4">
        <v>0</v>
      </c>
      <c r="F141" s="4">
        <v>4</v>
      </c>
      <c r="G141" s="4">
        <v>2166.732</v>
      </c>
      <c r="I141" s="23"/>
      <c r="J141" s="23"/>
      <c r="K141" s="23"/>
      <c r="L141" s="23"/>
      <c r="M141" s="23"/>
      <c r="N141" s="23"/>
      <c r="O141" s="23"/>
      <c r="P141" s="23"/>
      <c r="Q141" s="23"/>
      <c r="R141" s="23"/>
    </row>
    <row r="142" spans="1:18" x14ac:dyDescent="0.2">
      <c r="A142" s="4">
        <v>34</v>
      </c>
      <c r="B142" s="4">
        <v>1</v>
      </c>
      <c r="C142" s="4">
        <v>22.42</v>
      </c>
      <c r="D142" s="4">
        <v>2</v>
      </c>
      <c r="E142" s="4">
        <v>0</v>
      </c>
      <c r="F142" s="4">
        <v>1</v>
      </c>
      <c r="G142" s="4">
        <v>27375.904780000001</v>
      </c>
      <c r="I142" s="23"/>
      <c r="J142" s="23"/>
      <c r="K142" s="23"/>
      <c r="L142" s="23"/>
      <c r="M142" s="23"/>
      <c r="N142" s="23"/>
      <c r="O142" s="23"/>
      <c r="P142" s="23"/>
      <c r="Q142" s="23"/>
      <c r="R142" s="23"/>
    </row>
    <row r="143" spans="1:18" x14ac:dyDescent="0.2">
      <c r="A143" s="4">
        <v>26</v>
      </c>
      <c r="B143" s="4">
        <v>1</v>
      </c>
      <c r="C143" s="4">
        <v>32.49</v>
      </c>
      <c r="D143" s="4">
        <v>1</v>
      </c>
      <c r="E143" s="4">
        <v>0</v>
      </c>
      <c r="F143" s="4">
        <v>1</v>
      </c>
      <c r="G143" s="4">
        <v>3490.5491000000002</v>
      </c>
      <c r="I143" s="23"/>
      <c r="J143" s="23"/>
      <c r="K143" s="23"/>
      <c r="L143" s="23"/>
      <c r="M143" s="23"/>
      <c r="N143" s="23"/>
      <c r="O143" s="23"/>
      <c r="P143" s="23"/>
      <c r="Q143" s="23"/>
      <c r="R143" s="23"/>
    </row>
    <row r="144" spans="1:18" x14ac:dyDescent="0.2">
      <c r="A144" s="4">
        <v>34</v>
      </c>
      <c r="B144" s="4">
        <v>1</v>
      </c>
      <c r="C144" s="4">
        <v>25.3</v>
      </c>
      <c r="D144" s="4">
        <v>2</v>
      </c>
      <c r="E144" s="4">
        <v>1</v>
      </c>
      <c r="F144" s="4">
        <v>2</v>
      </c>
      <c r="G144" s="4">
        <v>18972.494999999999</v>
      </c>
      <c r="I144" s="23"/>
      <c r="J144" s="23"/>
      <c r="K144" s="23"/>
      <c r="L144" s="23"/>
      <c r="M144" s="23"/>
      <c r="N144" s="23"/>
      <c r="O144" s="23"/>
      <c r="P144" s="23"/>
      <c r="Q144" s="23"/>
      <c r="R144" s="23"/>
    </row>
    <row r="145" spans="1:18" x14ac:dyDescent="0.2">
      <c r="A145" s="4">
        <v>29</v>
      </c>
      <c r="B145" s="4">
        <v>1</v>
      </c>
      <c r="C145" s="4">
        <v>29.734999999999999</v>
      </c>
      <c r="D145" s="4">
        <v>2</v>
      </c>
      <c r="E145" s="4">
        <v>0</v>
      </c>
      <c r="F145" s="4">
        <v>3</v>
      </c>
      <c r="G145" s="4">
        <v>18157.876</v>
      </c>
      <c r="I145" s="23"/>
      <c r="J145" s="23"/>
      <c r="K145" s="23"/>
      <c r="L145" s="23"/>
      <c r="M145" s="23"/>
      <c r="N145" s="23"/>
      <c r="O145" s="23"/>
      <c r="P145" s="23"/>
      <c r="Q145" s="23"/>
      <c r="R145" s="23"/>
    </row>
    <row r="146" spans="1:18" x14ac:dyDescent="0.2">
      <c r="A146" s="4">
        <v>30</v>
      </c>
      <c r="B146" s="4">
        <v>1</v>
      </c>
      <c r="C146" s="4">
        <v>28.69</v>
      </c>
      <c r="D146" s="4">
        <v>3</v>
      </c>
      <c r="E146" s="4">
        <v>1</v>
      </c>
      <c r="F146" s="4">
        <v>3</v>
      </c>
      <c r="G146" s="4">
        <v>20745.989099999999</v>
      </c>
      <c r="I146" s="23"/>
      <c r="J146" s="23"/>
      <c r="K146" s="23"/>
      <c r="L146" s="23"/>
      <c r="M146" s="23"/>
      <c r="N146" s="23"/>
      <c r="O146" s="23"/>
      <c r="P146" s="23"/>
      <c r="Q146" s="23"/>
      <c r="R146" s="23"/>
    </row>
    <row r="147" spans="1:18" x14ac:dyDescent="0.2">
      <c r="A147" s="4">
        <v>29</v>
      </c>
      <c r="B147" s="4">
        <v>0</v>
      </c>
      <c r="C147" s="4">
        <v>38.83</v>
      </c>
      <c r="D147" s="4">
        <v>3</v>
      </c>
      <c r="E147" s="4">
        <v>0</v>
      </c>
      <c r="F147" s="4">
        <v>2</v>
      </c>
      <c r="G147" s="4">
        <v>5138.2566999999999</v>
      </c>
      <c r="I147" s="23"/>
      <c r="J147" s="23"/>
      <c r="K147" s="23"/>
      <c r="L147" s="23"/>
      <c r="M147" s="23"/>
      <c r="N147" s="23"/>
      <c r="O147" s="23"/>
      <c r="P147" s="23"/>
      <c r="Q147" s="23"/>
      <c r="R147" s="23"/>
    </row>
    <row r="148" spans="1:18" x14ac:dyDescent="0.2">
      <c r="A148" s="4">
        <v>46</v>
      </c>
      <c r="B148" s="4">
        <v>1</v>
      </c>
      <c r="C148" s="4">
        <v>30.495000000000001</v>
      </c>
      <c r="D148" s="4">
        <v>3</v>
      </c>
      <c r="E148" s="4">
        <v>1</v>
      </c>
      <c r="F148" s="4">
        <v>3</v>
      </c>
      <c r="G148" s="4">
        <v>40720.551050000002</v>
      </c>
      <c r="I148" s="23"/>
      <c r="J148" s="23"/>
      <c r="K148" s="23"/>
      <c r="L148" s="23"/>
      <c r="M148" s="23"/>
      <c r="N148" s="23"/>
      <c r="O148" s="23"/>
      <c r="P148" s="23"/>
      <c r="Q148" s="23"/>
      <c r="R148" s="23"/>
    </row>
    <row r="149" spans="1:18" x14ac:dyDescent="0.2">
      <c r="A149" s="4">
        <v>51</v>
      </c>
      <c r="B149" s="4">
        <v>0</v>
      </c>
      <c r="C149" s="4">
        <v>37.729999999999997</v>
      </c>
      <c r="D149" s="4">
        <v>1</v>
      </c>
      <c r="E149" s="4">
        <v>0</v>
      </c>
      <c r="F149" s="4">
        <v>2</v>
      </c>
      <c r="G149" s="4">
        <v>9877.6077000000005</v>
      </c>
      <c r="I149" s="23"/>
      <c r="J149" s="23"/>
      <c r="K149" s="23"/>
      <c r="L149" s="23"/>
      <c r="M149" s="23"/>
      <c r="N149" s="23"/>
      <c r="O149" s="23"/>
      <c r="P149" s="23"/>
      <c r="Q149" s="23"/>
      <c r="R149" s="23"/>
    </row>
    <row r="150" spans="1:18" x14ac:dyDescent="0.2">
      <c r="A150" s="4">
        <v>53</v>
      </c>
      <c r="B150" s="4">
        <v>0</v>
      </c>
      <c r="C150" s="4">
        <v>37.43</v>
      </c>
      <c r="D150" s="4">
        <v>1</v>
      </c>
      <c r="E150" s="4">
        <v>0</v>
      </c>
      <c r="F150" s="4">
        <v>3</v>
      </c>
      <c r="G150" s="4">
        <v>10959.6947</v>
      </c>
      <c r="I150" s="23"/>
      <c r="J150" s="23"/>
      <c r="K150" s="23"/>
      <c r="L150" s="23"/>
      <c r="M150" s="23"/>
      <c r="N150" s="23"/>
      <c r="O150" s="23"/>
      <c r="P150" s="23"/>
      <c r="Q150" s="23"/>
      <c r="R150" s="23"/>
    </row>
    <row r="151" spans="1:18" x14ac:dyDescent="0.2">
      <c r="A151" s="4">
        <v>19</v>
      </c>
      <c r="B151" s="4">
        <v>1</v>
      </c>
      <c r="C151" s="4">
        <v>28.4</v>
      </c>
      <c r="D151" s="4">
        <v>1</v>
      </c>
      <c r="E151" s="4">
        <v>0</v>
      </c>
      <c r="F151" s="4">
        <v>4</v>
      </c>
      <c r="G151" s="4">
        <v>1842.519</v>
      </c>
      <c r="I151" s="23"/>
      <c r="J151" s="23"/>
      <c r="K151" s="23"/>
      <c r="L151" s="23"/>
      <c r="M151" s="23"/>
      <c r="N151" s="23"/>
      <c r="O151" s="23"/>
      <c r="P151" s="23"/>
      <c r="Q151" s="23"/>
      <c r="R151" s="23"/>
    </row>
    <row r="152" spans="1:18" x14ac:dyDescent="0.2">
      <c r="A152" s="4">
        <v>35</v>
      </c>
      <c r="B152" s="4">
        <v>1</v>
      </c>
      <c r="C152" s="4">
        <v>24.13</v>
      </c>
      <c r="D152" s="4">
        <v>1</v>
      </c>
      <c r="E152" s="4">
        <v>0</v>
      </c>
      <c r="F152" s="4">
        <v>3</v>
      </c>
      <c r="G152" s="4">
        <v>5125.2156999999997</v>
      </c>
      <c r="I152" s="23"/>
      <c r="J152" s="23"/>
      <c r="K152" s="23"/>
      <c r="L152" s="23"/>
      <c r="M152" s="23"/>
      <c r="N152" s="23"/>
      <c r="O152" s="23"/>
      <c r="P152" s="23"/>
      <c r="Q152" s="23"/>
      <c r="R152" s="23"/>
    </row>
    <row r="153" spans="1:18" x14ac:dyDescent="0.2">
      <c r="A153" s="4">
        <v>48</v>
      </c>
      <c r="B153" s="4">
        <v>1</v>
      </c>
      <c r="C153" s="4">
        <v>29.7</v>
      </c>
      <c r="D153" s="4">
        <v>0</v>
      </c>
      <c r="E153" s="4">
        <v>0</v>
      </c>
      <c r="F153" s="4">
        <v>2</v>
      </c>
      <c r="G153" s="4">
        <v>7789.6350000000002</v>
      </c>
      <c r="I153" s="23"/>
      <c r="J153" s="23"/>
      <c r="K153" s="23"/>
      <c r="L153" s="23"/>
      <c r="M153" s="23"/>
      <c r="N153" s="23"/>
      <c r="O153" s="23"/>
      <c r="P153" s="23"/>
      <c r="Q153" s="23"/>
      <c r="R153" s="23"/>
    </row>
    <row r="154" spans="1:18" x14ac:dyDescent="0.2">
      <c r="A154" s="4">
        <v>32</v>
      </c>
      <c r="B154" s="4">
        <v>0</v>
      </c>
      <c r="C154" s="4">
        <v>37.145000000000003</v>
      </c>
      <c r="D154" s="4">
        <v>3</v>
      </c>
      <c r="E154" s="4">
        <v>0</v>
      </c>
      <c r="F154" s="4">
        <v>1</v>
      </c>
      <c r="G154" s="4">
        <v>6334.3435499999996</v>
      </c>
      <c r="I154" s="23"/>
      <c r="J154" s="23"/>
      <c r="K154" s="23"/>
      <c r="L154" s="23"/>
      <c r="M154" s="23"/>
      <c r="N154" s="23"/>
      <c r="O154" s="23"/>
      <c r="P154" s="23"/>
      <c r="Q154" s="23"/>
      <c r="R154" s="23"/>
    </row>
    <row r="155" spans="1:18" x14ac:dyDescent="0.2">
      <c r="A155" s="4">
        <v>42</v>
      </c>
      <c r="B155" s="4">
        <v>0</v>
      </c>
      <c r="C155" s="4">
        <v>23.37</v>
      </c>
      <c r="D155" s="4">
        <v>0</v>
      </c>
      <c r="E155" s="4">
        <v>1</v>
      </c>
      <c r="F155" s="4">
        <v>1</v>
      </c>
      <c r="G155" s="4">
        <v>19964.746299999999</v>
      </c>
      <c r="I155" s="23"/>
      <c r="J155" s="23"/>
      <c r="K155" s="23"/>
      <c r="L155" s="23"/>
      <c r="M155" s="23"/>
      <c r="N155" s="23"/>
      <c r="O155" s="23"/>
      <c r="P155" s="23"/>
      <c r="Q155" s="23"/>
      <c r="R155" s="23"/>
    </row>
    <row r="156" spans="1:18" x14ac:dyDescent="0.2">
      <c r="A156" s="4">
        <v>40</v>
      </c>
      <c r="B156" s="4">
        <v>0</v>
      </c>
      <c r="C156" s="4">
        <v>25.46</v>
      </c>
      <c r="D156" s="4">
        <v>1</v>
      </c>
      <c r="E156" s="4">
        <v>0</v>
      </c>
      <c r="F156" s="4">
        <v>1</v>
      </c>
      <c r="G156" s="4">
        <v>7077.1894000000002</v>
      </c>
      <c r="I156" s="23"/>
      <c r="J156" s="23"/>
      <c r="K156" s="23"/>
      <c r="L156" s="23"/>
      <c r="M156" s="23"/>
      <c r="N156" s="23"/>
      <c r="O156" s="23"/>
      <c r="P156" s="23"/>
      <c r="Q156" s="23"/>
      <c r="R156" s="23"/>
    </row>
    <row r="157" spans="1:18" x14ac:dyDescent="0.2">
      <c r="A157" s="4">
        <v>44</v>
      </c>
      <c r="B157" s="4">
        <v>1</v>
      </c>
      <c r="C157" s="4">
        <v>39.520000000000003</v>
      </c>
      <c r="D157" s="4">
        <v>0</v>
      </c>
      <c r="E157" s="4">
        <v>0</v>
      </c>
      <c r="F157" s="4">
        <v>3</v>
      </c>
      <c r="G157" s="4">
        <v>6948.7007999999996</v>
      </c>
      <c r="I157" s="23"/>
      <c r="J157" s="23"/>
      <c r="K157" s="23"/>
      <c r="L157" s="23"/>
      <c r="M157" s="23"/>
      <c r="N157" s="23"/>
      <c r="O157" s="23"/>
      <c r="P157" s="23"/>
      <c r="Q157" s="23"/>
      <c r="R157" s="23"/>
    </row>
    <row r="158" spans="1:18" x14ac:dyDescent="0.2">
      <c r="A158" s="4">
        <v>48</v>
      </c>
      <c r="B158" s="4">
        <v>1</v>
      </c>
      <c r="C158" s="4">
        <v>24.42</v>
      </c>
      <c r="D158" s="4">
        <v>0</v>
      </c>
      <c r="E158" s="4">
        <v>1</v>
      </c>
      <c r="F158" s="4">
        <v>2</v>
      </c>
      <c r="G158" s="4">
        <v>21223.675800000001</v>
      </c>
      <c r="I158" s="23"/>
      <c r="J158" s="23"/>
      <c r="K158" s="23"/>
      <c r="L158" s="23"/>
      <c r="M158" s="23"/>
      <c r="N158" s="23"/>
      <c r="O158" s="23"/>
      <c r="P158" s="23"/>
      <c r="Q158" s="23"/>
      <c r="R158" s="23"/>
    </row>
    <row r="159" spans="1:18" x14ac:dyDescent="0.2">
      <c r="A159" s="4">
        <v>18</v>
      </c>
      <c r="B159" s="4">
        <v>1</v>
      </c>
      <c r="C159" s="4">
        <v>25.175000000000001</v>
      </c>
      <c r="D159" s="4">
        <v>0</v>
      </c>
      <c r="E159" s="4">
        <v>1</v>
      </c>
      <c r="F159" s="4">
        <v>1</v>
      </c>
      <c r="G159" s="4">
        <v>15518.180249999999</v>
      </c>
      <c r="I159" s="23"/>
      <c r="J159" s="23"/>
      <c r="K159" s="23"/>
      <c r="L159" s="23"/>
      <c r="M159" s="23"/>
      <c r="N159" s="23"/>
      <c r="O159" s="23"/>
      <c r="P159" s="23"/>
      <c r="Q159" s="23"/>
      <c r="R159" s="23"/>
    </row>
    <row r="160" spans="1:18" x14ac:dyDescent="0.2">
      <c r="A160" s="4">
        <v>30</v>
      </c>
      <c r="B160" s="4">
        <v>1</v>
      </c>
      <c r="C160" s="4">
        <v>35.53</v>
      </c>
      <c r="D160" s="4">
        <v>0</v>
      </c>
      <c r="E160" s="4">
        <v>1</v>
      </c>
      <c r="F160" s="4">
        <v>2</v>
      </c>
      <c r="G160" s="4">
        <v>36950.256699999998</v>
      </c>
      <c r="I160" s="23"/>
      <c r="J160" s="23"/>
      <c r="K160" s="23"/>
      <c r="L160" s="23"/>
      <c r="M160" s="23"/>
      <c r="N160" s="23"/>
      <c r="O160" s="23"/>
      <c r="P160" s="23"/>
      <c r="Q160" s="23"/>
      <c r="R160" s="23"/>
    </row>
    <row r="161" spans="1:18" x14ac:dyDescent="0.2">
      <c r="A161" s="4">
        <v>50</v>
      </c>
      <c r="B161" s="4">
        <v>0</v>
      </c>
      <c r="C161" s="4">
        <v>27.83</v>
      </c>
      <c r="D161" s="4">
        <v>3</v>
      </c>
      <c r="E161" s="4">
        <v>0</v>
      </c>
      <c r="F161" s="4">
        <v>2</v>
      </c>
      <c r="G161" s="4">
        <v>19749.383379999999</v>
      </c>
      <c r="I161" s="23"/>
      <c r="J161" s="23"/>
      <c r="K161" s="23"/>
      <c r="L161" s="23"/>
      <c r="M161" s="23"/>
      <c r="N161" s="23"/>
      <c r="O161" s="23"/>
      <c r="P161" s="23"/>
      <c r="Q161" s="23"/>
      <c r="R161" s="23"/>
    </row>
    <row r="162" spans="1:18" x14ac:dyDescent="0.2">
      <c r="A162" s="4">
        <v>42</v>
      </c>
      <c r="B162" s="4">
        <v>0</v>
      </c>
      <c r="C162" s="4">
        <v>26.6</v>
      </c>
      <c r="D162" s="4">
        <v>0</v>
      </c>
      <c r="E162" s="4">
        <v>1</v>
      </c>
      <c r="F162" s="4">
        <v>3</v>
      </c>
      <c r="G162" s="4">
        <v>21348.705999999998</v>
      </c>
      <c r="I162" s="23"/>
      <c r="J162" s="23"/>
      <c r="K162" s="23"/>
      <c r="L162" s="23"/>
      <c r="M162" s="23"/>
      <c r="N162" s="23"/>
      <c r="O162" s="23"/>
      <c r="P162" s="23"/>
      <c r="Q162" s="23"/>
      <c r="R162" s="23"/>
    </row>
    <row r="163" spans="1:18" x14ac:dyDescent="0.2">
      <c r="A163" s="4">
        <v>18</v>
      </c>
      <c r="B163" s="4">
        <v>0</v>
      </c>
      <c r="C163" s="4">
        <v>36.85</v>
      </c>
      <c r="D163" s="4">
        <v>0</v>
      </c>
      <c r="E163" s="4">
        <v>1</v>
      </c>
      <c r="F163" s="4">
        <v>2</v>
      </c>
      <c r="G163" s="4">
        <v>36149.483500000002</v>
      </c>
      <c r="I163" s="23"/>
      <c r="J163" s="23"/>
      <c r="K163" s="23"/>
      <c r="L163" s="23"/>
      <c r="M163" s="23"/>
      <c r="N163" s="23"/>
      <c r="O163" s="23"/>
      <c r="P163" s="23"/>
      <c r="Q163" s="23"/>
      <c r="R163" s="23"/>
    </row>
    <row r="164" spans="1:18" x14ac:dyDescent="0.2">
      <c r="A164" s="4">
        <v>54</v>
      </c>
      <c r="B164" s="4">
        <v>1</v>
      </c>
      <c r="C164" s="4">
        <v>39.6</v>
      </c>
      <c r="D164" s="4">
        <v>1</v>
      </c>
      <c r="E164" s="4">
        <v>0</v>
      </c>
      <c r="F164" s="4">
        <v>4</v>
      </c>
      <c r="G164" s="4">
        <v>10450.552</v>
      </c>
      <c r="I164" s="23"/>
      <c r="J164" s="23"/>
      <c r="K164" s="23"/>
      <c r="L164" s="23"/>
      <c r="M164" s="23"/>
      <c r="N164" s="23"/>
      <c r="O164" s="23"/>
      <c r="P164" s="23"/>
      <c r="Q164" s="23"/>
      <c r="R164" s="23"/>
    </row>
    <row r="165" spans="1:18" x14ac:dyDescent="0.2">
      <c r="A165" s="4">
        <v>32</v>
      </c>
      <c r="B165" s="4">
        <v>0</v>
      </c>
      <c r="C165" s="4">
        <v>29.8</v>
      </c>
      <c r="D165" s="4">
        <v>2</v>
      </c>
      <c r="E165" s="4">
        <v>0</v>
      </c>
      <c r="F165" s="4">
        <v>4</v>
      </c>
      <c r="G165" s="4">
        <v>5152.134</v>
      </c>
      <c r="I165" s="23"/>
      <c r="J165" s="23"/>
      <c r="K165" s="23"/>
      <c r="L165" s="23"/>
      <c r="M165" s="23"/>
      <c r="N165" s="23"/>
      <c r="O165" s="23"/>
      <c r="P165" s="23"/>
      <c r="Q165" s="23"/>
      <c r="R165" s="23"/>
    </row>
    <row r="166" spans="1:18" x14ac:dyDescent="0.2">
      <c r="A166" s="4">
        <v>37</v>
      </c>
      <c r="B166" s="4">
        <v>1</v>
      </c>
      <c r="C166" s="4">
        <v>29.64</v>
      </c>
      <c r="D166" s="4">
        <v>0</v>
      </c>
      <c r="E166" s="4">
        <v>0</v>
      </c>
      <c r="F166" s="4">
        <v>3</v>
      </c>
      <c r="G166" s="4">
        <v>5028.1466</v>
      </c>
      <c r="I166" s="23"/>
      <c r="J166" s="23"/>
      <c r="K166" s="23"/>
      <c r="L166" s="23"/>
      <c r="M166" s="23"/>
      <c r="N166" s="23"/>
      <c r="O166" s="23"/>
      <c r="P166" s="23"/>
      <c r="Q166" s="23"/>
      <c r="R166" s="23"/>
    </row>
    <row r="167" spans="1:18" x14ac:dyDescent="0.2">
      <c r="A167" s="4">
        <v>47</v>
      </c>
      <c r="B167" s="4">
        <v>1</v>
      </c>
      <c r="C167" s="4">
        <v>28.215</v>
      </c>
      <c r="D167" s="4">
        <v>4</v>
      </c>
      <c r="E167" s="4">
        <v>0</v>
      </c>
      <c r="F167" s="4">
        <v>1</v>
      </c>
      <c r="G167" s="4">
        <v>10407.085849999999</v>
      </c>
      <c r="I167" s="23"/>
      <c r="J167" s="23"/>
      <c r="K167" s="23"/>
      <c r="L167" s="23"/>
      <c r="M167" s="23"/>
      <c r="N167" s="23"/>
      <c r="O167" s="23"/>
      <c r="P167" s="23"/>
      <c r="Q167" s="23"/>
      <c r="R167" s="23"/>
    </row>
    <row r="168" spans="1:18" x14ac:dyDescent="0.2">
      <c r="A168" s="4">
        <v>20</v>
      </c>
      <c r="B168" s="4">
        <v>0</v>
      </c>
      <c r="C168" s="4">
        <v>37</v>
      </c>
      <c r="D168" s="4">
        <v>5</v>
      </c>
      <c r="E168" s="4">
        <v>0</v>
      </c>
      <c r="F168" s="4">
        <v>4</v>
      </c>
      <c r="G168" s="4">
        <v>4830.63</v>
      </c>
      <c r="I168" s="23"/>
      <c r="J168" s="23"/>
      <c r="K168" s="23"/>
      <c r="L168" s="23"/>
      <c r="M168" s="23"/>
      <c r="N168" s="23"/>
      <c r="O168" s="23"/>
      <c r="P168" s="23"/>
      <c r="Q168" s="23"/>
      <c r="R168" s="23"/>
    </row>
    <row r="169" spans="1:18" x14ac:dyDescent="0.2">
      <c r="A169" s="4">
        <v>32</v>
      </c>
      <c r="B169" s="4">
        <v>0</v>
      </c>
      <c r="C169" s="4">
        <v>33.155000000000001</v>
      </c>
      <c r="D169" s="4">
        <v>3</v>
      </c>
      <c r="E169" s="4">
        <v>0</v>
      </c>
      <c r="F169" s="4">
        <v>3</v>
      </c>
      <c r="G169" s="4">
        <v>6128.79745</v>
      </c>
      <c r="I169" s="23"/>
      <c r="J169" s="23"/>
      <c r="K169" s="23"/>
      <c r="L169" s="23"/>
      <c r="M169" s="23"/>
      <c r="N169" s="23"/>
      <c r="O169" s="23"/>
      <c r="P169" s="23"/>
      <c r="Q169" s="23"/>
      <c r="R169" s="23"/>
    </row>
    <row r="170" spans="1:18" x14ac:dyDescent="0.2">
      <c r="A170" s="4">
        <v>19</v>
      </c>
      <c r="B170" s="4">
        <v>0</v>
      </c>
      <c r="C170" s="4">
        <v>31.824999999999999</v>
      </c>
      <c r="D170" s="4">
        <v>1</v>
      </c>
      <c r="E170" s="4">
        <v>0</v>
      </c>
      <c r="F170" s="4">
        <v>3</v>
      </c>
      <c r="G170" s="4">
        <v>2719.2797500000001</v>
      </c>
      <c r="I170" s="23"/>
      <c r="J170" s="23"/>
      <c r="K170" s="23"/>
      <c r="L170" s="23"/>
      <c r="M170" s="23"/>
      <c r="N170" s="23"/>
      <c r="O170" s="23"/>
      <c r="P170" s="23"/>
      <c r="Q170" s="23"/>
      <c r="R170" s="23"/>
    </row>
    <row r="171" spans="1:18" x14ac:dyDescent="0.2">
      <c r="A171" s="4">
        <v>27</v>
      </c>
      <c r="B171" s="4">
        <v>1</v>
      </c>
      <c r="C171" s="4">
        <v>18.905000000000001</v>
      </c>
      <c r="D171" s="4">
        <v>3</v>
      </c>
      <c r="E171" s="4">
        <v>0</v>
      </c>
      <c r="F171" s="4">
        <v>1</v>
      </c>
      <c r="G171" s="4">
        <v>4827.9049500000001</v>
      </c>
      <c r="I171" s="23"/>
      <c r="J171" s="23"/>
      <c r="K171" s="23"/>
      <c r="L171" s="23"/>
      <c r="M171" s="23"/>
      <c r="N171" s="23"/>
      <c r="O171" s="23"/>
      <c r="P171" s="23"/>
      <c r="Q171" s="23"/>
      <c r="R171" s="23"/>
    </row>
    <row r="172" spans="1:18" x14ac:dyDescent="0.2">
      <c r="A172" s="4">
        <v>63</v>
      </c>
      <c r="B172" s="4">
        <v>1</v>
      </c>
      <c r="C172" s="4">
        <v>41.47</v>
      </c>
      <c r="D172" s="4">
        <v>0</v>
      </c>
      <c r="E172" s="4">
        <v>0</v>
      </c>
      <c r="F172" s="4">
        <v>2</v>
      </c>
      <c r="G172" s="4">
        <v>13405.390299999999</v>
      </c>
      <c r="I172" s="23"/>
      <c r="J172" s="23"/>
      <c r="K172" s="23"/>
      <c r="L172" s="23"/>
      <c r="M172" s="23"/>
      <c r="N172" s="23"/>
      <c r="O172" s="23"/>
      <c r="P172" s="23"/>
      <c r="Q172" s="23"/>
      <c r="R172" s="23"/>
    </row>
    <row r="173" spans="1:18" x14ac:dyDescent="0.2">
      <c r="A173" s="4">
        <v>49</v>
      </c>
      <c r="B173" s="4">
        <v>1</v>
      </c>
      <c r="C173" s="4">
        <v>30.3</v>
      </c>
      <c r="D173" s="4">
        <v>0</v>
      </c>
      <c r="E173" s="4">
        <v>0</v>
      </c>
      <c r="F173" s="4">
        <v>4</v>
      </c>
      <c r="G173" s="4">
        <v>8116.68</v>
      </c>
      <c r="I173" s="23"/>
      <c r="J173" s="23"/>
      <c r="K173" s="23"/>
      <c r="L173" s="23"/>
      <c r="M173" s="23"/>
      <c r="N173" s="23"/>
      <c r="O173" s="23"/>
      <c r="P173" s="23"/>
      <c r="Q173" s="23"/>
      <c r="R173" s="23"/>
    </row>
    <row r="174" spans="1:18" x14ac:dyDescent="0.2">
      <c r="A174" s="4">
        <v>18</v>
      </c>
      <c r="B174" s="4">
        <v>1</v>
      </c>
      <c r="C174" s="4">
        <v>15.96</v>
      </c>
      <c r="D174" s="4">
        <v>0</v>
      </c>
      <c r="E174" s="4">
        <v>0</v>
      </c>
      <c r="F174" s="4">
        <v>1</v>
      </c>
      <c r="G174" s="4">
        <v>1694.7963999999999</v>
      </c>
      <c r="I174" s="23"/>
      <c r="J174" s="23"/>
      <c r="K174" s="23"/>
      <c r="L174" s="23"/>
      <c r="M174" s="23"/>
      <c r="N174" s="23"/>
      <c r="O174" s="23"/>
      <c r="P174" s="23"/>
      <c r="Q174" s="23"/>
      <c r="R174" s="23"/>
    </row>
    <row r="175" spans="1:18" x14ac:dyDescent="0.2">
      <c r="A175" s="4">
        <v>35</v>
      </c>
      <c r="B175" s="4">
        <v>0</v>
      </c>
      <c r="C175" s="4">
        <v>34.799999999999997</v>
      </c>
      <c r="D175" s="4">
        <v>1</v>
      </c>
      <c r="E175" s="4">
        <v>0</v>
      </c>
      <c r="F175" s="4">
        <v>4</v>
      </c>
      <c r="G175" s="4">
        <v>5246.0469999999996</v>
      </c>
      <c r="I175" s="23"/>
      <c r="J175" s="23"/>
      <c r="K175" s="23"/>
      <c r="L175" s="23"/>
      <c r="M175" s="23"/>
      <c r="N175" s="23"/>
      <c r="O175" s="23"/>
      <c r="P175" s="23"/>
      <c r="Q175" s="23"/>
      <c r="R175" s="23"/>
    </row>
    <row r="176" spans="1:18" x14ac:dyDescent="0.2">
      <c r="A176" s="4">
        <v>24</v>
      </c>
      <c r="B176" s="4">
        <v>0</v>
      </c>
      <c r="C176" s="4">
        <v>33.344999999999999</v>
      </c>
      <c r="D176" s="4">
        <v>0</v>
      </c>
      <c r="E176" s="4">
        <v>0</v>
      </c>
      <c r="F176" s="4">
        <v>3</v>
      </c>
      <c r="G176" s="4">
        <v>2855.4375500000001</v>
      </c>
      <c r="I176" s="23"/>
      <c r="J176" s="23"/>
      <c r="K176" s="23"/>
      <c r="L176" s="23"/>
      <c r="M176" s="23"/>
      <c r="N176" s="23"/>
      <c r="O176" s="23"/>
      <c r="P176" s="23"/>
      <c r="Q176" s="23"/>
      <c r="R176" s="23"/>
    </row>
    <row r="177" spans="1:18" x14ac:dyDescent="0.2">
      <c r="A177" s="4">
        <v>63</v>
      </c>
      <c r="B177" s="4">
        <v>0</v>
      </c>
      <c r="C177" s="4">
        <v>37.700000000000003</v>
      </c>
      <c r="D177" s="4">
        <v>0</v>
      </c>
      <c r="E177" s="4">
        <v>1</v>
      </c>
      <c r="F177" s="4">
        <v>4</v>
      </c>
      <c r="G177" s="4">
        <v>48824.45</v>
      </c>
      <c r="I177" s="23"/>
      <c r="J177" s="23"/>
      <c r="K177" s="23"/>
      <c r="L177" s="23"/>
      <c r="M177" s="23"/>
      <c r="N177" s="23"/>
      <c r="O177" s="23"/>
      <c r="P177" s="23"/>
      <c r="Q177" s="23"/>
      <c r="R177" s="23"/>
    </row>
    <row r="178" spans="1:18" x14ac:dyDescent="0.2">
      <c r="A178" s="4">
        <v>38</v>
      </c>
      <c r="B178" s="4">
        <v>1</v>
      </c>
      <c r="C178" s="4">
        <v>27.835000000000001</v>
      </c>
      <c r="D178" s="4">
        <v>2</v>
      </c>
      <c r="E178" s="4">
        <v>0</v>
      </c>
      <c r="F178" s="4">
        <v>3</v>
      </c>
      <c r="G178" s="4">
        <v>6455.86265</v>
      </c>
      <c r="I178" s="23"/>
      <c r="J178" s="23"/>
      <c r="K178" s="23"/>
      <c r="L178" s="23"/>
      <c r="M178" s="23"/>
      <c r="N178" s="23"/>
      <c r="O178" s="23"/>
      <c r="P178" s="23"/>
      <c r="Q178" s="23"/>
      <c r="R178" s="23"/>
    </row>
    <row r="179" spans="1:18" x14ac:dyDescent="0.2">
      <c r="A179" s="4">
        <v>54</v>
      </c>
      <c r="B179" s="4">
        <v>1</v>
      </c>
      <c r="C179" s="4">
        <v>29.2</v>
      </c>
      <c r="D179" s="4">
        <v>1</v>
      </c>
      <c r="E179" s="4">
        <v>0</v>
      </c>
      <c r="F179" s="4">
        <v>4</v>
      </c>
      <c r="G179" s="4">
        <v>10436.096</v>
      </c>
      <c r="I179" s="23"/>
      <c r="J179" s="23"/>
      <c r="K179" s="23"/>
      <c r="L179" s="23"/>
      <c r="M179" s="23"/>
      <c r="N179" s="23"/>
      <c r="O179" s="23"/>
      <c r="P179" s="23"/>
      <c r="Q179" s="23"/>
      <c r="R179" s="23"/>
    </row>
    <row r="180" spans="1:18" x14ac:dyDescent="0.2">
      <c r="A180" s="4">
        <v>46</v>
      </c>
      <c r="B180" s="4">
        <v>0</v>
      </c>
      <c r="C180" s="4">
        <v>28.9</v>
      </c>
      <c r="D180" s="4">
        <v>2</v>
      </c>
      <c r="E180" s="4">
        <v>0</v>
      </c>
      <c r="F180" s="4">
        <v>4</v>
      </c>
      <c r="G180" s="4">
        <v>8823.2790000000005</v>
      </c>
      <c r="I180" s="23"/>
      <c r="J180" s="23"/>
      <c r="K180" s="23"/>
      <c r="L180" s="23"/>
      <c r="M180" s="23"/>
      <c r="N180" s="23"/>
      <c r="O180" s="23"/>
      <c r="P180" s="23"/>
      <c r="Q180" s="23"/>
      <c r="R180" s="23"/>
    </row>
    <row r="181" spans="1:18" x14ac:dyDescent="0.2">
      <c r="A181" s="4">
        <v>41</v>
      </c>
      <c r="B181" s="4">
        <v>0</v>
      </c>
      <c r="C181" s="4">
        <v>33.155000000000001</v>
      </c>
      <c r="D181" s="4">
        <v>3</v>
      </c>
      <c r="E181" s="4">
        <v>0</v>
      </c>
      <c r="F181" s="4">
        <v>1</v>
      </c>
      <c r="G181" s="4">
        <v>8538.28845</v>
      </c>
      <c r="I181" s="23"/>
      <c r="J181" s="23"/>
      <c r="K181" s="23"/>
      <c r="L181" s="23"/>
      <c r="M181" s="23"/>
      <c r="N181" s="23"/>
      <c r="O181" s="23"/>
      <c r="P181" s="23"/>
      <c r="Q181" s="23"/>
      <c r="R181" s="23"/>
    </row>
    <row r="182" spans="1:18" x14ac:dyDescent="0.2">
      <c r="A182" s="4">
        <v>58</v>
      </c>
      <c r="B182" s="4">
        <v>1</v>
      </c>
      <c r="C182" s="4">
        <v>28.594999999999999</v>
      </c>
      <c r="D182" s="4">
        <v>0</v>
      </c>
      <c r="E182" s="4">
        <v>0</v>
      </c>
      <c r="F182" s="4">
        <v>3</v>
      </c>
      <c r="G182" s="4">
        <v>11735.87905</v>
      </c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1:18" x14ac:dyDescent="0.2">
      <c r="A183" s="4">
        <v>18</v>
      </c>
      <c r="B183" s="4">
        <v>0</v>
      </c>
      <c r="C183" s="4">
        <v>38.28</v>
      </c>
      <c r="D183" s="4">
        <v>0</v>
      </c>
      <c r="E183" s="4">
        <v>0</v>
      </c>
      <c r="F183" s="4">
        <v>2</v>
      </c>
      <c r="G183" s="4">
        <v>1631.8212000000001</v>
      </c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1:18" x14ac:dyDescent="0.2">
      <c r="A184" s="4">
        <v>22</v>
      </c>
      <c r="B184" s="4">
        <v>1</v>
      </c>
      <c r="C184" s="4">
        <v>19.95</v>
      </c>
      <c r="D184" s="4">
        <v>3</v>
      </c>
      <c r="E184" s="4">
        <v>0</v>
      </c>
      <c r="F184" s="4">
        <v>1</v>
      </c>
      <c r="G184" s="4">
        <v>4005.4225000000001</v>
      </c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1:18" x14ac:dyDescent="0.2">
      <c r="A185" s="4">
        <v>44</v>
      </c>
      <c r="B185" s="4">
        <v>0</v>
      </c>
      <c r="C185" s="4">
        <v>26.41</v>
      </c>
      <c r="D185" s="4">
        <v>0</v>
      </c>
      <c r="E185" s="4">
        <v>0</v>
      </c>
      <c r="F185" s="4">
        <v>3</v>
      </c>
      <c r="G185" s="4">
        <v>7419.4778999999999</v>
      </c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18" x14ac:dyDescent="0.2">
      <c r="A186" s="4">
        <v>44</v>
      </c>
      <c r="B186" s="4">
        <v>1</v>
      </c>
      <c r="C186" s="4">
        <v>30.69</v>
      </c>
      <c r="D186" s="4">
        <v>2</v>
      </c>
      <c r="E186" s="4">
        <v>0</v>
      </c>
      <c r="F186" s="4">
        <v>2</v>
      </c>
      <c r="G186" s="4">
        <v>7731.4270999999999</v>
      </c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18" x14ac:dyDescent="0.2">
      <c r="A187" s="4">
        <v>36</v>
      </c>
      <c r="B187" s="4">
        <v>1</v>
      </c>
      <c r="C187" s="4">
        <v>41.895000000000003</v>
      </c>
      <c r="D187" s="4">
        <v>3</v>
      </c>
      <c r="E187" s="4">
        <v>1</v>
      </c>
      <c r="F187" s="4">
        <v>1</v>
      </c>
      <c r="G187" s="4">
        <v>43753.337050000002</v>
      </c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18" x14ac:dyDescent="0.2">
      <c r="A188" s="4">
        <v>26</v>
      </c>
      <c r="B188" s="4">
        <v>0</v>
      </c>
      <c r="C188" s="4">
        <v>29.92</v>
      </c>
      <c r="D188" s="4">
        <v>2</v>
      </c>
      <c r="E188" s="4">
        <v>0</v>
      </c>
      <c r="F188" s="4">
        <v>2</v>
      </c>
      <c r="G188" s="4">
        <v>3981.9767999999999</v>
      </c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18" x14ac:dyDescent="0.2">
      <c r="A189" s="4">
        <v>30</v>
      </c>
      <c r="B189" s="4">
        <v>0</v>
      </c>
      <c r="C189" s="4">
        <v>30.9</v>
      </c>
      <c r="D189" s="4">
        <v>3</v>
      </c>
      <c r="E189" s="4">
        <v>0</v>
      </c>
      <c r="F189" s="4">
        <v>4</v>
      </c>
      <c r="G189" s="4">
        <v>5325.6509999999998</v>
      </c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18" x14ac:dyDescent="0.2">
      <c r="A190" s="4">
        <v>41</v>
      </c>
      <c r="B190" s="4">
        <v>0</v>
      </c>
      <c r="C190" s="4">
        <v>32.200000000000003</v>
      </c>
      <c r="D190" s="4">
        <v>1</v>
      </c>
      <c r="E190" s="4">
        <v>0</v>
      </c>
      <c r="F190" s="4">
        <v>4</v>
      </c>
      <c r="G190" s="4">
        <v>6775.9610000000002</v>
      </c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18" x14ac:dyDescent="0.2">
      <c r="A191" s="4">
        <v>29</v>
      </c>
      <c r="B191" s="4">
        <v>0</v>
      </c>
      <c r="C191" s="4">
        <v>32.11</v>
      </c>
      <c r="D191" s="4">
        <v>2</v>
      </c>
      <c r="E191" s="4">
        <v>0</v>
      </c>
      <c r="F191" s="4">
        <v>3</v>
      </c>
      <c r="G191" s="4">
        <v>4922.9159</v>
      </c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18" x14ac:dyDescent="0.2">
      <c r="A192" s="4">
        <v>61</v>
      </c>
      <c r="B192" s="4">
        <v>1</v>
      </c>
      <c r="C192" s="4">
        <v>31.57</v>
      </c>
      <c r="D192" s="4">
        <v>0</v>
      </c>
      <c r="E192" s="4">
        <v>0</v>
      </c>
      <c r="F192" s="4">
        <v>2</v>
      </c>
      <c r="G192" s="4">
        <v>12557.605299999999</v>
      </c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1:18" x14ac:dyDescent="0.2">
      <c r="A193" s="4">
        <v>36</v>
      </c>
      <c r="B193" s="4">
        <v>0</v>
      </c>
      <c r="C193" s="4">
        <v>26.2</v>
      </c>
      <c r="D193" s="4">
        <v>0</v>
      </c>
      <c r="E193" s="4">
        <v>0</v>
      </c>
      <c r="F193" s="4">
        <v>4</v>
      </c>
      <c r="G193" s="4">
        <v>4883.866</v>
      </c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1:18" x14ac:dyDescent="0.2">
      <c r="A194" s="4">
        <v>25</v>
      </c>
      <c r="B194" s="4">
        <v>1</v>
      </c>
      <c r="C194" s="4">
        <v>25.74</v>
      </c>
      <c r="D194" s="4">
        <v>0</v>
      </c>
      <c r="E194" s="4">
        <v>0</v>
      </c>
      <c r="F194" s="4">
        <v>2</v>
      </c>
      <c r="G194" s="4">
        <v>2137.6536000000001</v>
      </c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1:18" x14ac:dyDescent="0.2">
      <c r="A195" s="4">
        <v>56</v>
      </c>
      <c r="B195" s="4">
        <v>0</v>
      </c>
      <c r="C195" s="4">
        <v>26.6</v>
      </c>
      <c r="D195" s="4">
        <v>1</v>
      </c>
      <c r="E195" s="4">
        <v>0</v>
      </c>
      <c r="F195" s="4">
        <v>3</v>
      </c>
      <c r="G195" s="4">
        <v>12044.342000000001</v>
      </c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1:18" x14ac:dyDescent="0.2">
      <c r="A196" s="4">
        <v>18</v>
      </c>
      <c r="B196" s="4">
        <v>1</v>
      </c>
      <c r="C196" s="4">
        <v>34.43</v>
      </c>
      <c r="D196" s="4">
        <v>0</v>
      </c>
      <c r="E196" s="4">
        <v>0</v>
      </c>
      <c r="F196" s="4">
        <v>2</v>
      </c>
      <c r="G196" s="4">
        <v>1137.4697000000001</v>
      </c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1:18" x14ac:dyDescent="0.2">
      <c r="A197" s="4">
        <v>19</v>
      </c>
      <c r="B197" s="4">
        <v>1</v>
      </c>
      <c r="C197" s="4">
        <v>30.59</v>
      </c>
      <c r="D197" s="4">
        <v>0</v>
      </c>
      <c r="E197" s="4">
        <v>0</v>
      </c>
      <c r="F197" s="4">
        <v>3</v>
      </c>
      <c r="G197" s="4">
        <v>1639.5631000000001</v>
      </c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18" x14ac:dyDescent="0.2">
      <c r="A198" s="4">
        <v>39</v>
      </c>
      <c r="B198" s="4">
        <v>0</v>
      </c>
      <c r="C198" s="4">
        <v>32.799999999999997</v>
      </c>
      <c r="D198" s="4">
        <v>0</v>
      </c>
      <c r="E198" s="4">
        <v>0</v>
      </c>
      <c r="F198" s="4">
        <v>4</v>
      </c>
      <c r="G198" s="4">
        <v>5649.7150000000001</v>
      </c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18" x14ac:dyDescent="0.2">
      <c r="A199" s="4">
        <v>45</v>
      </c>
      <c r="B199" s="4">
        <v>0</v>
      </c>
      <c r="C199" s="4">
        <v>28.6</v>
      </c>
      <c r="D199" s="4">
        <v>2</v>
      </c>
      <c r="E199" s="4">
        <v>0</v>
      </c>
      <c r="F199" s="4">
        <v>2</v>
      </c>
      <c r="G199" s="4">
        <v>8516.8289999999997</v>
      </c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18" x14ac:dyDescent="0.2">
      <c r="A200" s="4">
        <v>51</v>
      </c>
      <c r="B200" s="4">
        <v>0</v>
      </c>
      <c r="C200" s="4">
        <v>18.05</v>
      </c>
      <c r="D200" s="4">
        <v>0</v>
      </c>
      <c r="E200" s="4">
        <v>0</v>
      </c>
      <c r="F200" s="4">
        <v>3</v>
      </c>
      <c r="G200" s="4">
        <v>9644.2525000000005</v>
      </c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18" x14ac:dyDescent="0.2">
      <c r="A201" s="4">
        <v>64</v>
      </c>
      <c r="B201" s="4">
        <v>0</v>
      </c>
      <c r="C201" s="4">
        <v>39.33</v>
      </c>
      <c r="D201" s="4">
        <v>0</v>
      </c>
      <c r="E201" s="4">
        <v>0</v>
      </c>
      <c r="F201" s="4">
        <v>1</v>
      </c>
      <c r="G201" s="4">
        <v>14901.5167</v>
      </c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18" x14ac:dyDescent="0.2">
      <c r="A202" s="4">
        <v>19</v>
      </c>
      <c r="B202" s="4">
        <v>0</v>
      </c>
      <c r="C202" s="4">
        <v>32.11</v>
      </c>
      <c r="D202" s="4">
        <v>0</v>
      </c>
      <c r="E202" s="4">
        <v>0</v>
      </c>
      <c r="F202" s="4">
        <v>3</v>
      </c>
      <c r="G202" s="4">
        <v>2130.6759000000002</v>
      </c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18" x14ac:dyDescent="0.2">
      <c r="A203" s="4">
        <v>48</v>
      </c>
      <c r="B203" s="4">
        <v>0</v>
      </c>
      <c r="C203" s="4">
        <v>32.229999999999997</v>
      </c>
      <c r="D203" s="4">
        <v>1</v>
      </c>
      <c r="E203" s="4">
        <v>0</v>
      </c>
      <c r="F203" s="4">
        <v>2</v>
      </c>
      <c r="G203" s="4">
        <v>8871.1517000000003</v>
      </c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18" x14ac:dyDescent="0.2">
      <c r="A204" s="4">
        <v>60</v>
      </c>
      <c r="B204" s="4">
        <v>0</v>
      </c>
      <c r="C204" s="4">
        <v>24.035</v>
      </c>
      <c r="D204" s="4">
        <v>0</v>
      </c>
      <c r="E204" s="4">
        <v>0</v>
      </c>
      <c r="F204" s="4">
        <v>3</v>
      </c>
      <c r="G204" s="4">
        <v>13012.20865</v>
      </c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18" x14ac:dyDescent="0.2">
      <c r="A205" s="4">
        <v>27</v>
      </c>
      <c r="B205" s="4">
        <v>0</v>
      </c>
      <c r="C205" s="4">
        <v>36.08</v>
      </c>
      <c r="D205" s="4">
        <v>0</v>
      </c>
      <c r="E205" s="4">
        <v>1</v>
      </c>
      <c r="F205" s="4">
        <v>2</v>
      </c>
      <c r="G205" s="4">
        <v>37133.898200000003</v>
      </c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18" x14ac:dyDescent="0.2">
      <c r="A206" s="4">
        <v>46</v>
      </c>
      <c r="B206" s="4">
        <v>1</v>
      </c>
      <c r="C206" s="4">
        <v>22.3</v>
      </c>
      <c r="D206" s="4">
        <v>0</v>
      </c>
      <c r="E206" s="4">
        <v>0</v>
      </c>
      <c r="F206" s="4">
        <v>4</v>
      </c>
      <c r="G206" s="4">
        <v>7147.1049999999996</v>
      </c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18" x14ac:dyDescent="0.2">
      <c r="A207" s="4">
        <v>28</v>
      </c>
      <c r="B207" s="4">
        <v>0</v>
      </c>
      <c r="C207" s="4">
        <v>28.88</v>
      </c>
      <c r="D207" s="4">
        <v>1</v>
      </c>
      <c r="E207" s="4">
        <v>0</v>
      </c>
      <c r="F207" s="4">
        <v>1</v>
      </c>
      <c r="G207" s="4">
        <v>4337.7352000000001</v>
      </c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18" x14ac:dyDescent="0.2">
      <c r="A208" s="4">
        <v>59</v>
      </c>
      <c r="B208" s="4">
        <v>1</v>
      </c>
      <c r="C208" s="4">
        <v>26.4</v>
      </c>
      <c r="D208" s="4">
        <v>0</v>
      </c>
      <c r="E208" s="4">
        <v>0</v>
      </c>
      <c r="F208" s="4">
        <v>2</v>
      </c>
      <c r="G208" s="4">
        <v>11743.299000000001</v>
      </c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1:18" x14ac:dyDescent="0.2">
      <c r="A209" s="4">
        <v>35</v>
      </c>
      <c r="B209" s="4">
        <v>1</v>
      </c>
      <c r="C209" s="4">
        <v>27.74</v>
      </c>
      <c r="D209" s="4">
        <v>2</v>
      </c>
      <c r="E209" s="4">
        <v>1</v>
      </c>
      <c r="F209" s="4">
        <v>1</v>
      </c>
      <c r="G209" s="4">
        <v>20984.0936</v>
      </c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1:18" x14ac:dyDescent="0.2">
      <c r="A210" s="4">
        <v>63</v>
      </c>
      <c r="B210" s="4">
        <v>0</v>
      </c>
      <c r="C210" s="4">
        <v>31.8</v>
      </c>
      <c r="D210" s="4">
        <v>0</v>
      </c>
      <c r="E210" s="4">
        <v>0</v>
      </c>
      <c r="F210" s="4">
        <v>4</v>
      </c>
      <c r="G210" s="4">
        <v>13880.949000000001</v>
      </c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1:18" x14ac:dyDescent="0.2">
      <c r="A211" s="4">
        <v>40</v>
      </c>
      <c r="B211" s="4">
        <v>1</v>
      </c>
      <c r="C211" s="4">
        <v>41.23</v>
      </c>
      <c r="D211" s="4">
        <v>1</v>
      </c>
      <c r="E211" s="4">
        <v>0</v>
      </c>
      <c r="F211" s="4">
        <v>1</v>
      </c>
      <c r="G211" s="4">
        <v>6610.1097</v>
      </c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1:18" x14ac:dyDescent="0.2">
      <c r="A212" s="4">
        <v>20</v>
      </c>
      <c r="B212" s="4">
        <v>1</v>
      </c>
      <c r="C212" s="4">
        <v>33</v>
      </c>
      <c r="D212" s="4">
        <v>1</v>
      </c>
      <c r="E212" s="4">
        <v>0</v>
      </c>
      <c r="F212" s="4">
        <v>4</v>
      </c>
      <c r="G212" s="4">
        <v>1980.07</v>
      </c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1:18" x14ac:dyDescent="0.2">
      <c r="A213" s="4">
        <v>40</v>
      </c>
      <c r="B213" s="4">
        <v>1</v>
      </c>
      <c r="C213" s="4">
        <v>30.875</v>
      </c>
      <c r="D213" s="4">
        <v>4</v>
      </c>
      <c r="E213" s="4">
        <v>0</v>
      </c>
      <c r="F213" s="4">
        <v>3</v>
      </c>
      <c r="G213" s="4">
        <v>8162.7162500000004</v>
      </c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1:18" x14ac:dyDescent="0.2">
      <c r="A214" s="4">
        <v>24</v>
      </c>
      <c r="B214" s="4">
        <v>1</v>
      </c>
      <c r="C214" s="4">
        <v>28.5</v>
      </c>
      <c r="D214" s="4">
        <v>2</v>
      </c>
      <c r="E214" s="4">
        <v>0</v>
      </c>
      <c r="F214" s="4">
        <v>3</v>
      </c>
      <c r="G214" s="4">
        <v>3537.703</v>
      </c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1:18" x14ac:dyDescent="0.2">
      <c r="A215" s="4">
        <v>34</v>
      </c>
      <c r="B215" s="4">
        <v>0</v>
      </c>
      <c r="C215" s="4">
        <v>26.73</v>
      </c>
      <c r="D215" s="4">
        <v>1</v>
      </c>
      <c r="E215" s="4">
        <v>0</v>
      </c>
      <c r="F215" s="4">
        <v>2</v>
      </c>
      <c r="G215" s="4">
        <v>5002.7826999999997</v>
      </c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1:18" x14ac:dyDescent="0.2">
      <c r="A216" s="4">
        <v>45</v>
      </c>
      <c r="B216" s="4">
        <v>0</v>
      </c>
      <c r="C216" s="4">
        <v>30.9</v>
      </c>
      <c r="D216" s="4">
        <v>2</v>
      </c>
      <c r="E216" s="4">
        <v>0</v>
      </c>
      <c r="F216" s="4">
        <v>4</v>
      </c>
      <c r="G216" s="4">
        <v>8520.0259999999998</v>
      </c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1:18" x14ac:dyDescent="0.2">
      <c r="A217" s="4">
        <v>41</v>
      </c>
      <c r="B217" s="4">
        <v>0</v>
      </c>
      <c r="C217" s="4">
        <v>37.1</v>
      </c>
      <c r="D217" s="4">
        <v>2</v>
      </c>
      <c r="E217" s="4">
        <v>0</v>
      </c>
      <c r="F217" s="4">
        <v>4</v>
      </c>
      <c r="G217" s="4">
        <v>7371.7719999999999</v>
      </c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1:18" x14ac:dyDescent="0.2">
      <c r="A218" s="4">
        <v>53</v>
      </c>
      <c r="B218" s="4">
        <v>0</v>
      </c>
      <c r="C218" s="4">
        <v>26.6</v>
      </c>
      <c r="D218" s="4">
        <v>0</v>
      </c>
      <c r="E218" s="4">
        <v>0</v>
      </c>
      <c r="F218" s="4">
        <v>3</v>
      </c>
      <c r="G218" s="4">
        <v>10355.641</v>
      </c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1:18" x14ac:dyDescent="0.2">
      <c r="A219" s="4">
        <v>27</v>
      </c>
      <c r="B219" s="4">
        <v>1</v>
      </c>
      <c r="C219" s="4">
        <v>23.1</v>
      </c>
      <c r="D219" s="4">
        <v>0</v>
      </c>
      <c r="E219" s="4">
        <v>0</v>
      </c>
      <c r="F219" s="4">
        <v>2</v>
      </c>
      <c r="G219" s="4">
        <v>2483.7359999999999</v>
      </c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1:18" x14ac:dyDescent="0.2">
      <c r="A220" s="4">
        <v>26</v>
      </c>
      <c r="B220" s="4">
        <v>0</v>
      </c>
      <c r="C220" s="4">
        <v>29.92</v>
      </c>
      <c r="D220" s="4">
        <v>1</v>
      </c>
      <c r="E220" s="4">
        <v>0</v>
      </c>
      <c r="F220" s="4">
        <v>2</v>
      </c>
      <c r="G220" s="4">
        <v>3392.9767999999999</v>
      </c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1:18" x14ac:dyDescent="0.2">
      <c r="A221" s="4">
        <v>24</v>
      </c>
      <c r="B221" s="4">
        <v>0</v>
      </c>
      <c r="C221" s="4">
        <v>23.21</v>
      </c>
      <c r="D221" s="4">
        <v>0</v>
      </c>
      <c r="E221" s="4">
        <v>0</v>
      </c>
      <c r="F221" s="4">
        <v>2</v>
      </c>
      <c r="G221" s="4">
        <v>25081.76784</v>
      </c>
      <c r="I221" s="23"/>
      <c r="J221" s="23"/>
      <c r="K221" s="23"/>
      <c r="L221" s="23"/>
      <c r="M221" s="23"/>
      <c r="N221" s="23"/>
      <c r="O221" s="23"/>
      <c r="P221" s="23"/>
      <c r="Q221" s="23"/>
      <c r="R221" s="23"/>
    </row>
    <row r="222" spans="1:18" x14ac:dyDescent="0.2">
      <c r="A222" s="4">
        <v>34</v>
      </c>
      <c r="B222" s="4">
        <v>0</v>
      </c>
      <c r="C222" s="4">
        <v>33.700000000000003</v>
      </c>
      <c r="D222" s="4">
        <v>1</v>
      </c>
      <c r="E222" s="4">
        <v>0</v>
      </c>
      <c r="F222" s="4">
        <v>4</v>
      </c>
      <c r="G222" s="4">
        <v>5012.4709999999995</v>
      </c>
      <c r="I222" s="23"/>
      <c r="J222" s="23"/>
      <c r="K222" s="23"/>
      <c r="L222" s="23"/>
      <c r="M222" s="23"/>
      <c r="N222" s="23"/>
      <c r="O222" s="23"/>
      <c r="P222" s="23"/>
      <c r="Q222" s="23"/>
      <c r="R222" s="23"/>
    </row>
    <row r="223" spans="1:18" x14ac:dyDescent="0.2">
      <c r="A223" s="4">
        <v>53</v>
      </c>
      <c r="B223" s="4">
        <v>0</v>
      </c>
      <c r="C223" s="4">
        <v>33.25</v>
      </c>
      <c r="D223" s="4">
        <v>0</v>
      </c>
      <c r="E223" s="4">
        <v>0</v>
      </c>
      <c r="F223" s="4">
        <v>1</v>
      </c>
      <c r="G223" s="4">
        <v>10564.8845</v>
      </c>
      <c r="I223" s="23"/>
      <c r="J223" s="23"/>
      <c r="K223" s="23"/>
      <c r="L223" s="23"/>
      <c r="M223" s="23"/>
      <c r="N223" s="23"/>
      <c r="O223" s="23"/>
      <c r="P223" s="23"/>
      <c r="Q223" s="23"/>
      <c r="R223" s="23"/>
    </row>
    <row r="224" spans="1:18" x14ac:dyDescent="0.2">
      <c r="A224" s="4">
        <v>32</v>
      </c>
      <c r="B224" s="4">
        <v>1</v>
      </c>
      <c r="C224" s="4">
        <v>30.8</v>
      </c>
      <c r="D224" s="4">
        <v>3</v>
      </c>
      <c r="E224" s="4">
        <v>0</v>
      </c>
      <c r="F224" s="4">
        <v>4</v>
      </c>
      <c r="G224" s="4">
        <v>5253.5240000000003</v>
      </c>
      <c r="I224" s="23"/>
      <c r="J224" s="23"/>
      <c r="K224" s="23"/>
      <c r="L224" s="23"/>
      <c r="M224" s="23"/>
      <c r="N224" s="23"/>
      <c r="O224" s="23"/>
      <c r="P224" s="23"/>
      <c r="Q224" s="23"/>
      <c r="R224" s="23"/>
    </row>
    <row r="225" spans="1:18" x14ac:dyDescent="0.2">
      <c r="A225" s="4">
        <v>19</v>
      </c>
      <c r="B225" s="4">
        <v>1</v>
      </c>
      <c r="C225" s="4">
        <v>34.799999999999997</v>
      </c>
      <c r="D225" s="4">
        <v>0</v>
      </c>
      <c r="E225" s="4">
        <v>1</v>
      </c>
      <c r="F225" s="4">
        <v>4</v>
      </c>
      <c r="G225" s="4">
        <v>34779.614999999998</v>
      </c>
      <c r="I225" s="23"/>
      <c r="J225" s="23"/>
      <c r="K225" s="23"/>
      <c r="L225" s="23"/>
      <c r="M225" s="23"/>
      <c r="N225" s="23"/>
      <c r="O225" s="23"/>
      <c r="P225" s="23"/>
      <c r="Q225" s="23"/>
      <c r="R225" s="23"/>
    </row>
    <row r="226" spans="1:18" x14ac:dyDescent="0.2">
      <c r="A226" s="4">
        <v>42</v>
      </c>
      <c r="B226" s="4">
        <v>1</v>
      </c>
      <c r="C226" s="4">
        <v>24.64</v>
      </c>
      <c r="D226" s="4">
        <v>0</v>
      </c>
      <c r="E226" s="4">
        <v>1</v>
      </c>
      <c r="F226" s="4">
        <v>2</v>
      </c>
      <c r="G226" s="4">
        <v>19515.5416</v>
      </c>
      <c r="I226" s="23"/>
      <c r="J226" s="23"/>
      <c r="K226" s="23"/>
      <c r="L226" s="23"/>
      <c r="M226" s="23"/>
      <c r="N226" s="23"/>
      <c r="O226" s="23"/>
      <c r="P226" s="23"/>
      <c r="Q226" s="23"/>
      <c r="R226" s="23"/>
    </row>
    <row r="227" spans="1:18" x14ac:dyDescent="0.2">
      <c r="A227" s="4">
        <v>55</v>
      </c>
      <c r="B227" s="4">
        <v>1</v>
      </c>
      <c r="C227" s="4">
        <v>33.880000000000003</v>
      </c>
      <c r="D227" s="4">
        <v>3</v>
      </c>
      <c r="E227" s="4">
        <v>0</v>
      </c>
      <c r="F227" s="4">
        <v>2</v>
      </c>
      <c r="G227" s="4">
        <v>11987.1682</v>
      </c>
      <c r="I227" s="23"/>
      <c r="J227" s="23"/>
      <c r="K227" s="23"/>
      <c r="L227" s="23"/>
      <c r="M227" s="23"/>
      <c r="N227" s="23"/>
      <c r="O227" s="23"/>
      <c r="P227" s="23"/>
      <c r="Q227" s="23"/>
      <c r="R227" s="23"/>
    </row>
    <row r="228" spans="1:18" x14ac:dyDescent="0.2">
      <c r="A228" s="4">
        <v>28</v>
      </c>
      <c r="B228" s="4">
        <v>1</v>
      </c>
      <c r="C228" s="4">
        <v>38.06</v>
      </c>
      <c r="D228" s="4">
        <v>0</v>
      </c>
      <c r="E228" s="4">
        <v>0</v>
      </c>
      <c r="F228" s="4">
        <v>2</v>
      </c>
      <c r="G228" s="4">
        <v>2689.4953999999998</v>
      </c>
      <c r="I228" s="23"/>
      <c r="J228" s="23"/>
      <c r="K228" s="23"/>
      <c r="L228" s="23"/>
      <c r="M228" s="23"/>
      <c r="N228" s="23"/>
      <c r="O228" s="23"/>
      <c r="P228" s="23"/>
      <c r="Q228" s="23"/>
      <c r="R228" s="23"/>
    </row>
    <row r="229" spans="1:18" x14ac:dyDescent="0.2">
      <c r="A229" s="4">
        <v>58</v>
      </c>
      <c r="B229" s="4">
        <v>0</v>
      </c>
      <c r="C229" s="4">
        <v>41.91</v>
      </c>
      <c r="D229" s="4">
        <v>0</v>
      </c>
      <c r="E229" s="4">
        <v>0</v>
      </c>
      <c r="F229" s="4">
        <v>2</v>
      </c>
      <c r="G229" s="4">
        <v>24227.337240000001</v>
      </c>
      <c r="I229" s="23"/>
      <c r="J229" s="23"/>
      <c r="K229" s="23"/>
      <c r="L229" s="23"/>
      <c r="M229" s="23"/>
      <c r="N229" s="23"/>
      <c r="O229" s="23"/>
      <c r="P229" s="23"/>
      <c r="Q229" s="23"/>
      <c r="R229" s="23"/>
    </row>
    <row r="230" spans="1:18" x14ac:dyDescent="0.2">
      <c r="A230" s="4">
        <v>41</v>
      </c>
      <c r="B230" s="4">
        <v>0</v>
      </c>
      <c r="C230" s="4">
        <v>31.635000000000002</v>
      </c>
      <c r="D230" s="4">
        <v>1</v>
      </c>
      <c r="E230" s="4">
        <v>0</v>
      </c>
      <c r="F230" s="4">
        <v>1</v>
      </c>
      <c r="G230" s="4">
        <v>7358.1756500000001</v>
      </c>
      <c r="I230" s="23"/>
      <c r="J230" s="23"/>
      <c r="K230" s="23"/>
      <c r="L230" s="23"/>
      <c r="M230" s="23"/>
      <c r="N230" s="23"/>
      <c r="O230" s="23"/>
      <c r="P230" s="23"/>
      <c r="Q230" s="23"/>
      <c r="R230" s="23"/>
    </row>
    <row r="231" spans="1:18" x14ac:dyDescent="0.2">
      <c r="A231" s="4">
        <v>47</v>
      </c>
      <c r="B231" s="4">
        <v>1</v>
      </c>
      <c r="C231" s="4">
        <v>25.46</v>
      </c>
      <c r="D231" s="4">
        <v>2</v>
      </c>
      <c r="E231" s="4">
        <v>0</v>
      </c>
      <c r="F231" s="4">
        <v>1</v>
      </c>
      <c r="G231" s="4">
        <v>9225.2564000000002</v>
      </c>
      <c r="I231" s="23"/>
      <c r="J231" s="23"/>
      <c r="K231" s="23"/>
      <c r="L231" s="23"/>
      <c r="M231" s="23"/>
      <c r="N231" s="23"/>
      <c r="O231" s="23"/>
      <c r="P231" s="23"/>
      <c r="Q231" s="23"/>
      <c r="R231" s="23"/>
    </row>
    <row r="232" spans="1:18" x14ac:dyDescent="0.2">
      <c r="A232" s="4">
        <v>42</v>
      </c>
      <c r="B232" s="4">
        <v>0</v>
      </c>
      <c r="C232" s="4">
        <v>36.195</v>
      </c>
      <c r="D232" s="4">
        <v>1</v>
      </c>
      <c r="E232" s="4">
        <v>0</v>
      </c>
      <c r="F232" s="4">
        <v>3</v>
      </c>
      <c r="G232" s="4">
        <v>7443.6430499999997</v>
      </c>
      <c r="I232" s="23"/>
      <c r="J232" s="23"/>
      <c r="K232" s="23"/>
      <c r="L232" s="23"/>
      <c r="M232" s="23"/>
      <c r="N232" s="23"/>
      <c r="O232" s="23"/>
      <c r="P232" s="23"/>
      <c r="Q232" s="23"/>
      <c r="R232" s="23"/>
    </row>
    <row r="233" spans="1:18" x14ac:dyDescent="0.2">
      <c r="A233" s="4">
        <v>59</v>
      </c>
      <c r="B233" s="4">
        <v>0</v>
      </c>
      <c r="C233" s="4">
        <v>27.83</v>
      </c>
      <c r="D233" s="4">
        <v>3</v>
      </c>
      <c r="E233" s="4">
        <v>0</v>
      </c>
      <c r="F233" s="4">
        <v>2</v>
      </c>
      <c r="G233" s="4">
        <v>14001.286700000001</v>
      </c>
      <c r="I233" s="23"/>
      <c r="J233" s="23"/>
      <c r="K233" s="23"/>
      <c r="L233" s="23"/>
      <c r="M233" s="23"/>
      <c r="N233" s="23"/>
      <c r="O233" s="23"/>
      <c r="P233" s="23"/>
      <c r="Q233" s="23"/>
      <c r="R233" s="23"/>
    </row>
    <row r="234" spans="1:18" x14ac:dyDescent="0.2">
      <c r="A234" s="4">
        <v>19</v>
      </c>
      <c r="B234" s="4">
        <v>0</v>
      </c>
      <c r="C234" s="4">
        <v>17.8</v>
      </c>
      <c r="D234" s="4">
        <v>0</v>
      </c>
      <c r="E234" s="4">
        <v>0</v>
      </c>
      <c r="F234" s="4">
        <v>4</v>
      </c>
      <c r="G234" s="4">
        <v>1727.7850000000001</v>
      </c>
      <c r="I234" s="23"/>
      <c r="J234" s="23"/>
      <c r="K234" s="23"/>
      <c r="L234" s="23"/>
      <c r="M234" s="23"/>
      <c r="N234" s="23"/>
      <c r="O234" s="23"/>
      <c r="P234" s="23"/>
      <c r="Q234" s="23"/>
      <c r="R234" s="23"/>
    </row>
    <row r="235" spans="1:18" x14ac:dyDescent="0.2">
      <c r="A235" s="4">
        <v>59</v>
      </c>
      <c r="B235" s="4">
        <v>1</v>
      </c>
      <c r="C235" s="4">
        <v>27.5</v>
      </c>
      <c r="D235" s="4">
        <v>1</v>
      </c>
      <c r="E235" s="4">
        <v>0</v>
      </c>
      <c r="F235" s="4">
        <v>4</v>
      </c>
      <c r="G235" s="4">
        <v>12333.828</v>
      </c>
      <c r="I235" s="23"/>
      <c r="J235" s="23"/>
      <c r="K235" s="23"/>
      <c r="L235" s="23"/>
      <c r="M235" s="23"/>
      <c r="N235" s="23"/>
      <c r="O235" s="23"/>
      <c r="P235" s="23"/>
      <c r="Q235" s="23"/>
      <c r="R235" s="23"/>
    </row>
    <row r="236" spans="1:18" x14ac:dyDescent="0.2">
      <c r="A236" s="4">
        <v>39</v>
      </c>
      <c r="B236" s="4">
        <v>1</v>
      </c>
      <c r="C236" s="4">
        <v>24.51</v>
      </c>
      <c r="D236" s="4">
        <v>2</v>
      </c>
      <c r="E236" s="4">
        <v>0</v>
      </c>
      <c r="F236" s="4">
        <v>3</v>
      </c>
      <c r="G236" s="4">
        <v>6710.1918999999998</v>
      </c>
      <c r="I236" s="23"/>
      <c r="J236" s="23"/>
      <c r="K236" s="23"/>
      <c r="L236" s="23"/>
      <c r="M236" s="23"/>
      <c r="N236" s="23"/>
      <c r="O236" s="23"/>
      <c r="P236" s="23"/>
      <c r="Q236" s="23"/>
      <c r="R236" s="23"/>
    </row>
    <row r="237" spans="1:18" x14ac:dyDescent="0.2">
      <c r="A237" s="4">
        <v>40</v>
      </c>
      <c r="B237" s="4">
        <v>0</v>
      </c>
      <c r="C237" s="4">
        <v>22.22</v>
      </c>
      <c r="D237" s="4">
        <v>2</v>
      </c>
      <c r="E237" s="4">
        <v>1</v>
      </c>
      <c r="F237" s="4">
        <v>2</v>
      </c>
      <c r="G237" s="4">
        <v>19444.265800000001</v>
      </c>
      <c r="I237" s="23"/>
      <c r="J237" s="23"/>
      <c r="K237" s="23"/>
      <c r="L237" s="23"/>
      <c r="M237" s="23"/>
      <c r="N237" s="23"/>
      <c r="O237" s="23"/>
      <c r="P237" s="23"/>
      <c r="Q237" s="23"/>
      <c r="R237" s="23"/>
    </row>
    <row r="238" spans="1:18" x14ac:dyDescent="0.2">
      <c r="A238" s="4">
        <v>18</v>
      </c>
      <c r="B238" s="4">
        <v>0</v>
      </c>
      <c r="C238" s="4">
        <v>26.73</v>
      </c>
      <c r="D238" s="4">
        <v>0</v>
      </c>
      <c r="E238" s="4">
        <v>0</v>
      </c>
      <c r="F238" s="4">
        <v>2</v>
      </c>
      <c r="G238" s="4">
        <v>1615.7666999999999</v>
      </c>
      <c r="I238" s="23"/>
      <c r="J238" s="23"/>
      <c r="K238" s="23"/>
      <c r="L238" s="23"/>
      <c r="M238" s="23"/>
      <c r="N238" s="23"/>
      <c r="O238" s="23"/>
      <c r="P238" s="23"/>
      <c r="Q238" s="23"/>
      <c r="R238" s="23"/>
    </row>
    <row r="239" spans="1:18" x14ac:dyDescent="0.2">
      <c r="A239" s="4">
        <v>31</v>
      </c>
      <c r="B239" s="4">
        <v>1</v>
      </c>
      <c r="C239" s="4">
        <v>38.39</v>
      </c>
      <c r="D239" s="4">
        <v>2</v>
      </c>
      <c r="E239" s="4">
        <v>0</v>
      </c>
      <c r="F239" s="4">
        <v>2</v>
      </c>
      <c r="G239" s="4">
        <v>4463.2051000000001</v>
      </c>
      <c r="I239" s="23"/>
      <c r="J239" s="23"/>
      <c r="K239" s="23"/>
      <c r="L239" s="23"/>
      <c r="M239" s="23"/>
      <c r="N239" s="23"/>
      <c r="O239" s="23"/>
      <c r="P239" s="23"/>
      <c r="Q239" s="23"/>
      <c r="R239" s="23"/>
    </row>
    <row r="240" spans="1:18" x14ac:dyDescent="0.2">
      <c r="A240" s="4">
        <v>19</v>
      </c>
      <c r="B240" s="4">
        <v>1</v>
      </c>
      <c r="C240" s="4">
        <v>29.07</v>
      </c>
      <c r="D240" s="4">
        <v>0</v>
      </c>
      <c r="E240" s="4">
        <v>1</v>
      </c>
      <c r="F240" s="4">
        <v>3</v>
      </c>
      <c r="G240" s="4">
        <v>17352.6803</v>
      </c>
      <c r="I240" s="23"/>
      <c r="J240" s="23"/>
      <c r="K240" s="23"/>
      <c r="L240" s="23"/>
      <c r="M240" s="23"/>
      <c r="N240" s="23"/>
      <c r="O240" s="23"/>
      <c r="P240" s="23"/>
      <c r="Q240" s="23"/>
      <c r="R240" s="23"/>
    </row>
    <row r="241" spans="1:18" x14ac:dyDescent="0.2">
      <c r="A241" s="4">
        <v>44</v>
      </c>
      <c r="B241" s="4">
        <v>1</v>
      </c>
      <c r="C241" s="4">
        <v>38.06</v>
      </c>
      <c r="D241" s="4">
        <v>1</v>
      </c>
      <c r="E241" s="4">
        <v>0</v>
      </c>
      <c r="F241" s="4">
        <v>2</v>
      </c>
      <c r="G241" s="4">
        <v>7152.6714000000002</v>
      </c>
      <c r="I241" s="23"/>
      <c r="J241" s="23"/>
      <c r="K241" s="23"/>
      <c r="L241" s="23"/>
      <c r="M241" s="23"/>
      <c r="N241" s="23"/>
      <c r="O241" s="23"/>
      <c r="P241" s="23"/>
      <c r="Q241" s="23"/>
      <c r="R241" s="23"/>
    </row>
    <row r="242" spans="1:18" x14ac:dyDescent="0.2">
      <c r="A242" s="4">
        <v>23</v>
      </c>
      <c r="B242" s="4">
        <v>0</v>
      </c>
      <c r="C242" s="4">
        <v>36.67</v>
      </c>
      <c r="D242" s="4">
        <v>2</v>
      </c>
      <c r="E242" s="4">
        <v>1</v>
      </c>
      <c r="F242" s="4">
        <v>1</v>
      </c>
      <c r="G242" s="4">
        <v>38511.628299999997</v>
      </c>
      <c r="I242" s="23"/>
      <c r="J242" s="23"/>
      <c r="K242" s="23"/>
      <c r="L242" s="23"/>
      <c r="M242" s="23"/>
      <c r="N242" s="23"/>
      <c r="O242" s="23"/>
      <c r="P242" s="23"/>
      <c r="Q242" s="23"/>
      <c r="R242" s="23"/>
    </row>
    <row r="243" spans="1:18" x14ac:dyDescent="0.2">
      <c r="A243" s="4">
        <v>33</v>
      </c>
      <c r="B243" s="4">
        <v>0</v>
      </c>
      <c r="C243" s="4">
        <v>22.135000000000002</v>
      </c>
      <c r="D243" s="4">
        <v>1</v>
      </c>
      <c r="E243" s="4">
        <v>0</v>
      </c>
      <c r="F243" s="4">
        <v>1</v>
      </c>
      <c r="G243" s="4">
        <v>5354.0746499999996</v>
      </c>
      <c r="I243" s="23"/>
      <c r="J243" s="23"/>
      <c r="K243" s="23"/>
      <c r="L243" s="23"/>
      <c r="M243" s="23"/>
      <c r="N243" s="23"/>
      <c r="O243" s="23"/>
      <c r="P243" s="23"/>
      <c r="Q243" s="23"/>
      <c r="R243" s="23"/>
    </row>
    <row r="244" spans="1:18" x14ac:dyDescent="0.2">
      <c r="A244" s="4">
        <v>55</v>
      </c>
      <c r="B244" s="4">
        <v>0</v>
      </c>
      <c r="C244" s="4">
        <v>26.8</v>
      </c>
      <c r="D244" s="4">
        <v>1</v>
      </c>
      <c r="E244" s="4">
        <v>0</v>
      </c>
      <c r="F244" s="4">
        <v>4</v>
      </c>
      <c r="G244" s="4">
        <v>35160.134570000002</v>
      </c>
      <c r="I244" s="23"/>
      <c r="J244" s="23"/>
      <c r="K244" s="23"/>
      <c r="L244" s="23"/>
      <c r="M244" s="23"/>
      <c r="N244" s="23"/>
      <c r="O244" s="23"/>
      <c r="P244" s="23"/>
      <c r="Q244" s="23"/>
      <c r="R244" s="23"/>
    </row>
    <row r="245" spans="1:18" x14ac:dyDescent="0.2">
      <c r="A245" s="4">
        <v>40</v>
      </c>
      <c r="B245" s="4">
        <v>1</v>
      </c>
      <c r="C245" s="4">
        <v>35.299999999999997</v>
      </c>
      <c r="D245" s="4">
        <v>3</v>
      </c>
      <c r="E245" s="4">
        <v>0</v>
      </c>
      <c r="F245" s="4">
        <v>4</v>
      </c>
      <c r="G245" s="4">
        <v>7196.8670000000002</v>
      </c>
      <c r="I245" s="23"/>
      <c r="J245" s="23"/>
      <c r="K245" s="23"/>
      <c r="L245" s="23"/>
      <c r="M245" s="23"/>
      <c r="N245" s="23"/>
      <c r="O245" s="23"/>
      <c r="P245" s="23"/>
      <c r="Q245" s="23"/>
      <c r="R245" s="23"/>
    </row>
    <row r="246" spans="1:18" x14ac:dyDescent="0.2">
      <c r="A246" s="4">
        <v>63</v>
      </c>
      <c r="B246" s="4">
        <v>0</v>
      </c>
      <c r="C246" s="4">
        <v>27.74</v>
      </c>
      <c r="D246" s="4">
        <v>0</v>
      </c>
      <c r="E246" s="4">
        <v>1</v>
      </c>
      <c r="F246" s="4">
        <v>1</v>
      </c>
      <c r="G246" s="4">
        <v>29523.1656</v>
      </c>
      <c r="I246" s="23"/>
      <c r="J246" s="23"/>
      <c r="K246" s="23"/>
      <c r="L246" s="23"/>
      <c r="M246" s="23"/>
      <c r="N246" s="23"/>
      <c r="O246" s="23"/>
      <c r="P246" s="23"/>
      <c r="Q246" s="23"/>
      <c r="R246" s="23"/>
    </row>
    <row r="247" spans="1:18" x14ac:dyDescent="0.2">
      <c r="A247" s="4">
        <v>54</v>
      </c>
      <c r="B247" s="4">
        <v>1</v>
      </c>
      <c r="C247" s="4">
        <v>30.02</v>
      </c>
      <c r="D247" s="4">
        <v>0</v>
      </c>
      <c r="E247" s="4">
        <v>0</v>
      </c>
      <c r="F247" s="4">
        <v>3</v>
      </c>
      <c r="G247" s="4">
        <v>24476.478510000001</v>
      </c>
      <c r="I247" s="23"/>
      <c r="J247" s="23"/>
      <c r="K247" s="23"/>
      <c r="L247" s="23"/>
      <c r="M247" s="23"/>
      <c r="N247" s="23"/>
      <c r="O247" s="23"/>
      <c r="P247" s="23"/>
      <c r="Q247" s="23"/>
      <c r="R247" s="23"/>
    </row>
    <row r="248" spans="1:18" x14ac:dyDescent="0.2">
      <c r="A248" s="4">
        <v>60</v>
      </c>
      <c r="B248" s="4">
        <v>0</v>
      </c>
      <c r="C248" s="4">
        <v>38.06</v>
      </c>
      <c r="D248" s="4">
        <v>0</v>
      </c>
      <c r="E248" s="4">
        <v>0</v>
      </c>
      <c r="F248" s="4">
        <v>2</v>
      </c>
      <c r="G248" s="4">
        <v>12648.7034</v>
      </c>
      <c r="I248" s="23"/>
      <c r="J248" s="23"/>
      <c r="K248" s="23"/>
      <c r="L248" s="23"/>
      <c r="M248" s="23"/>
      <c r="N248" s="23"/>
      <c r="O248" s="23"/>
      <c r="P248" s="23"/>
      <c r="Q248" s="23"/>
      <c r="R248" s="23"/>
    </row>
    <row r="249" spans="1:18" x14ac:dyDescent="0.2">
      <c r="A249" s="4">
        <v>24</v>
      </c>
      <c r="B249" s="4">
        <v>1</v>
      </c>
      <c r="C249" s="4">
        <v>35.86</v>
      </c>
      <c r="D249" s="4">
        <v>0</v>
      </c>
      <c r="E249" s="4">
        <v>0</v>
      </c>
      <c r="F249" s="4">
        <v>2</v>
      </c>
      <c r="G249" s="4">
        <v>1986.9333999999999</v>
      </c>
      <c r="I249" s="23"/>
      <c r="J249" s="23"/>
      <c r="K249" s="23"/>
      <c r="L249" s="23"/>
      <c r="M249" s="23"/>
      <c r="N249" s="23"/>
      <c r="O249" s="23"/>
      <c r="P249" s="23"/>
      <c r="Q249" s="23"/>
      <c r="R249" s="23"/>
    </row>
    <row r="250" spans="1:18" x14ac:dyDescent="0.2">
      <c r="A250" s="4">
        <v>19</v>
      </c>
      <c r="B250" s="4">
        <v>1</v>
      </c>
      <c r="C250" s="4">
        <v>20.9</v>
      </c>
      <c r="D250" s="4">
        <v>1</v>
      </c>
      <c r="E250" s="4">
        <v>0</v>
      </c>
      <c r="F250" s="4">
        <v>4</v>
      </c>
      <c r="G250" s="4">
        <v>1832.0940000000001</v>
      </c>
      <c r="I250" s="23"/>
      <c r="J250" s="23"/>
      <c r="K250" s="23"/>
      <c r="L250" s="23"/>
      <c r="M250" s="23"/>
      <c r="N250" s="23"/>
      <c r="O250" s="23"/>
      <c r="P250" s="23"/>
      <c r="Q250" s="23"/>
      <c r="R250" s="23"/>
    </row>
    <row r="251" spans="1:18" x14ac:dyDescent="0.2">
      <c r="A251" s="4">
        <v>29</v>
      </c>
      <c r="B251" s="4">
        <v>1</v>
      </c>
      <c r="C251" s="4">
        <v>28.975000000000001</v>
      </c>
      <c r="D251" s="4">
        <v>1</v>
      </c>
      <c r="E251" s="4">
        <v>0</v>
      </c>
      <c r="F251" s="4">
        <v>1</v>
      </c>
      <c r="G251" s="4">
        <v>4040.55825</v>
      </c>
      <c r="I251" s="23"/>
      <c r="J251" s="23"/>
      <c r="K251" s="23"/>
      <c r="L251" s="23"/>
      <c r="M251" s="23"/>
      <c r="N251" s="23"/>
      <c r="O251" s="23"/>
      <c r="P251" s="23"/>
      <c r="Q251" s="23"/>
      <c r="R251" s="23"/>
    </row>
    <row r="252" spans="1:18" x14ac:dyDescent="0.2">
      <c r="A252" s="4">
        <v>18</v>
      </c>
      <c r="B252" s="4">
        <v>1</v>
      </c>
      <c r="C252" s="4">
        <v>17.29</v>
      </c>
      <c r="D252" s="4">
        <v>2</v>
      </c>
      <c r="E252" s="4">
        <v>1</v>
      </c>
      <c r="F252" s="4">
        <v>1</v>
      </c>
      <c r="G252" s="4">
        <v>12829.455099999999</v>
      </c>
      <c r="I252" s="23"/>
      <c r="J252" s="23"/>
      <c r="K252" s="23"/>
      <c r="L252" s="23"/>
      <c r="M252" s="23"/>
      <c r="N252" s="23"/>
      <c r="O252" s="23"/>
      <c r="P252" s="23"/>
      <c r="Q252" s="23"/>
      <c r="R252" s="23"/>
    </row>
    <row r="253" spans="1:18" x14ac:dyDescent="0.2">
      <c r="A253" s="4">
        <v>63</v>
      </c>
      <c r="B253" s="4">
        <v>0</v>
      </c>
      <c r="C253" s="4">
        <v>32.200000000000003</v>
      </c>
      <c r="D253" s="4">
        <v>2</v>
      </c>
      <c r="E253" s="4">
        <v>1</v>
      </c>
      <c r="F253" s="4">
        <v>4</v>
      </c>
      <c r="G253" s="4">
        <v>47305.305</v>
      </c>
      <c r="I253" s="23"/>
      <c r="J253" s="23"/>
      <c r="K253" s="23"/>
      <c r="L253" s="23"/>
      <c r="M253" s="23"/>
      <c r="N253" s="23"/>
      <c r="O253" s="23"/>
      <c r="P253" s="23"/>
      <c r="Q253" s="23"/>
      <c r="R253" s="23"/>
    </row>
    <row r="254" spans="1:18" x14ac:dyDescent="0.2">
      <c r="A254" s="4">
        <v>54</v>
      </c>
      <c r="B254" s="4">
        <v>1</v>
      </c>
      <c r="C254" s="4">
        <v>34.21</v>
      </c>
      <c r="D254" s="4">
        <v>2</v>
      </c>
      <c r="E254" s="4">
        <v>1</v>
      </c>
      <c r="F254" s="4">
        <v>2</v>
      </c>
      <c r="G254" s="4">
        <v>44260.749900000003</v>
      </c>
      <c r="I254" s="23"/>
      <c r="J254" s="23"/>
      <c r="K254" s="23"/>
      <c r="L254" s="23"/>
      <c r="M254" s="23"/>
      <c r="N254" s="23"/>
      <c r="O254" s="23"/>
      <c r="P254" s="23"/>
      <c r="Q254" s="23"/>
      <c r="R254" s="23"/>
    </row>
    <row r="255" spans="1:18" x14ac:dyDescent="0.2">
      <c r="A255" s="4">
        <v>27</v>
      </c>
      <c r="B255" s="4">
        <v>1</v>
      </c>
      <c r="C255" s="4">
        <v>30.3</v>
      </c>
      <c r="D255" s="4">
        <v>3</v>
      </c>
      <c r="E255" s="4">
        <v>0</v>
      </c>
      <c r="F255" s="4">
        <v>4</v>
      </c>
      <c r="G255" s="4">
        <v>4260.7439999999997</v>
      </c>
      <c r="I255" s="23"/>
      <c r="J255" s="23"/>
      <c r="K255" s="23"/>
      <c r="L255" s="23"/>
      <c r="M255" s="23"/>
      <c r="N255" s="23"/>
      <c r="O255" s="23"/>
      <c r="P255" s="23"/>
      <c r="Q255" s="23"/>
      <c r="R255" s="23"/>
    </row>
    <row r="256" spans="1:18" x14ac:dyDescent="0.2">
      <c r="A256" s="4">
        <v>50</v>
      </c>
      <c r="B256" s="4">
        <v>1</v>
      </c>
      <c r="C256" s="4">
        <v>31.824999999999999</v>
      </c>
      <c r="D256" s="4">
        <v>0</v>
      </c>
      <c r="E256" s="4">
        <v>1</v>
      </c>
      <c r="F256" s="4">
        <v>1</v>
      </c>
      <c r="G256" s="4">
        <v>41097.161749999999</v>
      </c>
      <c r="I256" s="23"/>
      <c r="J256" s="23"/>
      <c r="K256" s="23"/>
      <c r="L256" s="23"/>
      <c r="M256" s="23"/>
      <c r="N256" s="23"/>
      <c r="O256" s="23"/>
      <c r="P256" s="23"/>
      <c r="Q256" s="23"/>
      <c r="R256" s="23"/>
    </row>
    <row r="257" spans="1:18" x14ac:dyDescent="0.2">
      <c r="A257" s="4">
        <v>55</v>
      </c>
      <c r="B257" s="4">
        <v>0</v>
      </c>
      <c r="C257" s="4">
        <v>25.364999999999998</v>
      </c>
      <c r="D257" s="4">
        <v>3</v>
      </c>
      <c r="E257" s="4">
        <v>0</v>
      </c>
      <c r="F257" s="4">
        <v>1</v>
      </c>
      <c r="G257" s="4">
        <v>13047.332350000001</v>
      </c>
      <c r="I257" s="23"/>
      <c r="J257" s="23"/>
      <c r="K257" s="23"/>
      <c r="L257" s="23"/>
      <c r="M257" s="23"/>
      <c r="N257" s="23"/>
      <c r="O257" s="23"/>
      <c r="P257" s="23"/>
      <c r="Q257" s="23"/>
      <c r="R257" s="23"/>
    </row>
    <row r="258" spans="1:18" x14ac:dyDescent="0.2">
      <c r="A258" s="4">
        <v>56</v>
      </c>
      <c r="B258" s="4">
        <v>1</v>
      </c>
      <c r="C258" s="4">
        <v>33.630000000000003</v>
      </c>
      <c r="D258" s="4">
        <v>0</v>
      </c>
      <c r="E258" s="4">
        <v>1</v>
      </c>
      <c r="F258" s="4">
        <v>3</v>
      </c>
      <c r="G258" s="4">
        <v>43921.183700000001</v>
      </c>
      <c r="I258" s="23"/>
      <c r="J258" s="23"/>
      <c r="K258" s="23"/>
      <c r="L258" s="23"/>
      <c r="M258" s="23"/>
      <c r="N258" s="23"/>
      <c r="O258" s="23"/>
      <c r="P258" s="23"/>
      <c r="Q258" s="23"/>
      <c r="R258" s="23"/>
    </row>
    <row r="259" spans="1:18" x14ac:dyDescent="0.2">
      <c r="A259" s="4">
        <v>38</v>
      </c>
      <c r="B259" s="4">
        <v>0</v>
      </c>
      <c r="C259" s="4">
        <v>40.15</v>
      </c>
      <c r="D259" s="4">
        <v>0</v>
      </c>
      <c r="E259" s="4">
        <v>0</v>
      </c>
      <c r="F259" s="4">
        <v>2</v>
      </c>
      <c r="G259" s="4">
        <v>5400.9804999999997</v>
      </c>
      <c r="I259" s="23"/>
      <c r="J259" s="23"/>
      <c r="K259" s="23"/>
      <c r="L259" s="23"/>
      <c r="M259" s="23"/>
      <c r="N259" s="23"/>
      <c r="O259" s="23"/>
      <c r="P259" s="23"/>
      <c r="Q259" s="23"/>
      <c r="R259" s="23"/>
    </row>
    <row r="260" spans="1:18" x14ac:dyDescent="0.2">
      <c r="A260" s="4">
        <v>51</v>
      </c>
      <c r="B260" s="4">
        <v>1</v>
      </c>
      <c r="C260" s="4">
        <v>24.414999999999999</v>
      </c>
      <c r="D260" s="4">
        <v>4</v>
      </c>
      <c r="E260" s="4">
        <v>0</v>
      </c>
      <c r="F260" s="4">
        <v>3</v>
      </c>
      <c r="G260" s="4">
        <v>11520.099850000001</v>
      </c>
      <c r="I260" s="23"/>
      <c r="J260" s="23"/>
      <c r="K260" s="23"/>
      <c r="L260" s="23"/>
      <c r="M260" s="23"/>
      <c r="N260" s="23"/>
      <c r="O260" s="23"/>
      <c r="P260" s="23"/>
      <c r="Q260" s="23"/>
      <c r="R260" s="23"/>
    </row>
    <row r="261" spans="1:18" x14ac:dyDescent="0.2">
      <c r="A261" s="4">
        <v>19</v>
      </c>
      <c r="B261" s="4">
        <v>1</v>
      </c>
      <c r="C261" s="4">
        <v>31.92</v>
      </c>
      <c r="D261" s="4">
        <v>0</v>
      </c>
      <c r="E261" s="4">
        <v>1</v>
      </c>
      <c r="F261" s="4">
        <v>3</v>
      </c>
      <c r="G261" s="4">
        <v>33750.291799999999</v>
      </c>
      <c r="I261" s="23"/>
      <c r="J261" s="23"/>
      <c r="K261" s="23"/>
      <c r="L261" s="23"/>
      <c r="M261" s="23"/>
      <c r="N261" s="23"/>
      <c r="O261" s="23"/>
      <c r="P261" s="23"/>
      <c r="Q261" s="23"/>
      <c r="R261" s="23"/>
    </row>
    <row r="262" spans="1:18" x14ac:dyDescent="0.2">
      <c r="A262" s="4">
        <v>58</v>
      </c>
      <c r="B262" s="4">
        <v>0</v>
      </c>
      <c r="C262" s="4">
        <v>25.2</v>
      </c>
      <c r="D262" s="4">
        <v>0</v>
      </c>
      <c r="E262" s="4">
        <v>0</v>
      </c>
      <c r="F262" s="4">
        <v>4</v>
      </c>
      <c r="G262" s="4">
        <v>11837.16</v>
      </c>
      <c r="I262" s="23"/>
      <c r="J262" s="23"/>
      <c r="K262" s="23"/>
      <c r="L262" s="23"/>
      <c r="M262" s="23"/>
      <c r="N262" s="23"/>
      <c r="O262" s="23"/>
      <c r="P262" s="23"/>
      <c r="Q262" s="23"/>
      <c r="R262" s="23"/>
    </row>
    <row r="263" spans="1:18" x14ac:dyDescent="0.2">
      <c r="A263" s="4">
        <v>20</v>
      </c>
      <c r="B263" s="4">
        <v>0</v>
      </c>
      <c r="C263" s="4">
        <v>26.84</v>
      </c>
      <c r="D263" s="4">
        <v>1</v>
      </c>
      <c r="E263" s="4">
        <v>1</v>
      </c>
      <c r="F263" s="4">
        <v>2</v>
      </c>
      <c r="G263" s="4">
        <v>17085.267599999999</v>
      </c>
      <c r="I263" s="23"/>
      <c r="J263" s="23"/>
      <c r="K263" s="23"/>
      <c r="L263" s="23"/>
      <c r="M263" s="23"/>
      <c r="N263" s="23"/>
      <c r="O263" s="23"/>
      <c r="P263" s="23"/>
      <c r="Q263" s="23"/>
      <c r="R263" s="23"/>
    </row>
    <row r="264" spans="1:18" x14ac:dyDescent="0.2">
      <c r="A264" s="4">
        <v>52</v>
      </c>
      <c r="B264" s="4">
        <v>1</v>
      </c>
      <c r="C264" s="4">
        <v>24.32</v>
      </c>
      <c r="D264" s="4">
        <v>3</v>
      </c>
      <c r="E264" s="4">
        <v>1</v>
      </c>
      <c r="F264" s="4">
        <v>1</v>
      </c>
      <c r="G264" s="4">
        <v>24869.836800000001</v>
      </c>
      <c r="I264" s="23"/>
      <c r="J264" s="23"/>
      <c r="K264" s="23"/>
      <c r="L264" s="23"/>
      <c r="M264" s="23"/>
      <c r="N264" s="23"/>
      <c r="O264" s="23"/>
      <c r="P264" s="23"/>
      <c r="Q264" s="23"/>
      <c r="R264" s="23"/>
    </row>
    <row r="265" spans="1:18" x14ac:dyDescent="0.2">
      <c r="A265" s="4">
        <v>19</v>
      </c>
      <c r="B265" s="4">
        <v>1</v>
      </c>
      <c r="C265" s="4">
        <v>36.954999999999998</v>
      </c>
      <c r="D265" s="4">
        <v>0</v>
      </c>
      <c r="E265" s="4">
        <v>1</v>
      </c>
      <c r="F265" s="4">
        <v>3</v>
      </c>
      <c r="G265" s="4">
        <v>36219.405449999998</v>
      </c>
      <c r="I265" s="23"/>
      <c r="J265" s="23"/>
      <c r="K265" s="23"/>
      <c r="L265" s="23"/>
      <c r="M265" s="23"/>
      <c r="N265" s="23"/>
      <c r="O265" s="23"/>
      <c r="P265" s="23"/>
      <c r="Q265" s="23"/>
      <c r="R265" s="23"/>
    </row>
    <row r="266" spans="1:18" x14ac:dyDescent="0.2">
      <c r="A266" s="4">
        <v>53</v>
      </c>
      <c r="B266" s="4">
        <v>0</v>
      </c>
      <c r="C266" s="4">
        <v>38.06</v>
      </c>
      <c r="D266" s="4">
        <v>3</v>
      </c>
      <c r="E266" s="4">
        <v>0</v>
      </c>
      <c r="F266" s="4">
        <v>2</v>
      </c>
      <c r="G266" s="4">
        <v>20462.997660000001</v>
      </c>
      <c r="I266" s="23"/>
      <c r="J266" s="23"/>
      <c r="K266" s="23"/>
      <c r="L266" s="23"/>
      <c r="M266" s="23"/>
      <c r="N266" s="23"/>
      <c r="O266" s="23"/>
      <c r="P266" s="23"/>
      <c r="Q266" s="23"/>
      <c r="R266" s="23"/>
    </row>
    <row r="267" spans="1:18" x14ac:dyDescent="0.2">
      <c r="A267" s="4">
        <v>46</v>
      </c>
      <c r="B267" s="4">
        <v>1</v>
      </c>
      <c r="C267" s="4">
        <v>42.35</v>
      </c>
      <c r="D267" s="4">
        <v>3</v>
      </c>
      <c r="E267" s="4">
        <v>1</v>
      </c>
      <c r="F267" s="4">
        <v>2</v>
      </c>
      <c r="G267" s="4">
        <v>46151.124499999998</v>
      </c>
      <c r="I267" s="23"/>
      <c r="J267" s="23"/>
      <c r="K267" s="23"/>
      <c r="L267" s="23"/>
      <c r="M267" s="23"/>
      <c r="N267" s="23"/>
      <c r="O267" s="23"/>
      <c r="P267" s="23"/>
      <c r="Q267" s="23"/>
      <c r="R267" s="23"/>
    </row>
    <row r="268" spans="1:18" x14ac:dyDescent="0.2">
      <c r="A268" s="4">
        <v>40</v>
      </c>
      <c r="B268" s="4">
        <v>1</v>
      </c>
      <c r="C268" s="4">
        <v>19.8</v>
      </c>
      <c r="D268" s="4">
        <v>1</v>
      </c>
      <c r="E268" s="4">
        <v>1</v>
      </c>
      <c r="F268" s="4">
        <v>2</v>
      </c>
      <c r="G268" s="4">
        <v>17179.522000000001</v>
      </c>
      <c r="I268" s="23"/>
      <c r="J268" s="23"/>
      <c r="K268" s="23"/>
      <c r="L268" s="23"/>
      <c r="M268" s="23"/>
      <c r="N268" s="23"/>
      <c r="O268" s="23"/>
      <c r="P268" s="23"/>
      <c r="Q268" s="23"/>
      <c r="R268" s="23"/>
    </row>
    <row r="269" spans="1:18" x14ac:dyDescent="0.2">
      <c r="A269" s="4">
        <v>59</v>
      </c>
      <c r="B269" s="4">
        <v>0</v>
      </c>
      <c r="C269" s="4">
        <v>32.395000000000003</v>
      </c>
      <c r="D269" s="4">
        <v>3</v>
      </c>
      <c r="E269" s="4">
        <v>0</v>
      </c>
      <c r="F269" s="4">
        <v>1</v>
      </c>
      <c r="G269" s="4">
        <v>14590.63205</v>
      </c>
      <c r="I269" s="23"/>
      <c r="J269" s="23"/>
      <c r="K269" s="23"/>
      <c r="L269" s="23"/>
      <c r="M269" s="23"/>
      <c r="N269" s="23"/>
      <c r="O269" s="23"/>
      <c r="P269" s="23"/>
      <c r="Q269" s="23"/>
      <c r="R269" s="23"/>
    </row>
    <row r="270" spans="1:18" x14ac:dyDescent="0.2">
      <c r="A270" s="4">
        <v>45</v>
      </c>
      <c r="B270" s="4">
        <v>1</v>
      </c>
      <c r="C270" s="4">
        <v>30.2</v>
      </c>
      <c r="D270" s="4">
        <v>1</v>
      </c>
      <c r="E270" s="4">
        <v>0</v>
      </c>
      <c r="F270" s="4">
        <v>4</v>
      </c>
      <c r="G270" s="4">
        <v>7441.0529999999999</v>
      </c>
      <c r="I270" s="23"/>
      <c r="J270" s="23"/>
      <c r="K270" s="23"/>
      <c r="L270" s="23"/>
      <c r="M270" s="23"/>
      <c r="N270" s="23"/>
      <c r="O270" s="23"/>
      <c r="P270" s="23"/>
      <c r="Q270" s="23"/>
      <c r="R270" s="23"/>
    </row>
    <row r="271" spans="1:18" x14ac:dyDescent="0.2">
      <c r="A271" s="4">
        <v>49</v>
      </c>
      <c r="B271" s="4">
        <v>1</v>
      </c>
      <c r="C271" s="4">
        <v>25.84</v>
      </c>
      <c r="D271" s="4">
        <v>1</v>
      </c>
      <c r="E271" s="4">
        <v>0</v>
      </c>
      <c r="F271" s="4">
        <v>1</v>
      </c>
      <c r="G271" s="4">
        <v>9282.4806000000008</v>
      </c>
      <c r="I271" s="23"/>
      <c r="J271" s="23"/>
      <c r="K271" s="23"/>
      <c r="L271" s="23"/>
      <c r="M271" s="23"/>
      <c r="N271" s="23"/>
      <c r="O271" s="23"/>
      <c r="P271" s="23"/>
      <c r="Q271" s="23"/>
      <c r="R271" s="23"/>
    </row>
    <row r="272" spans="1:18" x14ac:dyDescent="0.2">
      <c r="A272" s="4">
        <v>18</v>
      </c>
      <c r="B272" s="4">
        <v>1</v>
      </c>
      <c r="C272" s="4">
        <v>29.37</v>
      </c>
      <c r="D272" s="4">
        <v>1</v>
      </c>
      <c r="E272" s="4">
        <v>0</v>
      </c>
      <c r="F272" s="4">
        <v>2</v>
      </c>
      <c r="G272" s="4">
        <v>1719.4363000000001</v>
      </c>
      <c r="I272" s="23"/>
      <c r="J272" s="23"/>
      <c r="K272" s="23"/>
      <c r="L272" s="23"/>
      <c r="M272" s="23"/>
      <c r="N272" s="23"/>
      <c r="O272" s="23"/>
      <c r="P272" s="23"/>
      <c r="Q272" s="23"/>
      <c r="R272" s="23"/>
    </row>
    <row r="273" spans="1:18" x14ac:dyDescent="0.2">
      <c r="A273" s="4">
        <v>50</v>
      </c>
      <c r="B273" s="4">
        <v>1</v>
      </c>
      <c r="C273" s="4">
        <v>34.200000000000003</v>
      </c>
      <c r="D273" s="4">
        <v>2</v>
      </c>
      <c r="E273" s="4">
        <v>1</v>
      </c>
      <c r="F273" s="4">
        <v>4</v>
      </c>
      <c r="G273" s="4">
        <v>42856.838000000003</v>
      </c>
      <c r="I273" s="23"/>
      <c r="J273" s="23"/>
      <c r="K273" s="23"/>
      <c r="L273" s="23"/>
      <c r="M273" s="23"/>
      <c r="N273" s="23"/>
      <c r="O273" s="23"/>
      <c r="P273" s="23"/>
      <c r="Q273" s="23"/>
      <c r="R273" s="23"/>
    </row>
    <row r="274" spans="1:18" x14ac:dyDescent="0.2">
      <c r="A274" s="4">
        <v>41</v>
      </c>
      <c r="B274" s="4">
        <v>1</v>
      </c>
      <c r="C274" s="4">
        <v>37.049999999999997</v>
      </c>
      <c r="D274" s="4">
        <v>2</v>
      </c>
      <c r="E274" s="4">
        <v>0</v>
      </c>
      <c r="F274" s="4">
        <v>3</v>
      </c>
      <c r="G274" s="4">
        <v>7265.7025000000003</v>
      </c>
      <c r="I274" s="23"/>
      <c r="J274" s="23"/>
      <c r="K274" s="23"/>
      <c r="L274" s="23"/>
      <c r="M274" s="23"/>
      <c r="N274" s="23"/>
      <c r="O274" s="23"/>
      <c r="P274" s="23"/>
      <c r="Q274" s="23"/>
      <c r="R274" s="23"/>
    </row>
    <row r="275" spans="1:18" x14ac:dyDescent="0.2">
      <c r="A275" s="4">
        <v>50</v>
      </c>
      <c r="B275" s="4">
        <v>1</v>
      </c>
      <c r="C275" s="4">
        <v>27.454999999999998</v>
      </c>
      <c r="D275" s="4">
        <v>1</v>
      </c>
      <c r="E275" s="4">
        <v>0</v>
      </c>
      <c r="F275" s="4">
        <v>1</v>
      </c>
      <c r="G275" s="4">
        <v>9617.6624499999998</v>
      </c>
      <c r="I275" s="23"/>
      <c r="J275" s="23"/>
      <c r="K275" s="23"/>
      <c r="L275" s="23"/>
      <c r="M275" s="23"/>
      <c r="N275" s="23"/>
      <c r="O275" s="23"/>
      <c r="P275" s="23"/>
      <c r="Q275" s="23"/>
      <c r="R275" s="23"/>
    </row>
    <row r="276" spans="1:18" x14ac:dyDescent="0.2">
      <c r="A276" s="4">
        <v>25</v>
      </c>
      <c r="B276" s="4">
        <v>1</v>
      </c>
      <c r="C276" s="4">
        <v>27.55</v>
      </c>
      <c r="D276" s="4">
        <v>0</v>
      </c>
      <c r="E276" s="4">
        <v>0</v>
      </c>
      <c r="F276" s="4">
        <v>3</v>
      </c>
      <c r="G276" s="4">
        <v>2523.1695</v>
      </c>
      <c r="I276" s="23"/>
      <c r="J276" s="23"/>
      <c r="K276" s="23"/>
      <c r="L276" s="23"/>
      <c r="M276" s="23"/>
      <c r="N276" s="23"/>
      <c r="O276" s="23"/>
      <c r="P276" s="23"/>
      <c r="Q276" s="23"/>
      <c r="R276" s="23"/>
    </row>
    <row r="277" spans="1:18" x14ac:dyDescent="0.2">
      <c r="A277" s="4">
        <v>47</v>
      </c>
      <c r="B277" s="4">
        <v>0</v>
      </c>
      <c r="C277" s="4">
        <v>26.6</v>
      </c>
      <c r="D277" s="4">
        <v>2</v>
      </c>
      <c r="E277" s="4">
        <v>0</v>
      </c>
      <c r="F277" s="4">
        <v>1</v>
      </c>
      <c r="G277" s="4">
        <v>9715.8410000000003</v>
      </c>
      <c r="I277" s="23"/>
      <c r="J277" s="23"/>
      <c r="K277" s="23"/>
      <c r="L277" s="23"/>
      <c r="M277" s="23"/>
      <c r="N277" s="23"/>
      <c r="O277" s="23"/>
      <c r="P277" s="23"/>
      <c r="Q277" s="23"/>
      <c r="R277" s="23"/>
    </row>
    <row r="278" spans="1:18" x14ac:dyDescent="0.2">
      <c r="A278" s="4">
        <v>19</v>
      </c>
      <c r="B278" s="4">
        <v>1</v>
      </c>
      <c r="C278" s="4">
        <v>20.614999999999998</v>
      </c>
      <c r="D278" s="4">
        <v>2</v>
      </c>
      <c r="E278" s="4">
        <v>0</v>
      </c>
      <c r="F278" s="4">
        <v>3</v>
      </c>
      <c r="G278" s="4">
        <v>2803.69785</v>
      </c>
      <c r="I278" s="23"/>
      <c r="J278" s="23"/>
      <c r="K278" s="23"/>
      <c r="L278" s="23"/>
      <c r="M278" s="23"/>
      <c r="N278" s="23"/>
      <c r="O278" s="23"/>
      <c r="P278" s="23"/>
      <c r="Q278" s="23"/>
      <c r="R278" s="23"/>
    </row>
    <row r="279" spans="1:18" x14ac:dyDescent="0.2">
      <c r="A279" s="4">
        <v>22</v>
      </c>
      <c r="B279" s="4">
        <v>0</v>
      </c>
      <c r="C279" s="4">
        <v>24.3</v>
      </c>
      <c r="D279" s="4">
        <v>0</v>
      </c>
      <c r="E279" s="4">
        <v>0</v>
      </c>
      <c r="F279" s="4">
        <v>4</v>
      </c>
      <c r="G279" s="4">
        <v>2150.4690000000001</v>
      </c>
      <c r="I279" s="23"/>
      <c r="J279" s="23"/>
      <c r="K279" s="23"/>
      <c r="L279" s="23"/>
      <c r="M279" s="23"/>
      <c r="N279" s="23"/>
      <c r="O279" s="23"/>
      <c r="P279" s="23"/>
      <c r="Q279" s="23"/>
      <c r="R279" s="23"/>
    </row>
    <row r="280" spans="1:18" x14ac:dyDescent="0.2">
      <c r="A280" s="4">
        <v>59</v>
      </c>
      <c r="B280" s="4">
        <v>1</v>
      </c>
      <c r="C280" s="4">
        <v>31.79</v>
      </c>
      <c r="D280" s="4">
        <v>2</v>
      </c>
      <c r="E280" s="4">
        <v>0</v>
      </c>
      <c r="F280" s="4">
        <v>2</v>
      </c>
      <c r="G280" s="4">
        <v>12928.7911</v>
      </c>
      <c r="I280" s="23"/>
      <c r="J280" s="23"/>
      <c r="K280" s="23"/>
      <c r="L280" s="23"/>
      <c r="M280" s="23"/>
      <c r="N280" s="23"/>
      <c r="O280" s="23"/>
      <c r="P280" s="23"/>
      <c r="Q280" s="23"/>
      <c r="R280" s="23"/>
    </row>
    <row r="281" spans="1:18" x14ac:dyDescent="0.2">
      <c r="A281" s="4">
        <v>51</v>
      </c>
      <c r="B281" s="4">
        <v>0</v>
      </c>
      <c r="C281" s="4">
        <v>21.56</v>
      </c>
      <c r="D281" s="4">
        <v>1</v>
      </c>
      <c r="E281" s="4">
        <v>0</v>
      </c>
      <c r="F281" s="4">
        <v>2</v>
      </c>
      <c r="G281" s="4">
        <v>9855.1314000000002</v>
      </c>
      <c r="I281" s="23"/>
      <c r="J281" s="23"/>
      <c r="K281" s="23"/>
      <c r="L281" s="23"/>
      <c r="M281" s="23"/>
      <c r="N281" s="23"/>
      <c r="O281" s="23"/>
      <c r="P281" s="23"/>
      <c r="Q281" s="23"/>
      <c r="R281" s="23"/>
    </row>
    <row r="282" spans="1:18" x14ac:dyDescent="0.2">
      <c r="A282" s="4">
        <v>40</v>
      </c>
      <c r="B282" s="4">
        <v>0</v>
      </c>
      <c r="C282" s="4">
        <v>28.12</v>
      </c>
      <c r="D282" s="4">
        <v>1</v>
      </c>
      <c r="E282" s="4">
        <v>1</v>
      </c>
      <c r="F282" s="4">
        <v>1</v>
      </c>
      <c r="G282" s="4">
        <v>22331.566800000001</v>
      </c>
      <c r="I282" s="23"/>
      <c r="J282" s="23"/>
      <c r="K282" s="23"/>
      <c r="L282" s="23"/>
      <c r="M282" s="23"/>
      <c r="N282" s="23"/>
      <c r="O282" s="23"/>
      <c r="P282" s="23"/>
      <c r="Q282" s="23"/>
      <c r="R282" s="23"/>
    </row>
    <row r="283" spans="1:18" x14ac:dyDescent="0.2">
      <c r="A283" s="4">
        <v>54</v>
      </c>
      <c r="B283" s="4">
        <v>1</v>
      </c>
      <c r="C283" s="4">
        <v>40.564999999999998</v>
      </c>
      <c r="D283" s="4">
        <v>3</v>
      </c>
      <c r="E283" s="4">
        <v>1</v>
      </c>
      <c r="F283" s="4">
        <v>1</v>
      </c>
      <c r="G283" s="4">
        <v>48549.178350000002</v>
      </c>
      <c r="I283" s="23"/>
      <c r="J283" s="23"/>
      <c r="K283" s="23"/>
      <c r="L283" s="23"/>
      <c r="M283" s="23"/>
      <c r="N283" s="23"/>
      <c r="O283" s="23"/>
      <c r="P283" s="23"/>
      <c r="Q283" s="23"/>
      <c r="R283" s="23"/>
    </row>
    <row r="284" spans="1:18" x14ac:dyDescent="0.2">
      <c r="A284" s="4">
        <v>30</v>
      </c>
      <c r="B284" s="4">
        <v>1</v>
      </c>
      <c r="C284" s="4">
        <v>27.645</v>
      </c>
      <c r="D284" s="4">
        <v>1</v>
      </c>
      <c r="E284" s="4">
        <v>0</v>
      </c>
      <c r="F284" s="4">
        <v>1</v>
      </c>
      <c r="G284" s="4">
        <v>4237.12655</v>
      </c>
      <c r="I284" s="23"/>
      <c r="J284" s="23"/>
      <c r="K284" s="23"/>
      <c r="L284" s="23"/>
      <c r="M284" s="23"/>
      <c r="N284" s="23"/>
      <c r="O284" s="23"/>
      <c r="P284" s="23"/>
      <c r="Q284" s="23"/>
      <c r="R284" s="23"/>
    </row>
    <row r="285" spans="1:18" x14ac:dyDescent="0.2">
      <c r="A285" s="4">
        <v>55</v>
      </c>
      <c r="B285" s="4">
        <v>0</v>
      </c>
      <c r="C285" s="4">
        <v>32.395000000000003</v>
      </c>
      <c r="D285" s="4">
        <v>1</v>
      </c>
      <c r="E285" s="4">
        <v>0</v>
      </c>
      <c r="F285" s="4">
        <v>1</v>
      </c>
      <c r="G285" s="4">
        <v>11879.10405</v>
      </c>
      <c r="I285" s="23"/>
      <c r="J285" s="23"/>
      <c r="K285" s="23"/>
      <c r="L285" s="23"/>
      <c r="M285" s="23"/>
      <c r="N285" s="23"/>
      <c r="O285" s="23"/>
      <c r="P285" s="23"/>
      <c r="Q285" s="23"/>
      <c r="R285" s="23"/>
    </row>
    <row r="286" spans="1:18" x14ac:dyDescent="0.2">
      <c r="A286" s="4">
        <v>52</v>
      </c>
      <c r="B286" s="4">
        <v>0</v>
      </c>
      <c r="C286" s="4">
        <v>31.2</v>
      </c>
      <c r="D286" s="4">
        <v>0</v>
      </c>
      <c r="E286" s="4">
        <v>0</v>
      </c>
      <c r="F286" s="4">
        <v>4</v>
      </c>
      <c r="G286" s="4">
        <v>9625.92</v>
      </c>
      <c r="I286" s="23"/>
      <c r="J286" s="23"/>
      <c r="K286" s="23"/>
      <c r="L286" s="23"/>
      <c r="M286" s="23"/>
      <c r="N286" s="23"/>
      <c r="O286" s="23"/>
      <c r="P286" s="23"/>
      <c r="Q286" s="23"/>
      <c r="R286" s="23"/>
    </row>
    <row r="287" spans="1:18" x14ac:dyDescent="0.2">
      <c r="A287" s="4">
        <v>46</v>
      </c>
      <c r="B287" s="4">
        <v>1</v>
      </c>
      <c r="C287" s="4">
        <v>26.62</v>
      </c>
      <c r="D287" s="4">
        <v>1</v>
      </c>
      <c r="E287" s="4">
        <v>0</v>
      </c>
      <c r="F287" s="4">
        <v>2</v>
      </c>
      <c r="G287" s="4">
        <v>7742.1098000000002</v>
      </c>
      <c r="I287" s="23"/>
      <c r="J287" s="23"/>
      <c r="K287" s="23"/>
      <c r="L287" s="23"/>
      <c r="M287" s="23"/>
      <c r="N287" s="23"/>
      <c r="O287" s="23"/>
      <c r="P287" s="23"/>
      <c r="Q287" s="23"/>
      <c r="R287" s="23"/>
    </row>
    <row r="288" spans="1:18" x14ac:dyDescent="0.2">
      <c r="A288" s="4">
        <v>46</v>
      </c>
      <c r="B288" s="4">
        <v>0</v>
      </c>
      <c r="C288" s="4">
        <v>48.07</v>
      </c>
      <c r="D288" s="4">
        <v>2</v>
      </c>
      <c r="E288" s="4">
        <v>0</v>
      </c>
      <c r="F288" s="4">
        <v>1</v>
      </c>
      <c r="G288" s="4">
        <v>9432.9253000000008</v>
      </c>
      <c r="I288" s="23"/>
      <c r="J288" s="23"/>
      <c r="K288" s="23"/>
      <c r="L288" s="23"/>
      <c r="M288" s="23"/>
      <c r="N288" s="23"/>
      <c r="O288" s="23"/>
      <c r="P288" s="23"/>
      <c r="Q288" s="23"/>
      <c r="R288" s="23"/>
    </row>
    <row r="289" spans="1:18" x14ac:dyDescent="0.2">
      <c r="A289" s="4">
        <v>63</v>
      </c>
      <c r="B289" s="4">
        <v>0</v>
      </c>
      <c r="C289" s="4">
        <v>26.22</v>
      </c>
      <c r="D289" s="4">
        <v>0</v>
      </c>
      <c r="E289" s="4">
        <v>0</v>
      </c>
      <c r="F289" s="4">
        <v>3</v>
      </c>
      <c r="G289" s="4">
        <v>14256.192800000001</v>
      </c>
      <c r="I289" s="23"/>
      <c r="J289" s="23"/>
      <c r="K289" s="23"/>
      <c r="L289" s="23"/>
      <c r="M289" s="23"/>
      <c r="N289" s="23"/>
      <c r="O289" s="23"/>
      <c r="P289" s="23"/>
      <c r="Q289" s="23"/>
      <c r="R289" s="23"/>
    </row>
    <row r="290" spans="1:18" x14ac:dyDescent="0.2">
      <c r="A290" s="4">
        <v>59</v>
      </c>
      <c r="B290" s="4">
        <v>0</v>
      </c>
      <c r="C290" s="4">
        <v>36.765000000000001</v>
      </c>
      <c r="D290" s="4">
        <v>1</v>
      </c>
      <c r="E290" s="4">
        <v>1</v>
      </c>
      <c r="F290" s="4">
        <v>1</v>
      </c>
      <c r="G290" s="4">
        <v>47896.79135</v>
      </c>
      <c r="I290" s="23"/>
      <c r="J290" s="23"/>
      <c r="K290" s="23"/>
      <c r="L290" s="23"/>
      <c r="M290" s="23"/>
      <c r="N290" s="23"/>
      <c r="O290" s="23"/>
      <c r="P290" s="23"/>
      <c r="Q290" s="23"/>
      <c r="R290" s="23"/>
    </row>
    <row r="291" spans="1:18" x14ac:dyDescent="0.2">
      <c r="A291" s="4">
        <v>52</v>
      </c>
      <c r="B291" s="4">
        <v>1</v>
      </c>
      <c r="C291" s="4">
        <v>26.4</v>
      </c>
      <c r="D291" s="4">
        <v>3</v>
      </c>
      <c r="E291" s="4">
        <v>0</v>
      </c>
      <c r="F291" s="4">
        <v>2</v>
      </c>
      <c r="G291" s="4">
        <v>25992.821039999999</v>
      </c>
      <c r="I291" s="23"/>
      <c r="J291" s="23"/>
      <c r="K291" s="23"/>
      <c r="L291" s="23"/>
      <c r="M291" s="23"/>
      <c r="N291" s="23"/>
      <c r="O291" s="23"/>
      <c r="P291" s="23"/>
      <c r="Q291" s="23"/>
      <c r="R291" s="23"/>
    </row>
    <row r="292" spans="1:18" x14ac:dyDescent="0.2">
      <c r="A292" s="4">
        <v>28</v>
      </c>
      <c r="B292" s="4">
        <v>0</v>
      </c>
      <c r="C292" s="4">
        <v>33.4</v>
      </c>
      <c r="D292" s="4">
        <v>0</v>
      </c>
      <c r="E292" s="4">
        <v>0</v>
      </c>
      <c r="F292" s="4">
        <v>4</v>
      </c>
      <c r="G292" s="4">
        <v>3172.018</v>
      </c>
      <c r="I292" s="23"/>
      <c r="J292" s="23"/>
      <c r="K292" s="23"/>
      <c r="L292" s="23"/>
      <c r="M292" s="23"/>
      <c r="N292" s="23"/>
      <c r="O292" s="23"/>
      <c r="P292" s="23"/>
      <c r="Q292" s="23"/>
      <c r="R292" s="23"/>
    </row>
    <row r="293" spans="1:18" x14ac:dyDescent="0.2">
      <c r="A293" s="4">
        <v>29</v>
      </c>
      <c r="B293" s="4">
        <v>1</v>
      </c>
      <c r="C293" s="4">
        <v>29.64</v>
      </c>
      <c r="D293" s="4">
        <v>1</v>
      </c>
      <c r="E293" s="4">
        <v>0</v>
      </c>
      <c r="F293" s="4">
        <v>1</v>
      </c>
      <c r="G293" s="4">
        <v>20277.807509999999</v>
      </c>
      <c r="I293" s="23"/>
      <c r="J293" s="23"/>
      <c r="K293" s="23"/>
      <c r="L293" s="23"/>
      <c r="M293" s="23"/>
      <c r="N293" s="23"/>
      <c r="O293" s="23"/>
      <c r="P293" s="23"/>
      <c r="Q293" s="23"/>
      <c r="R293" s="23"/>
    </row>
    <row r="294" spans="1:18" x14ac:dyDescent="0.2">
      <c r="A294" s="4">
        <v>25</v>
      </c>
      <c r="B294" s="4">
        <v>1</v>
      </c>
      <c r="C294" s="4">
        <v>45.54</v>
      </c>
      <c r="D294" s="4">
        <v>2</v>
      </c>
      <c r="E294" s="4">
        <v>1</v>
      </c>
      <c r="F294" s="4">
        <v>2</v>
      </c>
      <c r="G294" s="4">
        <v>42112.2356</v>
      </c>
      <c r="I294" s="23"/>
      <c r="J294" s="23"/>
      <c r="K294" s="23"/>
      <c r="L294" s="23"/>
      <c r="M294" s="23"/>
      <c r="N294" s="23"/>
      <c r="O294" s="23"/>
      <c r="P294" s="23"/>
      <c r="Q294" s="23"/>
      <c r="R294" s="23"/>
    </row>
    <row r="295" spans="1:18" x14ac:dyDescent="0.2">
      <c r="A295" s="4">
        <v>22</v>
      </c>
      <c r="B295" s="4">
        <v>0</v>
      </c>
      <c r="C295" s="4">
        <v>28.82</v>
      </c>
      <c r="D295" s="4">
        <v>0</v>
      </c>
      <c r="E295" s="4">
        <v>0</v>
      </c>
      <c r="F295" s="4">
        <v>2</v>
      </c>
      <c r="G295" s="4">
        <v>2156.7518</v>
      </c>
      <c r="I295" s="23"/>
      <c r="J295" s="23"/>
      <c r="K295" s="23"/>
      <c r="L295" s="23"/>
      <c r="M295" s="23"/>
      <c r="N295" s="23"/>
      <c r="O295" s="23"/>
      <c r="P295" s="23"/>
      <c r="Q295" s="23"/>
      <c r="R295" s="23"/>
    </row>
    <row r="296" spans="1:18" x14ac:dyDescent="0.2">
      <c r="A296" s="4">
        <v>25</v>
      </c>
      <c r="B296" s="4">
        <v>1</v>
      </c>
      <c r="C296" s="4">
        <v>26.8</v>
      </c>
      <c r="D296" s="4">
        <v>3</v>
      </c>
      <c r="E296" s="4">
        <v>0</v>
      </c>
      <c r="F296" s="4">
        <v>4</v>
      </c>
      <c r="G296" s="4">
        <v>3906.127</v>
      </c>
      <c r="I296" s="23"/>
      <c r="J296" s="23"/>
      <c r="K296" s="23"/>
      <c r="L296" s="23"/>
      <c r="M296" s="23"/>
      <c r="N296" s="23"/>
      <c r="O296" s="23"/>
      <c r="P296" s="23"/>
      <c r="Q296" s="23"/>
      <c r="R296" s="23"/>
    </row>
    <row r="297" spans="1:18" x14ac:dyDescent="0.2">
      <c r="A297" s="4">
        <v>18</v>
      </c>
      <c r="B297" s="4">
        <v>1</v>
      </c>
      <c r="C297" s="4">
        <v>22.99</v>
      </c>
      <c r="D297" s="4">
        <v>0</v>
      </c>
      <c r="E297" s="4">
        <v>0</v>
      </c>
      <c r="F297" s="4">
        <v>1</v>
      </c>
      <c r="G297" s="4">
        <v>1704.5681</v>
      </c>
      <c r="I297" s="23"/>
      <c r="J297" s="23"/>
      <c r="K297" s="23"/>
      <c r="L297" s="23"/>
      <c r="M297" s="23"/>
      <c r="N297" s="23"/>
      <c r="O297" s="23"/>
      <c r="P297" s="23"/>
      <c r="Q297" s="23"/>
      <c r="R297" s="23"/>
    </row>
    <row r="298" spans="1:18" x14ac:dyDescent="0.2">
      <c r="A298" s="4">
        <v>19</v>
      </c>
      <c r="B298" s="4">
        <v>1</v>
      </c>
      <c r="C298" s="4">
        <v>27.7</v>
      </c>
      <c r="D298" s="4">
        <v>0</v>
      </c>
      <c r="E298" s="4">
        <v>1</v>
      </c>
      <c r="F298" s="4">
        <v>4</v>
      </c>
      <c r="G298" s="4">
        <v>16297.846</v>
      </c>
      <c r="I298" s="23"/>
      <c r="J298" s="23"/>
      <c r="K298" s="23"/>
      <c r="L298" s="23"/>
      <c r="M298" s="23"/>
      <c r="N298" s="23"/>
      <c r="O298" s="23"/>
      <c r="P298" s="23"/>
      <c r="Q298" s="23"/>
      <c r="R298" s="23"/>
    </row>
    <row r="299" spans="1:18" x14ac:dyDescent="0.2">
      <c r="A299" s="4">
        <v>47</v>
      </c>
      <c r="B299" s="4">
        <v>1</v>
      </c>
      <c r="C299" s="4">
        <v>25.41</v>
      </c>
      <c r="D299" s="4">
        <v>1</v>
      </c>
      <c r="E299" s="4">
        <v>1</v>
      </c>
      <c r="F299" s="4">
        <v>2</v>
      </c>
      <c r="G299" s="4">
        <v>21978.676899999999</v>
      </c>
      <c r="I299" s="23"/>
      <c r="J299" s="23"/>
      <c r="K299" s="23"/>
      <c r="L299" s="23"/>
      <c r="M299" s="23"/>
      <c r="N299" s="23"/>
      <c r="O299" s="23"/>
      <c r="P299" s="23"/>
      <c r="Q299" s="23"/>
      <c r="R299" s="23"/>
    </row>
    <row r="300" spans="1:18" x14ac:dyDescent="0.2">
      <c r="A300" s="4">
        <v>31</v>
      </c>
      <c r="B300" s="4">
        <v>1</v>
      </c>
      <c r="C300" s="4">
        <v>34.39</v>
      </c>
      <c r="D300" s="4">
        <v>3</v>
      </c>
      <c r="E300" s="4">
        <v>1</v>
      </c>
      <c r="F300" s="4">
        <v>3</v>
      </c>
      <c r="G300" s="4">
        <v>38746.355100000001</v>
      </c>
      <c r="I300" s="23"/>
      <c r="J300" s="23"/>
      <c r="K300" s="23"/>
      <c r="L300" s="23"/>
      <c r="M300" s="23"/>
      <c r="N300" s="23"/>
      <c r="O300" s="23"/>
      <c r="P300" s="23"/>
      <c r="Q300" s="23"/>
      <c r="R300" s="23"/>
    </row>
    <row r="301" spans="1:18" x14ac:dyDescent="0.2">
      <c r="A301" s="4">
        <v>48</v>
      </c>
      <c r="B301" s="4">
        <v>0</v>
      </c>
      <c r="C301" s="4">
        <v>28.88</v>
      </c>
      <c r="D301" s="4">
        <v>1</v>
      </c>
      <c r="E301" s="4">
        <v>0</v>
      </c>
      <c r="F301" s="4">
        <v>3</v>
      </c>
      <c r="G301" s="4">
        <v>9249.4951999999994</v>
      </c>
      <c r="I301" s="23"/>
      <c r="J301" s="23"/>
      <c r="K301" s="23"/>
      <c r="L301" s="23"/>
      <c r="M301" s="23"/>
      <c r="N301" s="23"/>
      <c r="O301" s="23"/>
      <c r="P301" s="23"/>
      <c r="Q301" s="23"/>
      <c r="R301" s="23"/>
    </row>
    <row r="302" spans="1:18" x14ac:dyDescent="0.2">
      <c r="A302" s="4">
        <v>36</v>
      </c>
      <c r="B302" s="4">
        <v>1</v>
      </c>
      <c r="C302" s="4">
        <v>27.55</v>
      </c>
      <c r="D302" s="4">
        <v>3</v>
      </c>
      <c r="E302" s="4">
        <v>0</v>
      </c>
      <c r="F302" s="4">
        <v>1</v>
      </c>
      <c r="G302" s="4">
        <v>6746.7425000000003</v>
      </c>
      <c r="I302" s="23"/>
      <c r="J302" s="23"/>
      <c r="K302" s="23"/>
      <c r="L302" s="23"/>
      <c r="M302" s="23"/>
      <c r="N302" s="23"/>
      <c r="O302" s="23"/>
      <c r="P302" s="23"/>
      <c r="Q302" s="23"/>
      <c r="R302" s="23"/>
    </row>
    <row r="303" spans="1:18" x14ac:dyDescent="0.2">
      <c r="A303" s="4">
        <v>53</v>
      </c>
      <c r="B303" s="4">
        <v>0</v>
      </c>
      <c r="C303" s="4">
        <v>22.61</v>
      </c>
      <c r="D303" s="4">
        <v>3</v>
      </c>
      <c r="E303" s="4">
        <v>1</v>
      </c>
      <c r="F303" s="4">
        <v>1</v>
      </c>
      <c r="G303" s="4">
        <v>24873.384900000001</v>
      </c>
      <c r="I303" s="23"/>
      <c r="J303" s="23"/>
      <c r="K303" s="23"/>
      <c r="L303" s="23"/>
      <c r="M303" s="23"/>
      <c r="N303" s="23"/>
      <c r="O303" s="23"/>
      <c r="P303" s="23"/>
      <c r="Q303" s="23"/>
      <c r="R303" s="23"/>
    </row>
    <row r="304" spans="1:18" x14ac:dyDescent="0.2">
      <c r="A304" s="4">
        <v>56</v>
      </c>
      <c r="B304" s="4">
        <v>0</v>
      </c>
      <c r="C304" s="4">
        <v>37.51</v>
      </c>
      <c r="D304" s="4">
        <v>2</v>
      </c>
      <c r="E304" s="4">
        <v>0</v>
      </c>
      <c r="F304" s="4">
        <v>2</v>
      </c>
      <c r="G304" s="4">
        <v>12265.5069</v>
      </c>
      <c r="I304" s="23"/>
      <c r="J304" s="23"/>
      <c r="K304" s="23"/>
      <c r="L304" s="23"/>
      <c r="M304" s="23"/>
      <c r="N304" s="23"/>
      <c r="O304" s="23"/>
      <c r="P304" s="23"/>
      <c r="Q304" s="23"/>
      <c r="R304" s="23"/>
    </row>
    <row r="305" spans="1:18" x14ac:dyDescent="0.2">
      <c r="A305" s="4">
        <v>28</v>
      </c>
      <c r="B305" s="4">
        <v>0</v>
      </c>
      <c r="C305" s="4">
        <v>33</v>
      </c>
      <c r="D305" s="4">
        <v>2</v>
      </c>
      <c r="E305" s="4">
        <v>0</v>
      </c>
      <c r="F305" s="4">
        <v>2</v>
      </c>
      <c r="G305" s="4">
        <v>4349.4620000000004</v>
      </c>
      <c r="I305" s="23"/>
      <c r="J305" s="23"/>
      <c r="K305" s="23"/>
      <c r="L305" s="23"/>
      <c r="M305" s="23"/>
      <c r="N305" s="23"/>
      <c r="O305" s="23"/>
      <c r="P305" s="23"/>
      <c r="Q305" s="23"/>
      <c r="R305" s="23"/>
    </row>
    <row r="306" spans="1:18" x14ac:dyDescent="0.2">
      <c r="A306" s="4">
        <v>57</v>
      </c>
      <c r="B306" s="4">
        <v>0</v>
      </c>
      <c r="C306" s="4">
        <v>38</v>
      </c>
      <c r="D306" s="4">
        <v>2</v>
      </c>
      <c r="E306" s="4">
        <v>0</v>
      </c>
      <c r="F306" s="4">
        <v>4</v>
      </c>
      <c r="G306" s="4">
        <v>12646.207</v>
      </c>
      <c r="I306" s="23"/>
      <c r="J306" s="23"/>
      <c r="K306" s="23"/>
      <c r="L306" s="23"/>
      <c r="M306" s="23"/>
      <c r="N306" s="23"/>
      <c r="O306" s="23"/>
      <c r="P306" s="23"/>
      <c r="Q306" s="23"/>
      <c r="R306" s="23"/>
    </row>
    <row r="307" spans="1:18" x14ac:dyDescent="0.2">
      <c r="A307" s="4">
        <v>29</v>
      </c>
      <c r="B307" s="4">
        <v>1</v>
      </c>
      <c r="C307" s="4">
        <v>33.344999999999999</v>
      </c>
      <c r="D307" s="4">
        <v>2</v>
      </c>
      <c r="E307" s="4">
        <v>0</v>
      </c>
      <c r="F307" s="4">
        <v>3</v>
      </c>
      <c r="G307" s="4">
        <v>19442.353500000001</v>
      </c>
      <c r="I307" s="23"/>
      <c r="J307" s="23"/>
      <c r="K307" s="23"/>
      <c r="L307" s="23"/>
      <c r="M307" s="23"/>
      <c r="N307" s="23"/>
      <c r="O307" s="23"/>
      <c r="P307" s="23"/>
      <c r="Q307" s="23"/>
      <c r="R307" s="23"/>
    </row>
    <row r="308" spans="1:18" x14ac:dyDescent="0.2">
      <c r="A308" s="4">
        <v>28</v>
      </c>
      <c r="B308" s="4">
        <v>0</v>
      </c>
      <c r="C308" s="4">
        <v>27.5</v>
      </c>
      <c r="D308" s="4">
        <v>2</v>
      </c>
      <c r="E308" s="4">
        <v>0</v>
      </c>
      <c r="F308" s="4">
        <v>4</v>
      </c>
      <c r="G308" s="4">
        <v>20177.671129999999</v>
      </c>
      <c r="I308" s="23"/>
      <c r="J308" s="23"/>
      <c r="K308" s="23"/>
      <c r="L308" s="23"/>
      <c r="M308" s="23"/>
      <c r="N308" s="23"/>
      <c r="O308" s="23"/>
      <c r="P308" s="23"/>
      <c r="Q308" s="23"/>
      <c r="R308" s="23"/>
    </row>
    <row r="309" spans="1:18" x14ac:dyDescent="0.2">
      <c r="A309" s="4">
        <v>30</v>
      </c>
      <c r="B309" s="4">
        <v>0</v>
      </c>
      <c r="C309" s="4">
        <v>33.33</v>
      </c>
      <c r="D309" s="4">
        <v>1</v>
      </c>
      <c r="E309" s="4">
        <v>0</v>
      </c>
      <c r="F309" s="4">
        <v>2</v>
      </c>
      <c r="G309" s="4">
        <v>4151.0286999999998</v>
      </c>
      <c r="I309" s="23"/>
      <c r="J309" s="23"/>
      <c r="K309" s="23"/>
      <c r="L309" s="23"/>
      <c r="M309" s="23"/>
      <c r="N309" s="23"/>
      <c r="O309" s="23"/>
      <c r="P309" s="23"/>
      <c r="Q309" s="23"/>
      <c r="R309" s="23"/>
    </row>
    <row r="310" spans="1:18" x14ac:dyDescent="0.2">
      <c r="A310" s="4">
        <v>58</v>
      </c>
      <c r="B310" s="4">
        <v>1</v>
      </c>
      <c r="C310" s="4">
        <v>34.865000000000002</v>
      </c>
      <c r="D310" s="4">
        <v>0</v>
      </c>
      <c r="E310" s="4">
        <v>0</v>
      </c>
      <c r="F310" s="4">
        <v>1</v>
      </c>
      <c r="G310" s="4">
        <v>11944.594349999999</v>
      </c>
      <c r="I310" s="23"/>
      <c r="J310" s="23"/>
      <c r="K310" s="23"/>
      <c r="L310" s="23"/>
      <c r="M310" s="23"/>
      <c r="N310" s="23"/>
      <c r="O310" s="23"/>
      <c r="P310" s="23"/>
      <c r="Q310" s="23"/>
      <c r="R310" s="23"/>
    </row>
    <row r="311" spans="1:18" x14ac:dyDescent="0.2">
      <c r="A311" s="4">
        <v>41</v>
      </c>
      <c r="B311" s="4">
        <v>0</v>
      </c>
      <c r="C311" s="4">
        <v>33.06</v>
      </c>
      <c r="D311" s="4">
        <v>2</v>
      </c>
      <c r="E311" s="4">
        <v>0</v>
      </c>
      <c r="F311" s="4">
        <v>3</v>
      </c>
      <c r="G311" s="4">
        <v>7749.1563999999998</v>
      </c>
      <c r="I311" s="23"/>
      <c r="J311" s="23"/>
      <c r="K311" s="23"/>
      <c r="L311" s="23"/>
      <c r="M311" s="23"/>
      <c r="N311" s="23"/>
      <c r="O311" s="23"/>
      <c r="P311" s="23"/>
      <c r="Q311" s="23"/>
      <c r="R311" s="23"/>
    </row>
    <row r="312" spans="1:18" x14ac:dyDescent="0.2">
      <c r="A312" s="4">
        <v>50</v>
      </c>
      <c r="B312" s="4">
        <v>1</v>
      </c>
      <c r="C312" s="4">
        <v>26.6</v>
      </c>
      <c r="D312" s="4">
        <v>0</v>
      </c>
      <c r="E312" s="4">
        <v>0</v>
      </c>
      <c r="F312" s="4">
        <v>4</v>
      </c>
      <c r="G312" s="4">
        <v>8444.4740000000002</v>
      </c>
      <c r="I312" s="23"/>
      <c r="J312" s="23"/>
      <c r="K312" s="23"/>
      <c r="L312" s="23"/>
      <c r="M312" s="23"/>
      <c r="N312" s="23"/>
      <c r="O312" s="23"/>
      <c r="P312" s="23"/>
      <c r="Q312" s="23"/>
      <c r="R312" s="23"/>
    </row>
    <row r="313" spans="1:18" x14ac:dyDescent="0.2">
      <c r="A313" s="4">
        <v>19</v>
      </c>
      <c r="B313" s="4">
        <v>0</v>
      </c>
      <c r="C313" s="4">
        <v>24.7</v>
      </c>
      <c r="D313" s="4">
        <v>0</v>
      </c>
      <c r="E313" s="4">
        <v>0</v>
      </c>
      <c r="F313" s="4">
        <v>4</v>
      </c>
      <c r="G313" s="4">
        <v>1737.376</v>
      </c>
      <c r="I313" s="23"/>
      <c r="J313" s="23"/>
      <c r="K313" s="23"/>
      <c r="L313" s="23"/>
      <c r="M313" s="23"/>
      <c r="N313" s="23"/>
      <c r="O313" s="23"/>
      <c r="P313" s="23"/>
      <c r="Q313" s="23"/>
      <c r="R313" s="23"/>
    </row>
    <row r="314" spans="1:18" x14ac:dyDescent="0.2">
      <c r="A314" s="4">
        <v>43</v>
      </c>
      <c r="B314" s="4">
        <v>1</v>
      </c>
      <c r="C314" s="4">
        <v>35.97</v>
      </c>
      <c r="D314" s="4">
        <v>3</v>
      </c>
      <c r="E314" s="4">
        <v>1</v>
      </c>
      <c r="F314" s="4">
        <v>2</v>
      </c>
      <c r="G314" s="4">
        <v>42124.515299999999</v>
      </c>
      <c r="I314" s="23"/>
      <c r="J314" s="23"/>
      <c r="K314" s="23"/>
      <c r="L314" s="23"/>
      <c r="M314" s="23"/>
      <c r="N314" s="23"/>
      <c r="O314" s="23"/>
      <c r="P314" s="23"/>
      <c r="Q314" s="23"/>
      <c r="R314" s="23"/>
    </row>
    <row r="315" spans="1:18" x14ac:dyDescent="0.2">
      <c r="A315" s="4">
        <v>49</v>
      </c>
      <c r="B315" s="4">
        <v>1</v>
      </c>
      <c r="C315" s="4">
        <v>35.86</v>
      </c>
      <c r="D315" s="4">
        <v>0</v>
      </c>
      <c r="E315" s="4">
        <v>0</v>
      </c>
      <c r="F315" s="4">
        <v>2</v>
      </c>
      <c r="G315" s="4">
        <v>8124.4084000000003</v>
      </c>
      <c r="I315" s="23"/>
      <c r="J315" s="23"/>
      <c r="K315" s="23"/>
      <c r="L315" s="23"/>
      <c r="M315" s="23"/>
      <c r="N315" s="23"/>
      <c r="O315" s="23"/>
      <c r="P315" s="23"/>
      <c r="Q315" s="23"/>
      <c r="R315" s="23"/>
    </row>
    <row r="316" spans="1:18" x14ac:dyDescent="0.2">
      <c r="A316" s="4">
        <v>27</v>
      </c>
      <c r="B316" s="4">
        <v>0</v>
      </c>
      <c r="C316" s="4">
        <v>31.4</v>
      </c>
      <c r="D316" s="4">
        <v>0</v>
      </c>
      <c r="E316" s="4">
        <v>1</v>
      </c>
      <c r="F316" s="4">
        <v>4</v>
      </c>
      <c r="G316" s="4">
        <v>34838.873</v>
      </c>
      <c r="I316" s="23"/>
      <c r="J316" s="23"/>
      <c r="K316" s="23"/>
      <c r="L316" s="23"/>
      <c r="M316" s="23"/>
      <c r="N316" s="23"/>
      <c r="O316" s="23"/>
      <c r="P316" s="23"/>
      <c r="Q316" s="23"/>
      <c r="R316" s="23"/>
    </row>
    <row r="317" spans="1:18" x14ac:dyDescent="0.2">
      <c r="A317" s="4">
        <v>52</v>
      </c>
      <c r="B317" s="4">
        <v>1</v>
      </c>
      <c r="C317" s="4">
        <v>33.25</v>
      </c>
      <c r="D317" s="4">
        <v>0</v>
      </c>
      <c r="E317" s="4">
        <v>0</v>
      </c>
      <c r="F317" s="4">
        <v>1</v>
      </c>
      <c r="G317" s="4">
        <v>9722.7695000000003</v>
      </c>
      <c r="I317" s="23"/>
      <c r="J317" s="23"/>
      <c r="K317" s="23"/>
      <c r="L317" s="23"/>
      <c r="M317" s="23"/>
      <c r="N317" s="23"/>
      <c r="O317" s="23"/>
      <c r="P317" s="23"/>
      <c r="Q317" s="23"/>
      <c r="R317" s="23"/>
    </row>
    <row r="318" spans="1:18" x14ac:dyDescent="0.2">
      <c r="A318" s="4">
        <v>50</v>
      </c>
      <c r="B318" s="4">
        <v>1</v>
      </c>
      <c r="C318" s="4">
        <v>32.204999999999998</v>
      </c>
      <c r="D318" s="4">
        <v>0</v>
      </c>
      <c r="E318" s="4">
        <v>0</v>
      </c>
      <c r="F318" s="4">
        <v>3</v>
      </c>
      <c r="G318" s="4">
        <v>8835.2649500000007</v>
      </c>
      <c r="I318" s="23"/>
      <c r="J318" s="23"/>
      <c r="K318" s="23"/>
      <c r="L318" s="23"/>
      <c r="M318" s="23"/>
      <c r="N318" s="23"/>
      <c r="O318" s="23"/>
      <c r="P318" s="23"/>
      <c r="Q318" s="23"/>
      <c r="R318" s="23"/>
    </row>
    <row r="319" spans="1:18" x14ac:dyDescent="0.2">
      <c r="A319" s="4">
        <v>54</v>
      </c>
      <c r="B319" s="4">
        <v>1</v>
      </c>
      <c r="C319" s="4">
        <v>32.774999999999999</v>
      </c>
      <c r="D319" s="4">
        <v>0</v>
      </c>
      <c r="E319" s="4">
        <v>0</v>
      </c>
      <c r="F319" s="4">
        <v>1</v>
      </c>
      <c r="G319" s="4">
        <v>10435.06525</v>
      </c>
      <c r="I319" s="23"/>
      <c r="J319" s="23"/>
      <c r="K319" s="23"/>
      <c r="L319" s="23"/>
      <c r="M319" s="23"/>
      <c r="N319" s="23"/>
      <c r="O319" s="23"/>
      <c r="P319" s="23"/>
      <c r="Q319" s="23"/>
      <c r="R319" s="23"/>
    </row>
    <row r="320" spans="1:18" x14ac:dyDescent="0.2">
      <c r="A320" s="4">
        <v>44</v>
      </c>
      <c r="B320" s="4">
        <v>0</v>
      </c>
      <c r="C320" s="4">
        <v>27.645</v>
      </c>
      <c r="D320" s="4">
        <v>0</v>
      </c>
      <c r="E320" s="4">
        <v>0</v>
      </c>
      <c r="F320" s="4">
        <v>3</v>
      </c>
      <c r="G320" s="4">
        <v>7421.1945500000002</v>
      </c>
      <c r="I320" s="23"/>
      <c r="J320" s="23"/>
      <c r="K320" s="23"/>
      <c r="L320" s="23"/>
      <c r="M320" s="23"/>
      <c r="N320" s="23"/>
      <c r="O320" s="23"/>
      <c r="P320" s="23"/>
      <c r="Q320" s="23"/>
      <c r="R320" s="23"/>
    </row>
    <row r="321" spans="1:18" x14ac:dyDescent="0.2">
      <c r="A321" s="4">
        <v>32</v>
      </c>
      <c r="B321" s="4">
        <v>1</v>
      </c>
      <c r="C321" s="4">
        <v>37.335000000000001</v>
      </c>
      <c r="D321" s="4">
        <v>1</v>
      </c>
      <c r="E321" s="4">
        <v>0</v>
      </c>
      <c r="F321" s="4">
        <v>1</v>
      </c>
      <c r="G321" s="4">
        <v>4667.6076499999999</v>
      </c>
      <c r="I321" s="23"/>
      <c r="J321" s="23"/>
      <c r="K321" s="23"/>
      <c r="L321" s="23"/>
      <c r="M321" s="23"/>
      <c r="N321" s="23"/>
      <c r="O321" s="23"/>
      <c r="P321" s="23"/>
      <c r="Q321" s="23"/>
      <c r="R321" s="23"/>
    </row>
    <row r="322" spans="1:18" x14ac:dyDescent="0.2">
      <c r="A322" s="4">
        <v>34</v>
      </c>
      <c r="B322" s="4">
        <v>1</v>
      </c>
      <c r="C322" s="4">
        <v>25.27</v>
      </c>
      <c r="D322" s="4">
        <v>1</v>
      </c>
      <c r="E322" s="4">
        <v>0</v>
      </c>
      <c r="F322" s="4">
        <v>3</v>
      </c>
      <c r="G322" s="4">
        <v>4894.7533000000003</v>
      </c>
      <c r="I322" s="23"/>
      <c r="J322" s="23"/>
      <c r="K322" s="23"/>
      <c r="L322" s="23"/>
      <c r="M322" s="23"/>
      <c r="N322" s="23"/>
      <c r="O322" s="23"/>
      <c r="P322" s="23"/>
      <c r="Q322" s="23"/>
      <c r="R322" s="23"/>
    </row>
    <row r="323" spans="1:18" x14ac:dyDescent="0.2">
      <c r="A323" s="4">
        <v>26</v>
      </c>
      <c r="B323" s="4">
        <v>0</v>
      </c>
      <c r="C323" s="4">
        <v>29.64</v>
      </c>
      <c r="D323" s="4">
        <v>4</v>
      </c>
      <c r="E323" s="4">
        <v>0</v>
      </c>
      <c r="F323" s="4">
        <v>1</v>
      </c>
      <c r="G323" s="4">
        <v>24671.663339999999</v>
      </c>
      <c r="I323" s="23"/>
      <c r="J323" s="23"/>
      <c r="K323" s="23"/>
      <c r="L323" s="23"/>
      <c r="M323" s="23"/>
      <c r="N323" s="23"/>
      <c r="O323" s="23"/>
      <c r="P323" s="23"/>
      <c r="Q323" s="23"/>
      <c r="R323" s="23"/>
    </row>
    <row r="324" spans="1:18" x14ac:dyDescent="0.2">
      <c r="A324" s="4">
        <v>34</v>
      </c>
      <c r="B324" s="4">
        <v>1</v>
      </c>
      <c r="C324" s="4">
        <v>30.8</v>
      </c>
      <c r="D324" s="4">
        <v>0</v>
      </c>
      <c r="E324" s="4">
        <v>1</v>
      </c>
      <c r="F324" s="4">
        <v>4</v>
      </c>
      <c r="G324" s="4">
        <v>35491.64</v>
      </c>
      <c r="I324" s="23"/>
      <c r="J324" s="23"/>
      <c r="K324" s="23"/>
      <c r="L324" s="23"/>
      <c r="M324" s="23"/>
      <c r="N324" s="23"/>
      <c r="O324" s="23"/>
      <c r="P324" s="23"/>
      <c r="Q324" s="23"/>
      <c r="R324" s="23"/>
    </row>
    <row r="325" spans="1:18" x14ac:dyDescent="0.2">
      <c r="A325" s="4">
        <v>57</v>
      </c>
      <c r="B325" s="4">
        <v>1</v>
      </c>
      <c r="C325" s="4">
        <v>40.945</v>
      </c>
      <c r="D325" s="4">
        <v>0</v>
      </c>
      <c r="E325" s="4">
        <v>0</v>
      </c>
      <c r="F325" s="4">
        <v>1</v>
      </c>
      <c r="G325" s="4">
        <v>11566.30055</v>
      </c>
      <c r="I325" s="23"/>
      <c r="J325" s="23"/>
      <c r="K325" s="23"/>
      <c r="L325" s="23"/>
      <c r="M325" s="23"/>
      <c r="N325" s="23"/>
      <c r="O325" s="23"/>
      <c r="P325" s="23"/>
      <c r="Q325" s="23"/>
      <c r="R325" s="23"/>
    </row>
    <row r="326" spans="1:18" x14ac:dyDescent="0.2">
      <c r="A326" s="4">
        <v>29</v>
      </c>
      <c r="B326" s="4">
        <v>1</v>
      </c>
      <c r="C326" s="4">
        <v>27.2</v>
      </c>
      <c r="D326" s="4">
        <v>0</v>
      </c>
      <c r="E326" s="4">
        <v>0</v>
      </c>
      <c r="F326" s="4">
        <v>4</v>
      </c>
      <c r="G326" s="4">
        <v>2866.0909999999999</v>
      </c>
      <c r="I326" s="23"/>
      <c r="J326" s="23"/>
      <c r="K326" s="23"/>
      <c r="L326" s="23"/>
      <c r="M326" s="23"/>
      <c r="N326" s="23"/>
      <c r="O326" s="23"/>
      <c r="P326" s="23"/>
      <c r="Q326" s="23"/>
      <c r="R326" s="23"/>
    </row>
    <row r="327" spans="1:18" x14ac:dyDescent="0.2">
      <c r="A327" s="4">
        <v>40</v>
      </c>
      <c r="B327" s="4">
        <v>1</v>
      </c>
      <c r="C327" s="4">
        <v>34.104999999999997</v>
      </c>
      <c r="D327" s="4">
        <v>1</v>
      </c>
      <c r="E327" s="4">
        <v>0</v>
      </c>
      <c r="F327" s="4">
        <v>1</v>
      </c>
      <c r="G327" s="4">
        <v>6600.2059499999996</v>
      </c>
      <c r="I327" s="23"/>
      <c r="J327" s="23"/>
      <c r="K327" s="23"/>
      <c r="L327" s="23"/>
      <c r="M327" s="23"/>
      <c r="N327" s="23"/>
      <c r="O327" s="23"/>
      <c r="P327" s="23"/>
      <c r="Q327" s="23"/>
      <c r="R327" s="23"/>
    </row>
    <row r="328" spans="1:18" x14ac:dyDescent="0.2">
      <c r="A328" s="4">
        <v>27</v>
      </c>
      <c r="B328" s="4">
        <v>0</v>
      </c>
      <c r="C328" s="4">
        <v>23.21</v>
      </c>
      <c r="D328" s="4">
        <v>1</v>
      </c>
      <c r="E328" s="4">
        <v>0</v>
      </c>
      <c r="F328" s="4">
        <v>2</v>
      </c>
      <c r="G328" s="4">
        <v>3561.8888999999999</v>
      </c>
      <c r="I328" s="23"/>
      <c r="J328" s="23"/>
      <c r="K328" s="23"/>
      <c r="L328" s="23"/>
      <c r="M328" s="23"/>
      <c r="N328" s="23"/>
      <c r="O328" s="23"/>
      <c r="P328" s="23"/>
      <c r="Q328" s="23"/>
      <c r="R328" s="23"/>
    </row>
    <row r="329" spans="1:18" x14ac:dyDescent="0.2">
      <c r="A329" s="4">
        <v>45</v>
      </c>
      <c r="B329" s="4">
        <v>1</v>
      </c>
      <c r="C329" s="4">
        <v>36.479999999999997</v>
      </c>
      <c r="D329" s="4">
        <v>2</v>
      </c>
      <c r="E329" s="4">
        <v>1</v>
      </c>
      <c r="F329" s="4">
        <v>3</v>
      </c>
      <c r="G329" s="4">
        <v>42760.502200000003</v>
      </c>
      <c r="I329" s="23"/>
      <c r="J329" s="23"/>
      <c r="K329" s="23"/>
      <c r="L329" s="23"/>
      <c r="M329" s="23"/>
      <c r="N329" s="23"/>
      <c r="O329" s="23"/>
      <c r="P329" s="23"/>
      <c r="Q329" s="23"/>
      <c r="R329" s="23"/>
    </row>
    <row r="330" spans="1:18" x14ac:dyDescent="0.2">
      <c r="A330" s="4">
        <v>64</v>
      </c>
      <c r="B330" s="4">
        <v>0</v>
      </c>
      <c r="C330" s="4">
        <v>33.799999999999997</v>
      </c>
      <c r="D330" s="4">
        <v>1</v>
      </c>
      <c r="E330" s="4">
        <v>1</v>
      </c>
      <c r="F330" s="4">
        <v>4</v>
      </c>
      <c r="G330" s="4">
        <v>47928.03</v>
      </c>
      <c r="I330" s="23"/>
      <c r="J330" s="23"/>
      <c r="K330" s="23"/>
      <c r="L330" s="23"/>
      <c r="M330" s="23"/>
      <c r="N330" s="23"/>
      <c r="O330" s="23"/>
      <c r="P330" s="23"/>
      <c r="Q330" s="23"/>
      <c r="R330" s="23"/>
    </row>
    <row r="331" spans="1:18" x14ac:dyDescent="0.2">
      <c r="A331" s="4">
        <v>52</v>
      </c>
      <c r="B331" s="4">
        <v>1</v>
      </c>
      <c r="C331" s="4">
        <v>36.700000000000003</v>
      </c>
      <c r="D331" s="4">
        <v>0</v>
      </c>
      <c r="E331" s="4">
        <v>0</v>
      </c>
      <c r="F331" s="4">
        <v>4</v>
      </c>
      <c r="G331" s="4">
        <v>9144.5650000000005</v>
      </c>
      <c r="I331" s="23"/>
      <c r="J331" s="23"/>
      <c r="K331" s="23"/>
      <c r="L331" s="23"/>
      <c r="M331" s="23"/>
      <c r="N331" s="23"/>
      <c r="O331" s="23"/>
      <c r="P331" s="23"/>
      <c r="Q331" s="23"/>
      <c r="R331" s="23"/>
    </row>
    <row r="332" spans="1:18" x14ac:dyDescent="0.2">
      <c r="A332" s="4">
        <v>61</v>
      </c>
      <c r="B332" s="4">
        <v>0</v>
      </c>
      <c r="C332" s="4">
        <v>36.384999999999998</v>
      </c>
      <c r="D332" s="4">
        <v>1</v>
      </c>
      <c r="E332" s="4">
        <v>1</v>
      </c>
      <c r="F332" s="4">
        <v>1</v>
      </c>
      <c r="G332" s="4">
        <v>48517.563150000002</v>
      </c>
      <c r="I332" s="23"/>
      <c r="J332" s="23"/>
      <c r="K332" s="23"/>
      <c r="L332" s="23"/>
      <c r="M332" s="23"/>
      <c r="N332" s="23"/>
      <c r="O332" s="23"/>
      <c r="P332" s="23"/>
      <c r="Q332" s="23"/>
      <c r="R332" s="23"/>
    </row>
    <row r="333" spans="1:18" x14ac:dyDescent="0.2">
      <c r="A333" s="4">
        <v>52</v>
      </c>
      <c r="B333" s="4">
        <v>1</v>
      </c>
      <c r="C333" s="4">
        <v>27.36</v>
      </c>
      <c r="D333" s="4">
        <v>0</v>
      </c>
      <c r="E333" s="4">
        <v>1</v>
      </c>
      <c r="F333" s="4">
        <v>3</v>
      </c>
      <c r="G333" s="4">
        <v>24393.6224</v>
      </c>
      <c r="I333" s="23"/>
      <c r="J333" s="23"/>
      <c r="K333" s="23"/>
      <c r="L333" s="23"/>
      <c r="M333" s="23"/>
      <c r="N333" s="23"/>
      <c r="O333" s="23"/>
      <c r="P333" s="23"/>
      <c r="Q333" s="23"/>
      <c r="R333" s="23"/>
    </row>
    <row r="334" spans="1:18" x14ac:dyDescent="0.2">
      <c r="A334" s="4">
        <v>61</v>
      </c>
      <c r="B334" s="4">
        <v>0</v>
      </c>
      <c r="C334" s="4">
        <v>31.16</v>
      </c>
      <c r="D334" s="4">
        <v>0</v>
      </c>
      <c r="E334" s="4">
        <v>0</v>
      </c>
      <c r="F334" s="4">
        <v>3</v>
      </c>
      <c r="G334" s="4">
        <v>13429.035400000001</v>
      </c>
      <c r="I334" s="23"/>
      <c r="J334" s="23"/>
      <c r="K334" s="23"/>
      <c r="L334" s="23"/>
      <c r="M334" s="23"/>
      <c r="N334" s="23"/>
      <c r="O334" s="23"/>
      <c r="P334" s="23"/>
      <c r="Q334" s="23"/>
      <c r="R334" s="23"/>
    </row>
    <row r="335" spans="1:18" x14ac:dyDescent="0.2">
      <c r="A335" s="4">
        <v>56</v>
      </c>
      <c r="B335" s="4">
        <v>0</v>
      </c>
      <c r="C335" s="4">
        <v>28.785</v>
      </c>
      <c r="D335" s="4">
        <v>0</v>
      </c>
      <c r="E335" s="4">
        <v>0</v>
      </c>
      <c r="F335" s="4">
        <v>1</v>
      </c>
      <c r="G335" s="4">
        <v>11658.379150000001</v>
      </c>
      <c r="I335" s="23"/>
      <c r="J335" s="23"/>
      <c r="K335" s="23"/>
      <c r="L335" s="23"/>
      <c r="M335" s="23"/>
      <c r="N335" s="23"/>
      <c r="O335" s="23"/>
      <c r="P335" s="23"/>
      <c r="Q335" s="23"/>
      <c r="R335" s="23"/>
    </row>
    <row r="336" spans="1:18" x14ac:dyDescent="0.2">
      <c r="A336" s="4">
        <v>43</v>
      </c>
      <c r="B336" s="4">
        <v>0</v>
      </c>
      <c r="C336" s="4">
        <v>35.72</v>
      </c>
      <c r="D336" s="4">
        <v>2</v>
      </c>
      <c r="E336" s="4">
        <v>0</v>
      </c>
      <c r="F336" s="4">
        <v>1</v>
      </c>
      <c r="G336" s="4">
        <v>19144.576519999999</v>
      </c>
      <c r="I336" s="23"/>
      <c r="J336" s="23"/>
      <c r="K336" s="23"/>
      <c r="L336" s="23"/>
      <c r="M336" s="23"/>
      <c r="N336" s="23"/>
      <c r="O336" s="23"/>
      <c r="P336" s="23"/>
      <c r="Q336" s="23"/>
      <c r="R336" s="23"/>
    </row>
    <row r="337" spans="1:18" x14ac:dyDescent="0.2">
      <c r="A337" s="4">
        <v>64</v>
      </c>
      <c r="B337" s="4">
        <v>1</v>
      </c>
      <c r="C337" s="4">
        <v>34.5</v>
      </c>
      <c r="D337" s="4">
        <v>0</v>
      </c>
      <c r="E337" s="4">
        <v>0</v>
      </c>
      <c r="F337" s="4">
        <v>4</v>
      </c>
      <c r="G337" s="4">
        <v>13822.803</v>
      </c>
      <c r="I337" s="23"/>
      <c r="J337" s="23"/>
      <c r="K337" s="23"/>
      <c r="L337" s="23"/>
      <c r="M337" s="23"/>
      <c r="N337" s="23"/>
      <c r="O337" s="23"/>
      <c r="P337" s="23"/>
      <c r="Q337" s="23"/>
      <c r="R337" s="23"/>
    </row>
    <row r="338" spans="1:18" x14ac:dyDescent="0.2">
      <c r="A338" s="4">
        <v>60</v>
      </c>
      <c r="B338" s="4">
        <v>1</v>
      </c>
      <c r="C338" s="4">
        <v>25.74</v>
      </c>
      <c r="D338" s="4">
        <v>0</v>
      </c>
      <c r="E338" s="4">
        <v>0</v>
      </c>
      <c r="F338" s="4">
        <v>2</v>
      </c>
      <c r="G338" s="4">
        <v>12142.578600000001</v>
      </c>
      <c r="I338" s="23"/>
      <c r="J338" s="23"/>
      <c r="K338" s="23"/>
      <c r="L338" s="23"/>
      <c r="M338" s="23"/>
      <c r="N338" s="23"/>
      <c r="O338" s="23"/>
      <c r="P338" s="23"/>
      <c r="Q338" s="23"/>
      <c r="R338" s="23"/>
    </row>
    <row r="339" spans="1:18" x14ac:dyDescent="0.2">
      <c r="A339" s="4">
        <v>62</v>
      </c>
      <c r="B339" s="4">
        <v>1</v>
      </c>
      <c r="C339" s="4">
        <v>27.55</v>
      </c>
      <c r="D339" s="4">
        <v>1</v>
      </c>
      <c r="E339" s="4">
        <v>0</v>
      </c>
      <c r="F339" s="4">
        <v>3</v>
      </c>
      <c r="G339" s="4">
        <v>13937.666499999999</v>
      </c>
      <c r="I339" s="23"/>
      <c r="J339" s="23"/>
      <c r="K339" s="23"/>
      <c r="L339" s="23"/>
      <c r="M339" s="23"/>
      <c r="N339" s="23"/>
      <c r="O339" s="23"/>
      <c r="P339" s="23"/>
      <c r="Q339" s="23"/>
      <c r="R339" s="23"/>
    </row>
    <row r="340" spans="1:18" x14ac:dyDescent="0.2">
      <c r="A340" s="4">
        <v>50</v>
      </c>
      <c r="B340" s="4">
        <v>1</v>
      </c>
      <c r="C340" s="4">
        <v>32.299999999999997</v>
      </c>
      <c r="D340" s="4">
        <v>1</v>
      </c>
      <c r="E340" s="4">
        <v>1</v>
      </c>
      <c r="F340" s="4">
        <v>1</v>
      </c>
      <c r="G340" s="4">
        <v>41919.097000000002</v>
      </c>
      <c r="I340" s="23"/>
      <c r="J340" s="23"/>
      <c r="K340" s="23"/>
      <c r="L340" s="23"/>
      <c r="M340" s="23"/>
      <c r="N340" s="23"/>
      <c r="O340" s="23"/>
      <c r="P340" s="23"/>
      <c r="Q340" s="23"/>
      <c r="R340" s="23"/>
    </row>
    <row r="341" spans="1:18" x14ac:dyDescent="0.2">
      <c r="A341" s="4">
        <v>46</v>
      </c>
      <c r="B341" s="4">
        <v>0</v>
      </c>
      <c r="C341" s="4">
        <v>27.72</v>
      </c>
      <c r="D341" s="4">
        <v>1</v>
      </c>
      <c r="E341" s="4">
        <v>0</v>
      </c>
      <c r="F341" s="4">
        <v>2</v>
      </c>
      <c r="G341" s="4">
        <v>8232.6388000000006</v>
      </c>
      <c r="I341" s="23"/>
      <c r="J341" s="23"/>
      <c r="K341" s="23"/>
      <c r="L341" s="23"/>
      <c r="M341" s="23"/>
      <c r="N341" s="23"/>
      <c r="O341" s="23"/>
      <c r="P341" s="23"/>
      <c r="Q341" s="23"/>
      <c r="R341" s="23"/>
    </row>
    <row r="342" spans="1:18" x14ac:dyDescent="0.2">
      <c r="A342" s="4">
        <v>24</v>
      </c>
      <c r="B342" s="4">
        <v>0</v>
      </c>
      <c r="C342" s="4">
        <v>27.6</v>
      </c>
      <c r="D342" s="4">
        <v>0</v>
      </c>
      <c r="E342" s="4">
        <v>0</v>
      </c>
      <c r="F342" s="4">
        <v>4</v>
      </c>
      <c r="G342" s="4">
        <v>18955.220170000001</v>
      </c>
      <c r="I342" s="23"/>
      <c r="J342" s="23"/>
      <c r="K342" s="23"/>
      <c r="L342" s="23"/>
      <c r="M342" s="23"/>
      <c r="N342" s="23"/>
      <c r="O342" s="23"/>
      <c r="P342" s="23"/>
      <c r="Q342" s="23"/>
      <c r="R342" s="23"/>
    </row>
    <row r="343" spans="1:18" x14ac:dyDescent="0.2">
      <c r="A343" s="4">
        <v>62</v>
      </c>
      <c r="B343" s="4">
        <v>1</v>
      </c>
      <c r="C343" s="4">
        <v>30.02</v>
      </c>
      <c r="D343" s="4">
        <v>0</v>
      </c>
      <c r="E343" s="4">
        <v>0</v>
      </c>
      <c r="F343" s="4">
        <v>3</v>
      </c>
      <c r="G343" s="4">
        <v>13352.0998</v>
      </c>
      <c r="I343" s="23"/>
      <c r="J343" s="23"/>
      <c r="K343" s="23"/>
      <c r="L343" s="23"/>
      <c r="M343" s="23"/>
      <c r="N343" s="23"/>
      <c r="O343" s="23"/>
      <c r="P343" s="23"/>
      <c r="Q343" s="23"/>
      <c r="R343" s="23"/>
    </row>
    <row r="344" spans="1:18" x14ac:dyDescent="0.2">
      <c r="A344" s="4">
        <v>60</v>
      </c>
      <c r="B344" s="4">
        <v>0</v>
      </c>
      <c r="C344" s="4">
        <v>27.55</v>
      </c>
      <c r="D344" s="4">
        <v>0</v>
      </c>
      <c r="E344" s="4">
        <v>0</v>
      </c>
      <c r="F344" s="4">
        <v>1</v>
      </c>
      <c r="G344" s="4">
        <v>13217.094499999999</v>
      </c>
      <c r="I344" s="23"/>
      <c r="J344" s="23"/>
      <c r="K344" s="23"/>
      <c r="L344" s="23"/>
      <c r="M344" s="23"/>
      <c r="N344" s="23"/>
      <c r="O344" s="23"/>
      <c r="P344" s="23"/>
      <c r="Q344" s="23"/>
      <c r="R344" s="23"/>
    </row>
    <row r="345" spans="1:18" x14ac:dyDescent="0.2">
      <c r="A345" s="4">
        <v>63</v>
      </c>
      <c r="B345" s="4">
        <v>1</v>
      </c>
      <c r="C345" s="4">
        <v>36.765000000000001</v>
      </c>
      <c r="D345" s="4">
        <v>0</v>
      </c>
      <c r="E345" s="4">
        <v>0</v>
      </c>
      <c r="F345" s="4">
        <v>1</v>
      </c>
      <c r="G345" s="4">
        <v>13981.850350000001</v>
      </c>
      <c r="I345" s="23"/>
      <c r="J345" s="23"/>
      <c r="K345" s="23"/>
      <c r="L345" s="23"/>
      <c r="M345" s="23"/>
      <c r="N345" s="23"/>
      <c r="O345" s="23"/>
      <c r="P345" s="23"/>
      <c r="Q345" s="23"/>
      <c r="R345" s="23"/>
    </row>
    <row r="346" spans="1:18" x14ac:dyDescent="0.2">
      <c r="A346" s="4">
        <v>49</v>
      </c>
      <c r="B346" s="4">
        <v>0</v>
      </c>
      <c r="C346" s="4">
        <v>41.47</v>
      </c>
      <c r="D346" s="4">
        <v>4</v>
      </c>
      <c r="E346" s="4">
        <v>0</v>
      </c>
      <c r="F346" s="4">
        <v>2</v>
      </c>
      <c r="G346" s="4">
        <v>10977.2063</v>
      </c>
      <c r="I346" s="23"/>
      <c r="J346" s="23"/>
      <c r="K346" s="23"/>
      <c r="L346" s="23"/>
      <c r="M346" s="23"/>
      <c r="N346" s="23"/>
      <c r="O346" s="23"/>
      <c r="P346" s="23"/>
      <c r="Q346" s="23"/>
      <c r="R346" s="23"/>
    </row>
    <row r="347" spans="1:18" x14ac:dyDescent="0.2">
      <c r="A347" s="4">
        <v>34</v>
      </c>
      <c r="B347" s="4">
        <v>0</v>
      </c>
      <c r="C347" s="4">
        <v>29.26</v>
      </c>
      <c r="D347" s="4">
        <v>3</v>
      </c>
      <c r="E347" s="4">
        <v>0</v>
      </c>
      <c r="F347" s="4">
        <v>2</v>
      </c>
      <c r="G347" s="4">
        <v>6184.2993999999999</v>
      </c>
      <c r="I347" s="23"/>
      <c r="J347" s="23"/>
      <c r="K347" s="23"/>
      <c r="L347" s="23"/>
      <c r="M347" s="23"/>
      <c r="N347" s="23"/>
      <c r="O347" s="23"/>
      <c r="P347" s="23"/>
      <c r="Q347" s="23"/>
      <c r="R347" s="23"/>
    </row>
    <row r="348" spans="1:18" x14ac:dyDescent="0.2">
      <c r="A348" s="4">
        <v>33</v>
      </c>
      <c r="B348" s="4">
        <v>1</v>
      </c>
      <c r="C348" s="4">
        <v>35.75</v>
      </c>
      <c r="D348" s="4">
        <v>2</v>
      </c>
      <c r="E348" s="4">
        <v>0</v>
      </c>
      <c r="F348" s="4">
        <v>2</v>
      </c>
      <c r="G348" s="4">
        <v>4889.9994999999999</v>
      </c>
      <c r="I348" s="23"/>
      <c r="J348" s="23"/>
      <c r="K348" s="23"/>
      <c r="L348" s="23"/>
      <c r="M348" s="23"/>
      <c r="N348" s="23"/>
      <c r="O348" s="23"/>
      <c r="P348" s="23"/>
      <c r="Q348" s="23"/>
      <c r="R348" s="23"/>
    </row>
    <row r="349" spans="1:18" x14ac:dyDescent="0.2">
      <c r="A349" s="4">
        <v>46</v>
      </c>
      <c r="B349" s="4">
        <v>1</v>
      </c>
      <c r="C349" s="4">
        <v>33.344999999999999</v>
      </c>
      <c r="D349" s="4">
        <v>1</v>
      </c>
      <c r="E349" s="4">
        <v>0</v>
      </c>
      <c r="F349" s="4">
        <v>1</v>
      </c>
      <c r="G349" s="4">
        <v>8334.4575499999992</v>
      </c>
      <c r="I349" s="23"/>
      <c r="J349" s="23"/>
      <c r="K349" s="23"/>
      <c r="L349" s="23"/>
      <c r="M349" s="23"/>
      <c r="N349" s="23"/>
      <c r="O349" s="23"/>
      <c r="P349" s="23"/>
      <c r="Q349" s="23"/>
      <c r="R349" s="23"/>
    </row>
    <row r="350" spans="1:18" x14ac:dyDescent="0.2">
      <c r="A350" s="4">
        <v>36</v>
      </c>
      <c r="B350" s="4">
        <v>0</v>
      </c>
      <c r="C350" s="4">
        <v>29.92</v>
      </c>
      <c r="D350" s="4">
        <v>1</v>
      </c>
      <c r="E350" s="4">
        <v>0</v>
      </c>
      <c r="F350" s="4">
        <v>2</v>
      </c>
      <c r="G350" s="4">
        <v>5478.0367999999999</v>
      </c>
      <c r="I350" s="23"/>
      <c r="J350" s="23"/>
      <c r="K350" s="23"/>
      <c r="L350" s="23"/>
      <c r="M350" s="23"/>
      <c r="N350" s="23"/>
      <c r="O350" s="23"/>
      <c r="P350" s="23"/>
      <c r="Q350" s="23"/>
      <c r="R350" s="23"/>
    </row>
    <row r="351" spans="1:18" x14ac:dyDescent="0.2">
      <c r="A351" s="4">
        <v>19</v>
      </c>
      <c r="B351" s="4">
        <v>1</v>
      </c>
      <c r="C351" s="4">
        <v>27.835000000000001</v>
      </c>
      <c r="D351" s="4">
        <v>0</v>
      </c>
      <c r="E351" s="4">
        <v>0</v>
      </c>
      <c r="F351" s="4">
        <v>3</v>
      </c>
      <c r="G351" s="4">
        <v>1635.7336499999999</v>
      </c>
      <c r="I351" s="23"/>
      <c r="J351" s="23"/>
      <c r="K351" s="23"/>
      <c r="L351" s="23"/>
      <c r="M351" s="23"/>
      <c r="N351" s="23"/>
      <c r="O351" s="23"/>
      <c r="P351" s="23"/>
      <c r="Q351" s="23"/>
      <c r="R351" s="23"/>
    </row>
    <row r="352" spans="1:18" x14ac:dyDescent="0.2">
      <c r="A352" s="4">
        <v>57</v>
      </c>
      <c r="B352" s="4">
        <v>0</v>
      </c>
      <c r="C352" s="4">
        <v>23.18</v>
      </c>
      <c r="D352" s="4">
        <v>0</v>
      </c>
      <c r="E352" s="4">
        <v>0</v>
      </c>
      <c r="F352" s="4">
        <v>3</v>
      </c>
      <c r="G352" s="4">
        <v>11830.6072</v>
      </c>
      <c r="I352" s="23"/>
      <c r="J352" s="23"/>
      <c r="K352" s="23"/>
      <c r="L352" s="23"/>
      <c r="M352" s="23"/>
      <c r="N352" s="23"/>
      <c r="O352" s="23"/>
      <c r="P352" s="23"/>
      <c r="Q352" s="23"/>
      <c r="R352" s="23"/>
    </row>
    <row r="353" spans="1:18" x14ac:dyDescent="0.2">
      <c r="A353" s="4">
        <v>50</v>
      </c>
      <c r="B353" s="4">
        <v>0</v>
      </c>
      <c r="C353" s="4">
        <v>25.6</v>
      </c>
      <c r="D353" s="4">
        <v>0</v>
      </c>
      <c r="E353" s="4">
        <v>0</v>
      </c>
      <c r="F353" s="4">
        <v>4</v>
      </c>
      <c r="G353" s="4">
        <v>8932.0840000000007</v>
      </c>
      <c r="I353" s="23"/>
      <c r="J353" s="23"/>
      <c r="K353" s="23"/>
      <c r="L353" s="23"/>
      <c r="M353" s="23"/>
      <c r="N353" s="23"/>
      <c r="O353" s="23"/>
      <c r="P353" s="23"/>
      <c r="Q353" s="23"/>
      <c r="R353" s="23"/>
    </row>
    <row r="354" spans="1:18" x14ac:dyDescent="0.2">
      <c r="A354" s="4">
        <v>30</v>
      </c>
      <c r="B354" s="4">
        <v>0</v>
      </c>
      <c r="C354" s="4">
        <v>27.7</v>
      </c>
      <c r="D354" s="4">
        <v>0</v>
      </c>
      <c r="E354" s="4">
        <v>0</v>
      </c>
      <c r="F354" s="4">
        <v>4</v>
      </c>
      <c r="G354" s="4">
        <v>3554.203</v>
      </c>
      <c r="I354" s="23"/>
      <c r="J354" s="23"/>
      <c r="K354" s="23"/>
      <c r="L354" s="23"/>
      <c r="M354" s="23"/>
      <c r="N354" s="23"/>
      <c r="O354" s="23"/>
      <c r="P354" s="23"/>
      <c r="Q354" s="23"/>
      <c r="R354" s="23"/>
    </row>
    <row r="355" spans="1:18" x14ac:dyDescent="0.2">
      <c r="A355" s="4">
        <v>33</v>
      </c>
      <c r="B355" s="4">
        <v>1</v>
      </c>
      <c r="C355" s="4">
        <v>35.244999999999997</v>
      </c>
      <c r="D355" s="4">
        <v>0</v>
      </c>
      <c r="E355" s="4">
        <v>0</v>
      </c>
      <c r="F355" s="4">
        <v>1</v>
      </c>
      <c r="G355" s="4">
        <v>12404.8791</v>
      </c>
      <c r="I355" s="23"/>
      <c r="J355" s="23"/>
      <c r="K355" s="23"/>
      <c r="L355" s="23"/>
      <c r="M355" s="23"/>
      <c r="N355" s="23"/>
      <c r="O355" s="23"/>
      <c r="P355" s="23"/>
      <c r="Q355" s="23"/>
      <c r="R355" s="23"/>
    </row>
    <row r="356" spans="1:18" x14ac:dyDescent="0.2">
      <c r="A356" s="4">
        <v>18</v>
      </c>
      <c r="B356" s="4">
        <v>0</v>
      </c>
      <c r="C356" s="4">
        <v>38.28</v>
      </c>
      <c r="D356" s="4">
        <v>0</v>
      </c>
      <c r="E356" s="4">
        <v>0</v>
      </c>
      <c r="F356" s="4">
        <v>2</v>
      </c>
      <c r="G356" s="4">
        <v>14133.03775</v>
      </c>
      <c r="I356" s="23"/>
      <c r="J356" s="23"/>
      <c r="K356" s="23"/>
      <c r="L356" s="23"/>
      <c r="M356" s="23"/>
      <c r="N356" s="23"/>
      <c r="O356" s="23"/>
      <c r="P356" s="23"/>
      <c r="Q356" s="23"/>
      <c r="R356" s="23"/>
    </row>
    <row r="357" spans="1:18" x14ac:dyDescent="0.2">
      <c r="A357" s="4">
        <v>46</v>
      </c>
      <c r="B357" s="4">
        <v>1</v>
      </c>
      <c r="C357" s="4">
        <v>27.6</v>
      </c>
      <c r="D357" s="4">
        <v>0</v>
      </c>
      <c r="E357" s="4">
        <v>0</v>
      </c>
      <c r="F357" s="4">
        <v>4</v>
      </c>
      <c r="G357" s="4">
        <v>24603.04837</v>
      </c>
      <c r="I357" s="23"/>
      <c r="J357" s="23"/>
      <c r="K357" s="23"/>
      <c r="L357" s="23"/>
      <c r="M357" s="23"/>
      <c r="N357" s="23"/>
      <c r="O357" s="23"/>
      <c r="P357" s="23"/>
      <c r="Q357" s="23"/>
      <c r="R357" s="23"/>
    </row>
    <row r="358" spans="1:18" x14ac:dyDescent="0.2">
      <c r="A358" s="4">
        <v>46</v>
      </c>
      <c r="B358" s="4">
        <v>1</v>
      </c>
      <c r="C358" s="4">
        <v>43.89</v>
      </c>
      <c r="D358" s="4">
        <v>3</v>
      </c>
      <c r="E358" s="4">
        <v>0</v>
      </c>
      <c r="F358" s="4">
        <v>2</v>
      </c>
      <c r="G358" s="4">
        <v>8944.1151000000009</v>
      </c>
      <c r="I358" s="23"/>
      <c r="J358" s="23"/>
      <c r="K358" s="23"/>
      <c r="L358" s="23"/>
      <c r="M358" s="23"/>
      <c r="N358" s="23"/>
      <c r="O358" s="23"/>
      <c r="P358" s="23"/>
      <c r="Q358" s="23"/>
      <c r="R358" s="23"/>
    </row>
    <row r="359" spans="1:18" x14ac:dyDescent="0.2">
      <c r="A359" s="4">
        <v>47</v>
      </c>
      <c r="B359" s="4">
        <v>1</v>
      </c>
      <c r="C359" s="4">
        <v>29.83</v>
      </c>
      <c r="D359" s="4">
        <v>3</v>
      </c>
      <c r="E359" s="4">
        <v>0</v>
      </c>
      <c r="F359" s="4">
        <v>3</v>
      </c>
      <c r="G359" s="4">
        <v>9620.3307000000004</v>
      </c>
      <c r="I359" s="23"/>
      <c r="J359" s="23"/>
      <c r="K359" s="23"/>
      <c r="L359" s="23"/>
      <c r="M359" s="23"/>
      <c r="N359" s="23"/>
      <c r="O359" s="23"/>
      <c r="P359" s="23"/>
      <c r="Q359" s="23"/>
      <c r="R359" s="23"/>
    </row>
    <row r="360" spans="1:18" x14ac:dyDescent="0.2">
      <c r="A360" s="4">
        <v>23</v>
      </c>
      <c r="B360" s="4">
        <v>1</v>
      </c>
      <c r="C360" s="4">
        <v>41.91</v>
      </c>
      <c r="D360" s="4">
        <v>0</v>
      </c>
      <c r="E360" s="4">
        <v>0</v>
      </c>
      <c r="F360" s="4">
        <v>2</v>
      </c>
      <c r="G360" s="4">
        <v>1837.2819</v>
      </c>
      <c r="I360" s="23"/>
      <c r="J360" s="23"/>
      <c r="K360" s="23"/>
      <c r="L360" s="23"/>
      <c r="M360" s="23"/>
      <c r="N360" s="23"/>
      <c r="O360" s="23"/>
      <c r="P360" s="23"/>
      <c r="Q360" s="23"/>
      <c r="R360" s="23"/>
    </row>
    <row r="361" spans="1:18" x14ac:dyDescent="0.2">
      <c r="A361" s="4">
        <v>18</v>
      </c>
      <c r="B361" s="4">
        <v>0</v>
      </c>
      <c r="C361" s="4">
        <v>20.79</v>
      </c>
      <c r="D361" s="4">
        <v>0</v>
      </c>
      <c r="E361" s="4">
        <v>0</v>
      </c>
      <c r="F361" s="4">
        <v>2</v>
      </c>
      <c r="G361" s="4">
        <v>1607.5101</v>
      </c>
      <c r="I361" s="23"/>
      <c r="J361" s="23"/>
      <c r="K361" s="23"/>
      <c r="L361" s="23"/>
      <c r="M361" s="23"/>
      <c r="N361" s="23"/>
      <c r="O361" s="23"/>
      <c r="P361" s="23"/>
      <c r="Q361" s="23"/>
      <c r="R361" s="23"/>
    </row>
    <row r="362" spans="1:18" x14ac:dyDescent="0.2">
      <c r="A362" s="4">
        <v>48</v>
      </c>
      <c r="B362" s="4">
        <v>0</v>
      </c>
      <c r="C362" s="4">
        <v>32.299999999999997</v>
      </c>
      <c r="D362" s="4">
        <v>2</v>
      </c>
      <c r="E362" s="4">
        <v>0</v>
      </c>
      <c r="F362" s="4">
        <v>1</v>
      </c>
      <c r="G362" s="4">
        <v>10043.249</v>
      </c>
      <c r="I362" s="23"/>
      <c r="J362" s="23"/>
      <c r="K362" s="23"/>
      <c r="L362" s="23"/>
      <c r="M362" s="23"/>
      <c r="N362" s="23"/>
      <c r="O362" s="23"/>
      <c r="P362" s="23"/>
      <c r="Q362" s="23"/>
      <c r="R362" s="23"/>
    </row>
    <row r="363" spans="1:18" x14ac:dyDescent="0.2">
      <c r="A363" s="4">
        <v>35</v>
      </c>
      <c r="B363" s="4">
        <v>1</v>
      </c>
      <c r="C363" s="4">
        <v>30.5</v>
      </c>
      <c r="D363" s="4">
        <v>1</v>
      </c>
      <c r="E363" s="4">
        <v>0</v>
      </c>
      <c r="F363" s="4">
        <v>4</v>
      </c>
      <c r="G363" s="4">
        <v>4751.07</v>
      </c>
      <c r="I363" s="23"/>
      <c r="J363" s="23"/>
      <c r="K363" s="23"/>
      <c r="L363" s="23"/>
      <c r="M363" s="23"/>
      <c r="N363" s="23"/>
      <c r="O363" s="23"/>
      <c r="P363" s="23"/>
      <c r="Q363" s="23"/>
      <c r="R363" s="23"/>
    </row>
    <row r="364" spans="1:18" x14ac:dyDescent="0.2">
      <c r="A364" s="4">
        <v>19</v>
      </c>
      <c r="B364" s="4">
        <v>0</v>
      </c>
      <c r="C364" s="4">
        <v>21.7</v>
      </c>
      <c r="D364" s="4">
        <v>0</v>
      </c>
      <c r="E364" s="4">
        <v>1</v>
      </c>
      <c r="F364" s="4">
        <v>4</v>
      </c>
      <c r="G364" s="4">
        <v>13844.505999999999</v>
      </c>
      <c r="I364" s="23"/>
      <c r="J364" s="23"/>
      <c r="K364" s="23"/>
      <c r="L364" s="23"/>
      <c r="M364" s="23"/>
      <c r="N364" s="23"/>
      <c r="O364" s="23"/>
      <c r="P364" s="23"/>
      <c r="Q364" s="23"/>
      <c r="R364" s="23"/>
    </row>
    <row r="365" spans="1:18" x14ac:dyDescent="0.2">
      <c r="A365" s="4">
        <v>21</v>
      </c>
      <c r="B365" s="4">
        <v>0</v>
      </c>
      <c r="C365" s="4">
        <v>26.4</v>
      </c>
      <c r="D365" s="4">
        <v>1</v>
      </c>
      <c r="E365" s="4">
        <v>0</v>
      </c>
      <c r="F365" s="4">
        <v>4</v>
      </c>
      <c r="G365" s="4">
        <v>2597.779</v>
      </c>
      <c r="I365" s="23"/>
      <c r="J365" s="23"/>
      <c r="K365" s="23"/>
      <c r="L365" s="23"/>
      <c r="M365" s="23"/>
      <c r="N365" s="23"/>
      <c r="O365" s="23"/>
      <c r="P365" s="23"/>
      <c r="Q365" s="23"/>
      <c r="R365" s="23"/>
    </row>
    <row r="366" spans="1:18" x14ac:dyDescent="0.2">
      <c r="A366" s="4">
        <v>21</v>
      </c>
      <c r="B366" s="4">
        <v>0</v>
      </c>
      <c r="C366" s="4">
        <v>21.89</v>
      </c>
      <c r="D366" s="4">
        <v>2</v>
      </c>
      <c r="E366" s="4">
        <v>0</v>
      </c>
      <c r="F366" s="4">
        <v>2</v>
      </c>
      <c r="G366" s="4">
        <v>3180.5101</v>
      </c>
      <c r="I366" s="23"/>
      <c r="J366" s="23"/>
      <c r="K366" s="23"/>
      <c r="L366" s="23"/>
      <c r="M366" s="23"/>
      <c r="N366" s="23"/>
      <c r="O366" s="23"/>
      <c r="P366" s="23"/>
      <c r="Q366" s="23"/>
      <c r="R366" s="23"/>
    </row>
    <row r="367" spans="1:18" x14ac:dyDescent="0.2">
      <c r="A367" s="4">
        <v>49</v>
      </c>
      <c r="B367" s="4">
        <v>0</v>
      </c>
      <c r="C367" s="4">
        <v>30.78</v>
      </c>
      <c r="D367" s="4">
        <v>1</v>
      </c>
      <c r="E367" s="4">
        <v>0</v>
      </c>
      <c r="F367" s="4">
        <v>1</v>
      </c>
      <c r="G367" s="4">
        <v>9778.3472000000002</v>
      </c>
      <c r="I367" s="23"/>
      <c r="J367" s="23"/>
      <c r="K367" s="23"/>
      <c r="L367" s="23"/>
      <c r="M367" s="23"/>
      <c r="N367" s="23"/>
      <c r="O367" s="23"/>
      <c r="P367" s="23"/>
      <c r="Q367" s="23"/>
      <c r="R367" s="23"/>
    </row>
    <row r="368" spans="1:18" x14ac:dyDescent="0.2">
      <c r="A368" s="4">
        <v>56</v>
      </c>
      <c r="B368" s="4">
        <v>0</v>
      </c>
      <c r="C368" s="4">
        <v>32.299999999999997</v>
      </c>
      <c r="D368" s="4">
        <v>3</v>
      </c>
      <c r="E368" s="4">
        <v>0</v>
      </c>
      <c r="F368" s="4">
        <v>1</v>
      </c>
      <c r="G368" s="4">
        <v>13430.264999999999</v>
      </c>
      <c r="I368" s="23"/>
      <c r="J368" s="23"/>
      <c r="K368" s="23"/>
      <c r="L368" s="23"/>
      <c r="M368" s="23"/>
      <c r="N368" s="23"/>
      <c r="O368" s="23"/>
      <c r="P368" s="23"/>
      <c r="Q368" s="23"/>
      <c r="R368" s="23"/>
    </row>
    <row r="369" spans="1:18" x14ac:dyDescent="0.2">
      <c r="A369" s="4">
        <v>42</v>
      </c>
      <c r="B369" s="4">
        <v>0</v>
      </c>
      <c r="C369" s="4">
        <v>24.984999999999999</v>
      </c>
      <c r="D369" s="4">
        <v>2</v>
      </c>
      <c r="E369" s="4">
        <v>0</v>
      </c>
      <c r="F369" s="4">
        <v>3</v>
      </c>
      <c r="G369" s="4">
        <v>8017.0611500000005</v>
      </c>
      <c r="I369" s="23"/>
      <c r="J369" s="23"/>
      <c r="K369" s="23"/>
      <c r="L369" s="23"/>
      <c r="M369" s="23"/>
      <c r="N369" s="23"/>
      <c r="O369" s="23"/>
      <c r="P369" s="23"/>
      <c r="Q369" s="23"/>
      <c r="R369" s="23"/>
    </row>
    <row r="370" spans="1:18" x14ac:dyDescent="0.2">
      <c r="A370" s="4">
        <v>44</v>
      </c>
      <c r="B370" s="4">
        <v>1</v>
      </c>
      <c r="C370" s="4">
        <v>32.015000000000001</v>
      </c>
      <c r="D370" s="4">
        <v>2</v>
      </c>
      <c r="E370" s="4">
        <v>0</v>
      </c>
      <c r="F370" s="4">
        <v>3</v>
      </c>
      <c r="G370" s="4">
        <v>8116.2688500000004</v>
      </c>
      <c r="I370" s="23"/>
      <c r="J370" s="23"/>
      <c r="K370" s="23"/>
      <c r="L370" s="23"/>
      <c r="M370" s="23"/>
      <c r="N370" s="23"/>
      <c r="O370" s="23"/>
      <c r="P370" s="23"/>
      <c r="Q370" s="23"/>
      <c r="R370" s="23"/>
    </row>
    <row r="371" spans="1:18" x14ac:dyDescent="0.2">
      <c r="A371" s="4">
        <v>18</v>
      </c>
      <c r="B371" s="4">
        <v>1</v>
      </c>
      <c r="C371" s="4">
        <v>30.4</v>
      </c>
      <c r="D371" s="4">
        <v>3</v>
      </c>
      <c r="E371" s="4">
        <v>0</v>
      </c>
      <c r="F371" s="4">
        <v>1</v>
      </c>
      <c r="G371" s="4">
        <v>3481.8679999999999</v>
      </c>
      <c r="I371" s="23"/>
      <c r="J371" s="23"/>
      <c r="K371" s="23"/>
      <c r="L371" s="23"/>
      <c r="M371" s="23"/>
      <c r="N371" s="23"/>
      <c r="O371" s="23"/>
      <c r="P371" s="23"/>
      <c r="Q371" s="23"/>
      <c r="R371" s="23"/>
    </row>
    <row r="372" spans="1:18" x14ac:dyDescent="0.2">
      <c r="A372" s="4">
        <v>61</v>
      </c>
      <c r="B372" s="4">
        <v>0</v>
      </c>
      <c r="C372" s="4">
        <v>21.09</v>
      </c>
      <c r="D372" s="4">
        <v>0</v>
      </c>
      <c r="E372" s="4">
        <v>0</v>
      </c>
      <c r="F372" s="4">
        <v>3</v>
      </c>
      <c r="G372" s="4">
        <v>13415.0381</v>
      </c>
      <c r="I372" s="23"/>
      <c r="J372" s="23"/>
      <c r="K372" s="23"/>
      <c r="L372" s="23"/>
      <c r="M372" s="23"/>
      <c r="N372" s="23"/>
      <c r="O372" s="23"/>
      <c r="P372" s="23"/>
      <c r="Q372" s="23"/>
      <c r="R372" s="23"/>
    </row>
    <row r="373" spans="1:18" x14ac:dyDescent="0.2">
      <c r="A373" s="4">
        <v>57</v>
      </c>
      <c r="B373" s="4">
        <v>0</v>
      </c>
      <c r="C373" s="4">
        <v>22.23</v>
      </c>
      <c r="D373" s="4">
        <v>0</v>
      </c>
      <c r="E373" s="4">
        <v>0</v>
      </c>
      <c r="F373" s="4">
        <v>1</v>
      </c>
      <c r="G373" s="4">
        <v>12029.286700000001</v>
      </c>
      <c r="I373" s="23"/>
      <c r="J373" s="23"/>
      <c r="K373" s="23"/>
      <c r="L373" s="23"/>
      <c r="M373" s="23"/>
      <c r="N373" s="23"/>
      <c r="O373" s="23"/>
      <c r="P373" s="23"/>
      <c r="Q373" s="23"/>
      <c r="R373" s="23"/>
    </row>
    <row r="374" spans="1:18" x14ac:dyDescent="0.2">
      <c r="A374" s="4">
        <v>42</v>
      </c>
      <c r="B374" s="4">
        <v>0</v>
      </c>
      <c r="C374" s="4">
        <v>33.155000000000001</v>
      </c>
      <c r="D374" s="4">
        <v>1</v>
      </c>
      <c r="E374" s="4">
        <v>0</v>
      </c>
      <c r="F374" s="4">
        <v>1</v>
      </c>
      <c r="G374" s="4">
        <v>7639.4174499999999</v>
      </c>
      <c r="I374" s="23"/>
      <c r="J374" s="23"/>
      <c r="K374" s="23"/>
      <c r="L374" s="23"/>
      <c r="M374" s="23"/>
      <c r="N374" s="23"/>
      <c r="O374" s="23"/>
      <c r="P374" s="23"/>
      <c r="Q374" s="23"/>
      <c r="R374" s="23"/>
    </row>
    <row r="375" spans="1:18" x14ac:dyDescent="0.2">
      <c r="A375" s="4">
        <v>26</v>
      </c>
      <c r="B375" s="4">
        <v>1</v>
      </c>
      <c r="C375" s="4">
        <v>32.9</v>
      </c>
      <c r="D375" s="4">
        <v>2</v>
      </c>
      <c r="E375" s="4">
        <v>1</v>
      </c>
      <c r="F375" s="4">
        <v>4</v>
      </c>
      <c r="G375" s="4">
        <v>36085.218999999997</v>
      </c>
      <c r="I375" s="23"/>
      <c r="J375" s="23"/>
      <c r="K375" s="23"/>
      <c r="L375" s="23"/>
      <c r="M375" s="23"/>
      <c r="N375" s="23"/>
      <c r="O375" s="23"/>
      <c r="P375" s="23"/>
      <c r="Q375" s="23"/>
      <c r="R375" s="23"/>
    </row>
    <row r="376" spans="1:18" x14ac:dyDescent="0.2">
      <c r="A376" s="4">
        <v>20</v>
      </c>
      <c r="B376" s="4">
        <v>1</v>
      </c>
      <c r="C376" s="4">
        <v>33.33</v>
      </c>
      <c r="D376" s="4">
        <v>0</v>
      </c>
      <c r="E376" s="4">
        <v>0</v>
      </c>
      <c r="F376" s="4">
        <v>2</v>
      </c>
      <c r="G376" s="4">
        <v>1391.5287000000001</v>
      </c>
      <c r="I376" s="23"/>
      <c r="J376" s="23"/>
      <c r="K376" s="23"/>
      <c r="L376" s="23"/>
      <c r="M376" s="23"/>
      <c r="N376" s="23"/>
      <c r="O376" s="23"/>
      <c r="P376" s="23"/>
      <c r="Q376" s="23"/>
      <c r="R376" s="23"/>
    </row>
    <row r="377" spans="1:18" x14ac:dyDescent="0.2">
      <c r="A377" s="4">
        <v>23</v>
      </c>
      <c r="B377" s="4">
        <v>0</v>
      </c>
      <c r="C377" s="4">
        <v>28.31</v>
      </c>
      <c r="D377" s="4">
        <v>0</v>
      </c>
      <c r="E377" s="4">
        <v>1</v>
      </c>
      <c r="F377" s="4">
        <v>3</v>
      </c>
      <c r="G377" s="4">
        <v>18033.9679</v>
      </c>
      <c r="I377" s="23"/>
      <c r="J377" s="23"/>
      <c r="K377" s="23"/>
      <c r="L377" s="23"/>
      <c r="M377" s="23"/>
      <c r="N377" s="23"/>
      <c r="O377" s="23"/>
      <c r="P377" s="23"/>
      <c r="Q377" s="23"/>
      <c r="R377" s="23"/>
    </row>
    <row r="378" spans="1:18" x14ac:dyDescent="0.2">
      <c r="A378" s="4">
        <v>39</v>
      </c>
      <c r="B378" s="4">
        <v>0</v>
      </c>
      <c r="C378" s="4">
        <v>24.89</v>
      </c>
      <c r="D378" s="4">
        <v>3</v>
      </c>
      <c r="E378" s="4">
        <v>1</v>
      </c>
      <c r="F378" s="4">
        <v>1</v>
      </c>
      <c r="G378" s="4">
        <v>21659.930100000001</v>
      </c>
      <c r="I378" s="23"/>
      <c r="J378" s="23"/>
      <c r="K378" s="23"/>
      <c r="L378" s="23"/>
      <c r="M378" s="23"/>
      <c r="N378" s="23"/>
      <c r="O378" s="23"/>
      <c r="P378" s="23"/>
      <c r="Q378" s="23"/>
      <c r="R378" s="23"/>
    </row>
    <row r="379" spans="1:18" x14ac:dyDescent="0.2">
      <c r="A379" s="4">
        <v>24</v>
      </c>
      <c r="B379" s="4">
        <v>1</v>
      </c>
      <c r="C379" s="4">
        <v>40.15</v>
      </c>
      <c r="D379" s="4">
        <v>0</v>
      </c>
      <c r="E379" s="4">
        <v>1</v>
      </c>
      <c r="F379" s="4">
        <v>2</v>
      </c>
      <c r="G379" s="4">
        <v>38126.246500000001</v>
      </c>
      <c r="I379" s="23"/>
      <c r="J379" s="23"/>
      <c r="K379" s="23"/>
      <c r="L379" s="23"/>
      <c r="M379" s="23"/>
      <c r="N379" s="23"/>
      <c r="O379" s="23"/>
      <c r="P379" s="23"/>
      <c r="Q379" s="23"/>
      <c r="R379" s="23"/>
    </row>
    <row r="380" spans="1:18" x14ac:dyDescent="0.2">
      <c r="A380" s="4">
        <v>64</v>
      </c>
      <c r="B380" s="4">
        <v>0</v>
      </c>
      <c r="C380" s="4">
        <v>30.114999999999998</v>
      </c>
      <c r="D380" s="4">
        <v>3</v>
      </c>
      <c r="E380" s="4">
        <v>0</v>
      </c>
      <c r="F380" s="4">
        <v>3</v>
      </c>
      <c r="G380" s="4">
        <v>16455.707849999999</v>
      </c>
      <c r="I380" s="23"/>
      <c r="J380" s="23"/>
      <c r="K380" s="23"/>
      <c r="L380" s="23"/>
      <c r="M380" s="23"/>
      <c r="N380" s="23"/>
      <c r="O380" s="23"/>
      <c r="P380" s="23"/>
      <c r="Q380" s="23"/>
      <c r="R380" s="23"/>
    </row>
    <row r="381" spans="1:18" x14ac:dyDescent="0.2">
      <c r="A381" s="4">
        <v>62</v>
      </c>
      <c r="B381" s="4">
        <v>1</v>
      </c>
      <c r="C381" s="4">
        <v>31.46</v>
      </c>
      <c r="D381" s="4">
        <v>1</v>
      </c>
      <c r="E381" s="4">
        <v>0</v>
      </c>
      <c r="F381" s="4">
        <v>2</v>
      </c>
      <c r="G381" s="4">
        <v>27000.98473</v>
      </c>
      <c r="I381" s="23"/>
      <c r="J381" s="23"/>
      <c r="K381" s="23"/>
      <c r="L381" s="23"/>
      <c r="M381" s="23"/>
      <c r="N381" s="23"/>
      <c r="O381" s="23"/>
      <c r="P381" s="23"/>
      <c r="Q381" s="23"/>
      <c r="R381" s="23"/>
    </row>
    <row r="382" spans="1:18" x14ac:dyDescent="0.2">
      <c r="A382" s="4">
        <v>27</v>
      </c>
      <c r="B382" s="4">
        <v>0</v>
      </c>
      <c r="C382" s="4">
        <v>17.954999999999998</v>
      </c>
      <c r="D382" s="4">
        <v>2</v>
      </c>
      <c r="E382" s="4">
        <v>1</v>
      </c>
      <c r="F382" s="4">
        <v>1</v>
      </c>
      <c r="G382" s="4">
        <v>15006.579449999999</v>
      </c>
      <c r="I382" s="23"/>
      <c r="J382" s="23"/>
      <c r="K382" s="23"/>
      <c r="L382" s="23"/>
      <c r="M382" s="23"/>
      <c r="N382" s="23"/>
      <c r="O382" s="23"/>
      <c r="P382" s="23"/>
      <c r="Q382" s="23"/>
      <c r="R382" s="23"/>
    </row>
    <row r="383" spans="1:18" x14ac:dyDescent="0.2">
      <c r="A383" s="4">
        <v>55</v>
      </c>
      <c r="B383" s="4">
        <v>1</v>
      </c>
      <c r="C383" s="4">
        <v>30.684999999999999</v>
      </c>
      <c r="D383" s="4">
        <v>0</v>
      </c>
      <c r="E383" s="4">
        <v>1</v>
      </c>
      <c r="F383" s="4">
        <v>1</v>
      </c>
      <c r="G383" s="4">
        <v>42303.692150000003</v>
      </c>
      <c r="I383" s="23"/>
      <c r="J383" s="23"/>
      <c r="K383" s="23"/>
      <c r="L383" s="23"/>
      <c r="M383" s="23"/>
      <c r="N383" s="23"/>
      <c r="O383" s="23"/>
      <c r="P383" s="23"/>
      <c r="Q383" s="23"/>
      <c r="R383" s="23"/>
    </row>
    <row r="384" spans="1:18" x14ac:dyDescent="0.2">
      <c r="A384" s="4">
        <v>55</v>
      </c>
      <c r="B384" s="4">
        <v>1</v>
      </c>
      <c r="C384" s="4">
        <v>33</v>
      </c>
      <c r="D384" s="4">
        <v>0</v>
      </c>
      <c r="E384" s="4">
        <v>0</v>
      </c>
      <c r="F384" s="4">
        <v>2</v>
      </c>
      <c r="G384" s="4">
        <v>20781.48892</v>
      </c>
      <c r="I384" s="23"/>
      <c r="J384" s="23"/>
      <c r="K384" s="23"/>
      <c r="L384" s="23"/>
      <c r="M384" s="23"/>
      <c r="N384" s="23"/>
      <c r="O384" s="23"/>
      <c r="P384" s="23"/>
      <c r="Q384" s="23"/>
      <c r="R384" s="23"/>
    </row>
    <row r="385" spans="1:18" x14ac:dyDescent="0.2">
      <c r="A385" s="4">
        <v>35</v>
      </c>
      <c r="B385" s="4">
        <v>0</v>
      </c>
      <c r="C385" s="4">
        <v>43.34</v>
      </c>
      <c r="D385" s="4">
        <v>2</v>
      </c>
      <c r="E385" s="4">
        <v>0</v>
      </c>
      <c r="F385" s="4">
        <v>2</v>
      </c>
      <c r="G385" s="4">
        <v>5846.9175999999998</v>
      </c>
      <c r="I385" s="23"/>
      <c r="J385" s="23"/>
      <c r="K385" s="23"/>
      <c r="L385" s="23"/>
      <c r="M385" s="23"/>
      <c r="N385" s="23"/>
      <c r="O385" s="23"/>
      <c r="P385" s="23"/>
      <c r="Q385" s="23"/>
      <c r="R385" s="23"/>
    </row>
    <row r="386" spans="1:18" x14ac:dyDescent="0.2">
      <c r="A386" s="4">
        <v>44</v>
      </c>
      <c r="B386" s="4">
        <v>1</v>
      </c>
      <c r="C386" s="4">
        <v>22.135000000000002</v>
      </c>
      <c r="D386" s="4">
        <v>2</v>
      </c>
      <c r="E386" s="4">
        <v>0</v>
      </c>
      <c r="F386" s="4">
        <v>1</v>
      </c>
      <c r="G386" s="4">
        <v>8302.5356499999998</v>
      </c>
      <c r="I386" s="23"/>
      <c r="J386" s="23"/>
      <c r="K386" s="23"/>
      <c r="L386" s="23"/>
      <c r="M386" s="23"/>
      <c r="N386" s="23"/>
      <c r="O386" s="23"/>
      <c r="P386" s="23"/>
      <c r="Q386" s="23"/>
      <c r="R386" s="23"/>
    </row>
    <row r="387" spans="1:18" x14ac:dyDescent="0.2">
      <c r="A387" s="4">
        <v>19</v>
      </c>
      <c r="B387" s="4">
        <v>1</v>
      </c>
      <c r="C387" s="4">
        <v>34.4</v>
      </c>
      <c r="D387" s="4">
        <v>0</v>
      </c>
      <c r="E387" s="4">
        <v>0</v>
      </c>
      <c r="F387" s="4">
        <v>4</v>
      </c>
      <c r="G387" s="4">
        <v>1261.8589999999999</v>
      </c>
      <c r="I387" s="23"/>
      <c r="J387" s="23"/>
      <c r="K387" s="23"/>
      <c r="L387" s="23"/>
      <c r="M387" s="23"/>
      <c r="N387" s="23"/>
      <c r="O387" s="23"/>
      <c r="P387" s="23"/>
      <c r="Q387" s="23"/>
      <c r="R387" s="23"/>
    </row>
    <row r="388" spans="1:18" x14ac:dyDescent="0.2">
      <c r="A388" s="4">
        <v>58</v>
      </c>
      <c r="B388" s="4">
        <v>0</v>
      </c>
      <c r="C388" s="4">
        <v>39.049999999999997</v>
      </c>
      <c r="D388" s="4">
        <v>0</v>
      </c>
      <c r="E388" s="4">
        <v>0</v>
      </c>
      <c r="F388" s="4">
        <v>2</v>
      </c>
      <c r="G388" s="4">
        <v>11856.4115</v>
      </c>
      <c r="I388" s="23"/>
      <c r="J388" s="23"/>
      <c r="K388" s="23"/>
      <c r="L388" s="23"/>
      <c r="M388" s="23"/>
      <c r="N388" s="23"/>
      <c r="O388" s="23"/>
      <c r="P388" s="23"/>
      <c r="Q388" s="23"/>
      <c r="R388" s="23"/>
    </row>
    <row r="389" spans="1:18" x14ac:dyDescent="0.2">
      <c r="A389" s="4">
        <v>50</v>
      </c>
      <c r="B389" s="4">
        <v>1</v>
      </c>
      <c r="C389" s="4">
        <v>25.364999999999998</v>
      </c>
      <c r="D389" s="4">
        <v>2</v>
      </c>
      <c r="E389" s="4">
        <v>0</v>
      </c>
      <c r="F389" s="4">
        <v>3</v>
      </c>
      <c r="G389" s="4">
        <v>30284.642940000002</v>
      </c>
      <c r="I389" s="23"/>
      <c r="J389" s="23"/>
      <c r="K389" s="23"/>
      <c r="L389" s="23"/>
      <c r="M389" s="23"/>
      <c r="N389" s="23"/>
      <c r="O389" s="23"/>
      <c r="P389" s="23"/>
      <c r="Q389" s="23"/>
      <c r="R389" s="23"/>
    </row>
    <row r="390" spans="1:18" x14ac:dyDescent="0.2">
      <c r="A390" s="4">
        <v>26</v>
      </c>
      <c r="B390" s="4">
        <v>0</v>
      </c>
      <c r="C390" s="4">
        <v>22.61</v>
      </c>
      <c r="D390" s="4">
        <v>0</v>
      </c>
      <c r="E390" s="4">
        <v>0</v>
      </c>
      <c r="F390" s="4">
        <v>3</v>
      </c>
      <c r="G390" s="4">
        <v>3176.8159000000001</v>
      </c>
      <c r="I390" s="23"/>
      <c r="J390" s="23"/>
      <c r="K390" s="23"/>
      <c r="L390" s="23"/>
      <c r="M390" s="23"/>
      <c r="N390" s="23"/>
      <c r="O390" s="23"/>
      <c r="P390" s="23"/>
      <c r="Q390" s="23"/>
      <c r="R390" s="23"/>
    </row>
    <row r="391" spans="1:18" x14ac:dyDescent="0.2">
      <c r="A391" s="4">
        <v>24</v>
      </c>
      <c r="B391" s="4">
        <v>0</v>
      </c>
      <c r="C391" s="4">
        <v>30.21</v>
      </c>
      <c r="D391" s="4">
        <v>3</v>
      </c>
      <c r="E391" s="4">
        <v>0</v>
      </c>
      <c r="F391" s="4">
        <v>3</v>
      </c>
      <c r="G391" s="4">
        <v>4618.0798999999997</v>
      </c>
      <c r="I391" s="23"/>
      <c r="J391" s="23"/>
      <c r="K391" s="23"/>
      <c r="L391" s="23"/>
      <c r="M391" s="23"/>
      <c r="N391" s="23"/>
      <c r="O391" s="23"/>
      <c r="P391" s="23"/>
      <c r="Q391" s="23"/>
      <c r="R391" s="23"/>
    </row>
    <row r="392" spans="1:18" x14ac:dyDescent="0.2">
      <c r="A392" s="4">
        <v>48</v>
      </c>
      <c r="B392" s="4">
        <v>1</v>
      </c>
      <c r="C392" s="4">
        <v>35.625</v>
      </c>
      <c r="D392" s="4">
        <v>4</v>
      </c>
      <c r="E392" s="4">
        <v>0</v>
      </c>
      <c r="F392" s="4">
        <v>1</v>
      </c>
      <c r="G392" s="4">
        <v>10736.87075</v>
      </c>
      <c r="I392" s="23"/>
      <c r="J392" s="23"/>
      <c r="K392" s="23"/>
      <c r="L392" s="23"/>
      <c r="M392" s="23"/>
      <c r="N392" s="23"/>
      <c r="O392" s="23"/>
      <c r="P392" s="23"/>
      <c r="Q392" s="23"/>
      <c r="R392" s="23"/>
    </row>
    <row r="393" spans="1:18" x14ac:dyDescent="0.2">
      <c r="A393" s="4">
        <v>19</v>
      </c>
      <c r="B393" s="4">
        <v>0</v>
      </c>
      <c r="C393" s="4">
        <v>37.43</v>
      </c>
      <c r="D393" s="4">
        <v>0</v>
      </c>
      <c r="E393" s="4">
        <v>0</v>
      </c>
      <c r="F393" s="4">
        <v>3</v>
      </c>
      <c r="G393" s="4">
        <v>2138.0707000000002</v>
      </c>
      <c r="I393" s="23"/>
      <c r="J393" s="23"/>
      <c r="K393" s="23"/>
      <c r="L393" s="23"/>
      <c r="M393" s="23"/>
      <c r="N393" s="23"/>
      <c r="O393" s="23"/>
      <c r="P393" s="23"/>
      <c r="Q393" s="23"/>
      <c r="R393" s="23"/>
    </row>
    <row r="394" spans="1:18" x14ac:dyDescent="0.2">
      <c r="A394" s="4">
        <v>48</v>
      </c>
      <c r="B394" s="4">
        <v>1</v>
      </c>
      <c r="C394" s="4">
        <v>31.445</v>
      </c>
      <c r="D394" s="4">
        <v>1</v>
      </c>
      <c r="E394" s="4">
        <v>0</v>
      </c>
      <c r="F394" s="4">
        <v>1</v>
      </c>
      <c r="G394" s="4">
        <v>8964.0605500000001</v>
      </c>
      <c r="I394" s="23"/>
      <c r="J394" s="23"/>
      <c r="K394" s="23"/>
      <c r="L394" s="23"/>
      <c r="M394" s="23"/>
      <c r="N394" s="23"/>
      <c r="O394" s="23"/>
      <c r="P394" s="23"/>
      <c r="Q394" s="23"/>
      <c r="R394" s="23"/>
    </row>
    <row r="395" spans="1:18" x14ac:dyDescent="0.2">
      <c r="A395" s="4">
        <v>49</v>
      </c>
      <c r="B395" s="4">
        <v>1</v>
      </c>
      <c r="C395" s="4">
        <v>31.35</v>
      </c>
      <c r="D395" s="4">
        <v>1</v>
      </c>
      <c r="E395" s="4">
        <v>0</v>
      </c>
      <c r="F395" s="4">
        <v>1</v>
      </c>
      <c r="G395" s="4">
        <v>9290.1394999999993</v>
      </c>
      <c r="I395" s="23"/>
      <c r="J395" s="23"/>
      <c r="K395" s="23"/>
      <c r="L395" s="23"/>
      <c r="M395" s="23"/>
      <c r="N395" s="23"/>
      <c r="O395" s="23"/>
      <c r="P395" s="23"/>
      <c r="Q395" s="23"/>
      <c r="R395" s="23"/>
    </row>
    <row r="396" spans="1:18" x14ac:dyDescent="0.2">
      <c r="A396" s="4">
        <v>46</v>
      </c>
      <c r="B396" s="4">
        <v>0</v>
      </c>
      <c r="C396" s="4">
        <v>32.299999999999997</v>
      </c>
      <c r="D396" s="4">
        <v>2</v>
      </c>
      <c r="E396" s="4">
        <v>0</v>
      </c>
      <c r="F396" s="4">
        <v>1</v>
      </c>
      <c r="G396" s="4">
        <v>9411.0049999999992</v>
      </c>
      <c r="I396" s="23"/>
      <c r="J396" s="23"/>
      <c r="K396" s="23"/>
      <c r="L396" s="23"/>
      <c r="M396" s="23"/>
      <c r="N396" s="23"/>
      <c r="O396" s="23"/>
      <c r="P396" s="23"/>
      <c r="Q396" s="23"/>
      <c r="R396" s="23"/>
    </row>
    <row r="397" spans="1:18" x14ac:dyDescent="0.2">
      <c r="A397" s="4">
        <v>46</v>
      </c>
      <c r="B397" s="4">
        <v>1</v>
      </c>
      <c r="C397" s="4">
        <v>19.855</v>
      </c>
      <c r="D397" s="4">
        <v>0</v>
      </c>
      <c r="E397" s="4">
        <v>0</v>
      </c>
      <c r="F397" s="4">
        <v>3</v>
      </c>
      <c r="G397" s="4">
        <v>7526.7064499999997</v>
      </c>
      <c r="I397" s="23"/>
      <c r="J397" s="23"/>
      <c r="K397" s="23"/>
      <c r="L397" s="23"/>
      <c r="M397" s="23"/>
      <c r="N397" s="23"/>
      <c r="O397" s="23"/>
      <c r="P397" s="23"/>
      <c r="Q397" s="23"/>
      <c r="R397" s="23"/>
    </row>
    <row r="398" spans="1:18" x14ac:dyDescent="0.2">
      <c r="A398" s="4">
        <v>43</v>
      </c>
      <c r="B398" s="4">
        <v>0</v>
      </c>
      <c r="C398" s="4">
        <v>34.4</v>
      </c>
      <c r="D398" s="4">
        <v>3</v>
      </c>
      <c r="E398" s="4">
        <v>0</v>
      </c>
      <c r="F398" s="4">
        <v>4</v>
      </c>
      <c r="G398" s="4">
        <v>8522.0030000000006</v>
      </c>
      <c r="I398" s="23"/>
      <c r="J398" s="23"/>
      <c r="K398" s="23"/>
      <c r="L398" s="23"/>
      <c r="M398" s="23"/>
      <c r="N398" s="23"/>
      <c r="O398" s="23"/>
      <c r="P398" s="23"/>
      <c r="Q398" s="23"/>
      <c r="R398" s="23"/>
    </row>
    <row r="399" spans="1:18" x14ac:dyDescent="0.2">
      <c r="A399" s="4">
        <v>21</v>
      </c>
      <c r="B399" s="4">
        <v>1</v>
      </c>
      <c r="C399" s="4">
        <v>31.02</v>
      </c>
      <c r="D399" s="4">
        <v>0</v>
      </c>
      <c r="E399" s="4">
        <v>0</v>
      </c>
      <c r="F399" s="4">
        <v>2</v>
      </c>
      <c r="G399" s="4">
        <v>16586.49771</v>
      </c>
      <c r="I399" s="23"/>
      <c r="J399" s="23"/>
      <c r="K399" s="23"/>
      <c r="L399" s="23"/>
      <c r="M399" s="23"/>
      <c r="N399" s="23"/>
      <c r="O399" s="23"/>
      <c r="P399" s="23"/>
      <c r="Q399" s="23"/>
      <c r="R399" s="23"/>
    </row>
    <row r="400" spans="1:18" x14ac:dyDescent="0.2">
      <c r="A400" s="4">
        <v>64</v>
      </c>
      <c r="B400" s="4">
        <v>1</v>
      </c>
      <c r="C400" s="4">
        <v>25.6</v>
      </c>
      <c r="D400" s="4">
        <v>2</v>
      </c>
      <c r="E400" s="4">
        <v>0</v>
      </c>
      <c r="F400" s="4">
        <v>4</v>
      </c>
      <c r="G400" s="4">
        <v>14988.432000000001</v>
      </c>
      <c r="I400" s="23"/>
      <c r="J400" s="23"/>
      <c r="K400" s="23"/>
      <c r="L400" s="23"/>
      <c r="M400" s="23"/>
      <c r="N400" s="23"/>
      <c r="O400" s="23"/>
      <c r="P400" s="23"/>
      <c r="Q400" s="23"/>
      <c r="R400" s="23"/>
    </row>
    <row r="401" spans="1:18" x14ac:dyDescent="0.2">
      <c r="A401" s="4">
        <v>18</v>
      </c>
      <c r="B401" s="4">
        <v>0</v>
      </c>
      <c r="C401" s="4">
        <v>38.17</v>
      </c>
      <c r="D401" s="4">
        <v>0</v>
      </c>
      <c r="E401" s="4">
        <v>0</v>
      </c>
      <c r="F401" s="4">
        <v>2</v>
      </c>
      <c r="G401" s="4">
        <v>1631.6683</v>
      </c>
      <c r="I401" s="23"/>
      <c r="J401" s="23"/>
      <c r="K401" s="23"/>
      <c r="L401" s="23"/>
      <c r="M401" s="23"/>
      <c r="N401" s="23"/>
      <c r="O401" s="23"/>
      <c r="P401" s="23"/>
      <c r="Q401" s="23"/>
      <c r="R401" s="23"/>
    </row>
    <row r="402" spans="1:18" x14ac:dyDescent="0.2">
      <c r="A402" s="4">
        <v>51</v>
      </c>
      <c r="B402" s="4">
        <v>0</v>
      </c>
      <c r="C402" s="4">
        <v>20.6</v>
      </c>
      <c r="D402" s="4">
        <v>0</v>
      </c>
      <c r="E402" s="4">
        <v>0</v>
      </c>
      <c r="F402" s="4">
        <v>4</v>
      </c>
      <c r="G402" s="4">
        <v>9264.7970000000005</v>
      </c>
      <c r="I402" s="23"/>
      <c r="J402" s="23"/>
      <c r="K402" s="23"/>
      <c r="L402" s="23"/>
      <c r="M402" s="23"/>
      <c r="N402" s="23"/>
      <c r="O402" s="23"/>
      <c r="P402" s="23"/>
      <c r="Q402" s="23"/>
      <c r="R402" s="23"/>
    </row>
    <row r="403" spans="1:18" x14ac:dyDescent="0.2">
      <c r="A403" s="4">
        <v>47</v>
      </c>
      <c r="B403" s="4">
        <v>1</v>
      </c>
      <c r="C403" s="4">
        <v>47.52</v>
      </c>
      <c r="D403" s="4">
        <v>1</v>
      </c>
      <c r="E403" s="4">
        <v>0</v>
      </c>
      <c r="F403" s="4">
        <v>2</v>
      </c>
      <c r="G403" s="4">
        <v>8083.9197999999997</v>
      </c>
      <c r="I403" s="23"/>
      <c r="J403" s="23"/>
      <c r="K403" s="23"/>
      <c r="L403" s="23"/>
      <c r="M403" s="23"/>
      <c r="N403" s="23"/>
      <c r="O403" s="23"/>
      <c r="P403" s="23"/>
      <c r="Q403" s="23"/>
      <c r="R403" s="23"/>
    </row>
    <row r="404" spans="1:18" x14ac:dyDescent="0.2">
      <c r="A404" s="4">
        <v>64</v>
      </c>
      <c r="B404" s="4">
        <v>0</v>
      </c>
      <c r="C404" s="4">
        <v>32.965000000000003</v>
      </c>
      <c r="D404" s="4">
        <v>0</v>
      </c>
      <c r="E404" s="4">
        <v>0</v>
      </c>
      <c r="F404" s="4">
        <v>3</v>
      </c>
      <c r="G404" s="4">
        <v>14692.66935</v>
      </c>
      <c r="I404" s="23"/>
      <c r="J404" s="23"/>
      <c r="K404" s="23"/>
      <c r="L404" s="23"/>
      <c r="M404" s="23"/>
      <c r="N404" s="23"/>
      <c r="O404" s="23"/>
      <c r="P404" s="23"/>
      <c r="Q404" s="23"/>
      <c r="R404" s="23"/>
    </row>
    <row r="405" spans="1:18" x14ac:dyDescent="0.2">
      <c r="A405" s="4">
        <v>49</v>
      </c>
      <c r="B405" s="4">
        <v>1</v>
      </c>
      <c r="C405" s="4">
        <v>32.299999999999997</v>
      </c>
      <c r="D405" s="4">
        <v>3</v>
      </c>
      <c r="E405" s="4">
        <v>0</v>
      </c>
      <c r="F405" s="4">
        <v>3</v>
      </c>
      <c r="G405" s="4">
        <v>10269.459999999999</v>
      </c>
      <c r="I405" s="23"/>
      <c r="J405" s="23"/>
      <c r="K405" s="23"/>
      <c r="L405" s="23"/>
      <c r="M405" s="23"/>
      <c r="N405" s="23"/>
      <c r="O405" s="23"/>
      <c r="P405" s="23"/>
      <c r="Q405" s="23"/>
      <c r="R405" s="23"/>
    </row>
    <row r="406" spans="1:18" x14ac:dyDescent="0.2">
      <c r="A406" s="4">
        <v>31</v>
      </c>
      <c r="B406" s="4">
        <v>1</v>
      </c>
      <c r="C406" s="4">
        <v>20.399999999999999</v>
      </c>
      <c r="D406" s="4">
        <v>0</v>
      </c>
      <c r="E406" s="4">
        <v>0</v>
      </c>
      <c r="F406" s="4">
        <v>4</v>
      </c>
      <c r="G406" s="4">
        <v>3260.1990000000001</v>
      </c>
      <c r="I406" s="23"/>
      <c r="J406" s="23"/>
      <c r="K406" s="23"/>
      <c r="L406" s="23"/>
      <c r="M406" s="23"/>
      <c r="N406" s="23"/>
      <c r="O406" s="23"/>
      <c r="P406" s="23"/>
      <c r="Q406" s="23"/>
      <c r="R406" s="23"/>
    </row>
    <row r="407" spans="1:18" x14ac:dyDescent="0.2">
      <c r="A407" s="4">
        <v>52</v>
      </c>
      <c r="B407" s="4">
        <v>0</v>
      </c>
      <c r="C407" s="4">
        <v>38.380000000000003</v>
      </c>
      <c r="D407" s="4">
        <v>2</v>
      </c>
      <c r="E407" s="4">
        <v>0</v>
      </c>
      <c r="F407" s="4">
        <v>1</v>
      </c>
      <c r="G407" s="4">
        <v>11396.9002</v>
      </c>
      <c r="I407" s="23"/>
      <c r="J407" s="23"/>
      <c r="K407" s="23"/>
      <c r="L407" s="23"/>
      <c r="M407" s="23"/>
      <c r="N407" s="23"/>
      <c r="O407" s="23"/>
      <c r="P407" s="23"/>
      <c r="Q407" s="23"/>
      <c r="R407" s="23"/>
    </row>
    <row r="408" spans="1:18" x14ac:dyDescent="0.2">
      <c r="A408" s="4">
        <v>33</v>
      </c>
      <c r="B408" s="4">
        <v>0</v>
      </c>
      <c r="C408" s="4">
        <v>24.31</v>
      </c>
      <c r="D408" s="4">
        <v>0</v>
      </c>
      <c r="E408" s="4">
        <v>0</v>
      </c>
      <c r="F408" s="4">
        <v>2</v>
      </c>
      <c r="G408" s="4">
        <v>4185.0978999999998</v>
      </c>
      <c r="I408" s="23"/>
      <c r="J408" s="23"/>
      <c r="K408" s="23"/>
      <c r="L408" s="23"/>
      <c r="M408" s="23"/>
      <c r="N408" s="23"/>
      <c r="O408" s="23"/>
      <c r="P408" s="23"/>
      <c r="Q408" s="23"/>
      <c r="R408" s="23"/>
    </row>
    <row r="409" spans="1:18" x14ac:dyDescent="0.2">
      <c r="A409" s="4">
        <v>47</v>
      </c>
      <c r="B409" s="4">
        <v>0</v>
      </c>
      <c r="C409" s="4">
        <v>23.6</v>
      </c>
      <c r="D409" s="4">
        <v>1</v>
      </c>
      <c r="E409" s="4">
        <v>0</v>
      </c>
      <c r="F409" s="4">
        <v>4</v>
      </c>
      <c r="G409" s="4">
        <v>8539.6710000000003</v>
      </c>
      <c r="I409" s="23"/>
      <c r="J409" s="23"/>
      <c r="K409" s="23"/>
      <c r="L409" s="23"/>
      <c r="M409" s="23"/>
      <c r="N409" s="23"/>
      <c r="O409" s="23"/>
      <c r="P409" s="23"/>
      <c r="Q409" s="23"/>
      <c r="R409" s="23"/>
    </row>
    <row r="410" spans="1:18" x14ac:dyDescent="0.2">
      <c r="A410" s="4">
        <v>38</v>
      </c>
      <c r="B410" s="4">
        <v>1</v>
      </c>
      <c r="C410" s="4">
        <v>21.12</v>
      </c>
      <c r="D410" s="4">
        <v>3</v>
      </c>
      <c r="E410" s="4">
        <v>0</v>
      </c>
      <c r="F410" s="4">
        <v>2</v>
      </c>
      <c r="G410" s="4">
        <v>6652.5288</v>
      </c>
      <c r="I410" s="23"/>
      <c r="J410" s="23"/>
      <c r="K410" s="23"/>
      <c r="L410" s="23"/>
      <c r="M410" s="23"/>
      <c r="N410" s="23"/>
      <c r="O410" s="23"/>
      <c r="P410" s="23"/>
      <c r="Q410" s="23"/>
      <c r="R410" s="23"/>
    </row>
    <row r="411" spans="1:18" x14ac:dyDescent="0.2">
      <c r="A411" s="4">
        <v>32</v>
      </c>
      <c r="B411" s="4">
        <v>1</v>
      </c>
      <c r="C411" s="4">
        <v>30.03</v>
      </c>
      <c r="D411" s="4">
        <v>1</v>
      </c>
      <c r="E411" s="4">
        <v>0</v>
      </c>
      <c r="F411" s="4">
        <v>2</v>
      </c>
      <c r="G411" s="4">
        <v>4074.4537</v>
      </c>
      <c r="I411" s="23"/>
      <c r="J411" s="23"/>
      <c r="K411" s="23"/>
      <c r="L411" s="23"/>
      <c r="M411" s="23"/>
      <c r="N411" s="23"/>
      <c r="O411" s="23"/>
      <c r="P411" s="23"/>
      <c r="Q411" s="23"/>
      <c r="R411" s="23"/>
    </row>
    <row r="412" spans="1:18" x14ac:dyDescent="0.2">
      <c r="A412" s="4">
        <v>19</v>
      </c>
      <c r="B412" s="4">
        <v>1</v>
      </c>
      <c r="C412" s="4">
        <v>17.48</v>
      </c>
      <c r="D412" s="4">
        <v>0</v>
      </c>
      <c r="E412" s="4">
        <v>0</v>
      </c>
      <c r="F412" s="4">
        <v>3</v>
      </c>
      <c r="G412" s="4">
        <v>1621.3402000000001</v>
      </c>
      <c r="I412" s="23"/>
      <c r="J412" s="23"/>
      <c r="K412" s="23"/>
      <c r="L412" s="23"/>
      <c r="M412" s="23"/>
      <c r="N412" s="23"/>
      <c r="O412" s="23"/>
      <c r="P412" s="23"/>
      <c r="Q412" s="23"/>
      <c r="R412" s="23"/>
    </row>
    <row r="413" spans="1:18" x14ac:dyDescent="0.2">
      <c r="A413" s="4">
        <v>44</v>
      </c>
      <c r="B413" s="4">
        <v>0</v>
      </c>
      <c r="C413" s="4">
        <v>20.234999999999999</v>
      </c>
      <c r="D413" s="4">
        <v>1</v>
      </c>
      <c r="E413" s="4">
        <v>1</v>
      </c>
      <c r="F413" s="4">
        <v>1</v>
      </c>
      <c r="G413" s="4">
        <v>19594.809649999999</v>
      </c>
      <c r="I413" s="23"/>
      <c r="J413" s="23"/>
      <c r="K413" s="23"/>
      <c r="L413" s="23"/>
      <c r="M413" s="23"/>
      <c r="N413" s="23"/>
      <c r="O413" s="23"/>
      <c r="P413" s="23"/>
      <c r="Q413" s="23"/>
      <c r="R413" s="23"/>
    </row>
    <row r="414" spans="1:18" x14ac:dyDescent="0.2">
      <c r="A414" s="4">
        <v>26</v>
      </c>
      <c r="B414" s="4">
        <v>0</v>
      </c>
      <c r="C414" s="4">
        <v>17.195</v>
      </c>
      <c r="D414" s="4">
        <v>2</v>
      </c>
      <c r="E414" s="4">
        <v>1</v>
      </c>
      <c r="F414" s="4">
        <v>1</v>
      </c>
      <c r="G414" s="4">
        <v>14455.644050000001</v>
      </c>
      <c r="I414" s="23"/>
      <c r="J414" s="23"/>
      <c r="K414" s="23"/>
      <c r="L414" s="23"/>
      <c r="M414" s="23"/>
      <c r="N414" s="23"/>
      <c r="O414" s="23"/>
      <c r="P414" s="23"/>
      <c r="Q414" s="23"/>
      <c r="R414" s="23"/>
    </row>
    <row r="415" spans="1:18" x14ac:dyDescent="0.2">
      <c r="A415" s="4">
        <v>25</v>
      </c>
      <c r="B415" s="4">
        <v>1</v>
      </c>
      <c r="C415" s="4">
        <v>23.9</v>
      </c>
      <c r="D415" s="4">
        <v>5</v>
      </c>
      <c r="E415" s="4">
        <v>0</v>
      </c>
      <c r="F415" s="4">
        <v>4</v>
      </c>
      <c r="G415" s="4">
        <v>5080.0959999999995</v>
      </c>
      <c r="I415" s="23"/>
      <c r="J415" s="23"/>
      <c r="K415" s="23"/>
      <c r="L415" s="23"/>
      <c r="M415" s="23"/>
      <c r="N415" s="23"/>
      <c r="O415" s="23"/>
      <c r="P415" s="23"/>
      <c r="Q415" s="23"/>
      <c r="R415" s="23"/>
    </row>
    <row r="416" spans="1:18" x14ac:dyDescent="0.2">
      <c r="A416" s="4">
        <v>19</v>
      </c>
      <c r="B416" s="4">
        <v>0</v>
      </c>
      <c r="C416" s="4">
        <v>35.15</v>
      </c>
      <c r="D416" s="4">
        <v>0</v>
      </c>
      <c r="E416" s="4">
        <v>0</v>
      </c>
      <c r="F416" s="4">
        <v>3</v>
      </c>
      <c r="G416" s="4">
        <v>2134.9014999999999</v>
      </c>
      <c r="I416" s="23"/>
      <c r="J416" s="23"/>
      <c r="K416" s="23"/>
      <c r="L416" s="23"/>
      <c r="M416" s="23"/>
      <c r="N416" s="23"/>
      <c r="O416" s="23"/>
      <c r="P416" s="23"/>
      <c r="Q416" s="23"/>
      <c r="R416" s="23"/>
    </row>
    <row r="417" spans="1:18" x14ac:dyDescent="0.2">
      <c r="A417" s="4">
        <v>43</v>
      </c>
      <c r="B417" s="4">
        <v>0</v>
      </c>
      <c r="C417" s="4">
        <v>35.64</v>
      </c>
      <c r="D417" s="4">
        <v>1</v>
      </c>
      <c r="E417" s="4">
        <v>0</v>
      </c>
      <c r="F417" s="4">
        <v>2</v>
      </c>
      <c r="G417" s="4">
        <v>7345.7266</v>
      </c>
      <c r="I417" s="23"/>
      <c r="J417" s="23"/>
      <c r="K417" s="23"/>
      <c r="L417" s="23"/>
      <c r="M417" s="23"/>
      <c r="N417" s="23"/>
      <c r="O417" s="23"/>
      <c r="P417" s="23"/>
      <c r="Q417" s="23"/>
      <c r="R417" s="23"/>
    </row>
    <row r="418" spans="1:18" x14ac:dyDescent="0.2">
      <c r="A418" s="4">
        <v>52</v>
      </c>
      <c r="B418" s="4">
        <v>1</v>
      </c>
      <c r="C418" s="4">
        <v>34.1</v>
      </c>
      <c r="D418" s="4">
        <v>0</v>
      </c>
      <c r="E418" s="4">
        <v>0</v>
      </c>
      <c r="F418" s="4">
        <v>2</v>
      </c>
      <c r="G418" s="4">
        <v>9140.9509999999991</v>
      </c>
      <c r="I418" s="23"/>
      <c r="J418" s="23"/>
      <c r="K418" s="23"/>
      <c r="L418" s="23"/>
      <c r="M418" s="23"/>
      <c r="N418" s="23"/>
      <c r="O418" s="23"/>
      <c r="P418" s="23"/>
      <c r="Q418" s="23"/>
      <c r="R418" s="23"/>
    </row>
    <row r="419" spans="1:18" x14ac:dyDescent="0.2">
      <c r="A419" s="4">
        <v>36</v>
      </c>
      <c r="B419" s="4">
        <v>0</v>
      </c>
      <c r="C419" s="4">
        <v>22.6</v>
      </c>
      <c r="D419" s="4">
        <v>2</v>
      </c>
      <c r="E419" s="4">
        <v>1</v>
      </c>
      <c r="F419" s="4">
        <v>4</v>
      </c>
      <c r="G419" s="4">
        <v>18608.261999999999</v>
      </c>
      <c r="I419" s="23"/>
      <c r="J419" s="23"/>
      <c r="K419" s="23"/>
      <c r="L419" s="23"/>
      <c r="M419" s="23"/>
      <c r="N419" s="23"/>
      <c r="O419" s="23"/>
      <c r="P419" s="23"/>
      <c r="Q419" s="23"/>
      <c r="R419" s="23"/>
    </row>
    <row r="420" spans="1:18" x14ac:dyDescent="0.2">
      <c r="A420" s="4">
        <v>64</v>
      </c>
      <c r="B420" s="4">
        <v>1</v>
      </c>
      <c r="C420" s="4">
        <v>39.159999999999997</v>
      </c>
      <c r="D420" s="4">
        <v>1</v>
      </c>
      <c r="E420" s="4">
        <v>0</v>
      </c>
      <c r="F420" s="4">
        <v>2</v>
      </c>
      <c r="G420" s="4">
        <v>14418.2804</v>
      </c>
      <c r="I420" s="23"/>
      <c r="J420" s="23"/>
      <c r="K420" s="23"/>
      <c r="L420" s="23"/>
      <c r="M420" s="23"/>
      <c r="N420" s="23"/>
      <c r="O420" s="23"/>
      <c r="P420" s="23"/>
      <c r="Q420" s="23"/>
      <c r="R420" s="23"/>
    </row>
    <row r="421" spans="1:18" x14ac:dyDescent="0.2">
      <c r="A421" s="4">
        <v>63</v>
      </c>
      <c r="B421" s="4">
        <v>0</v>
      </c>
      <c r="C421" s="4">
        <v>26.98</v>
      </c>
      <c r="D421" s="4">
        <v>0</v>
      </c>
      <c r="E421" s="4">
        <v>1</v>
      </c>
      <c r="F421" s="4">
        <v>3</v>
      </c>
      <c r="G421" s="4">
        <v>28950.4692</v>
      </c>
      <c r="I421" s="23"/>
      <c r="J421" s="23"/>
      <c r="K421" s="23"/>
      <c r="L421" s="23"/>
      <c r="M421" s="23"/>
      <c r="N421" s="23"/>
      <c r="O421" s="23"/>
      <c r="P421" s="23"/>
      <c r="Q421" s="23"/>
      <c r="R421" s="23"/>
    </row>
    <row r="422" spans="1:18" x14ac:dyDescent="0.2">
      <c r="A422" s="4">
        <v>64</v>
      </c>
      <c r="B422" s="4">
        <v>1</v>
      </c>
      <c r="C422" s="4">
        <v>33.880000000000003</v>
      </c>
      <c r="D422" s="4">
        <v>0</v>
      </c>
      <c r="E422" s="4">
        <v>1</v>
      </c>
      <c r="F422" s="4">
        <v>2</v>
      </c>
      <c r="G422" s="4">
        <v>46889.261200000001</v>
      </c>
      <c r="I422" s="23"/>
      <c r="J422" s="23"/>
      <c r="K422" s="23"/>
      <c r="L422" s="23"/>
      <c r="M422" s="23"/>
      <c r="N422" s="23"/>
      <c r="O422" s="23"/>
      <c r="P422" s="23"/>
      <c r="Q422" s="23"/>
      <c r="R422" s="23"/>
    </row>
    <row r="423" spans="1:18" x14ac:dyDescent="0.2">
      <c r="A423" s="4">
        <v>61</v>
      </c>
      <c r="B423" s="4">
        <v>1</v>
      </c>
      <c r="C423" s="4">
        <v>35.86</v>
      </c>
      <c r="D423" s="4">
        <v>0</v>
      </c>
      <c r="E423" s="4">
        <v>1</v>
      </c>
      <c r="F423" s="4">
        <v>2</v>
      </c>
      <c r="G423" s="4">
        <v>46599.108399999997</v>
      </c>
      <c r="I423" s="23"/>
      <c r="J423" s="23"/>
      <c r="K423" s="23"/>
      <c r="L423" s="23"/>
      <c r="M423" s="23"/>
      <c r="N423" s="23"/>
      <c r="O423" s="23"/>
      <c r="P423" s="23"/>
      <c r="Q423" s="23"/>
      <c r="R423" s="23"/>
    </row>
    <row r="424" spans="1:18" x14ac:dyDescent="0.2">
      <c r="A424" s="4">
        <v>40</v>
      </c>
      <c r="B424" s="4">
        <v>1</v>
      </c>
      <c r="C424" s="4">
        <v>32.774999999999999</v>
      </c>
      <c r="D424" s="4">
        <v>1</v>
      </c>
      <c r="E424" s="4">
        <v>1</v>
      </c>
      <c r="F424" s="4">
        <v>1</v>
      </c>
      <c r="G424" s="4">
        <v>39125.332249999999</v>
      </c>
      <c r="I424" s="23"/>
      <c r="J424" s="23"/>
      <c r="K424" s="23"/>
      <c r="L424" s="23"/>
      <c r="M424" s="23"/>
      <c r="N424" s="23"/>
      <c r="O424" s="23"/>
      <c r="P424" s="23"/>
      <c r="Q424" s="23"/>
      <c r="R424" s="23"/>
    </row>
    <row r="425" spans="1:18" x14ac:dyDescent="0.2">
      <c r="A425" s="4">
        <v>25</v>
      </c>
      <c r="B425" s="4">
        <v>1</v>
      </c>
      <c r="C425" s="4">
        <v>30.59</v>
      </c>
      <c r="D425" s="4">
        <v>0</v>
      </c>
      <c r="E425" s="4">
        <v>0</v>
      </c>
      <c r="F425" s="4">
        <v>1</v>
      </c>
      <c r="G425" s="4">
        <v>2727.3951000000002</v>
      </c>
      <c r="I425" s="23"/>
      <c r="J425" s="23"/>
      <c r="K425" s="23"/>
      <c r="L425" s="23"/>
      <c r="M425" s="23"/>
      <c r="N425" s="23"/>
      <c r="O425" s="23"/>
      <c r="P425" s="23"/>
      <c r="Q425" s="23"/>
      <c r="R425" s="23"/>
    </row>
    <row r="426" spans="1:18" x14ac:dyDescent="0.2">
      <c r="A426" s="4">
        <v>48</v>
      </c>
      <c r="B426" s="4">
        <v>1</v>
      </c>
      <c r="C426" s="4">
        <v>30.2</v>
      </c>
      <c r="D426" s="4">
        <v>2</v>
      </c>
      <c r="E426" s="4">
        <v>0</v>
      </c>
      <c r="F426" s="4">
        <v>4</v>
      </c>
      <c r="G426" s="4">
        <v>8968.33</v>
      </c>
      <c r="I426" s="23"/>
      <c r="J426" s="23"/>
      <c r="K426" s="23"/>
      <c r="L426" s="23"/>
      <c r="M426" s="23"/>
      <c r="N426" s="23"/>
      <c r="O426" s="23"/>
      <c r="P426" s="23"/>
      <c r="Q426" s="23"/>
      <c r="R426" s="23"/>
    </row>
    <row r="427" spans="1:18" x14ac:dyDescent="0.2">
      <c r="A427" s="4">
        <v>45</v>
      </c>
      <c r="B427" s="4">
        <v>1</v>
      </c>
      <c r="C427" s="4">
        <v>24.31</v>
      </c>
      <c r="D427" s="4">
        <v>5</v>
      </c>
      <c r="E427" s="4">
        <v>0</v>
      </c>
      <c r="F427" s="4">
        <v>2</v>
      </c>
      <c r="G427" s="4">
        <v>9788.8659000000007</v>
      </c>
      <c r="I427" s="23"/>
      <c r="J427" s="23"/>
      <c r="K427" s="23"/>
      <c r="L427" s="23"/>
      <c r="M427" s="23"/>
      <c r="N427" s="23"/>
      <c r="O427" s="23"/>
      <c r="P427" s="23"/>
      <c r="Q427" s="23"/>
      <c r="R427" s="23"/>
    </row>
    <row r="428" spans="1:18" x14ac:dyDescent="0.2">
      <c r="A428" s="4">
        <v>38</v>
      </c>
      <c r="B428" s="4">
        <v>0</v>
      </c>
      <c r="C428" s="4">
        <v>27.265000000000001</v>
      </c>
      <c r="D428" s="4">
        <v>1</v>
      </c>
      <c r="E428" s="4">
        <v>0</v>
      </c>
      <c r="F428" s="4">
        <v>1</v>
      </c>
      <c r="G428" s="4">
        <v>6555.07035</v>
      </c>
      <c r="I428" s="23"/>
      <c r="J428" s="23"/>
      <c r="K428" s="23"/>
      <c r="L428" s="23"/>
      <c r="M428" s="23"/>
      <c r="N428" s="23"/>
      <c r="O428" s="23"/>
      <c r="P428" s="23"/>
      <c r="Q428" s="23"/>
      <c r="R428" s="23"/>
    </row>
    <row r="429" spans="1:18" x14ac:dyDescent="0.2">
      <c r="A429" s="4">
        <v>18</v>
      </c>
      <c r="B429" s="4">
        <v>0</v>
      </c>
      <c r="C429" s="4">
        <v>29.164999999999999</v>
      </c>
      <c r="D429" s="4">
        <v>0</v>
      </c>
      <c r="E429" s="4">
        <v>0</v>
      </c>
      <c r="F429" s="4">
        <v>1</v>
      </c>
      <c r="G429" s="4">
        <v>7323.7348190000002</v>
      </c>
      <c r="I429" s="23"/>
      <c r="J429" s="23"/>
      <c r="K429" s="23"/>
      <c r="L429" s="23"/>
      <c r="M429" s="23"/>
      <c r="N429" s="23"/>
      <c r="O429" s="23"/>
      <c r="P429" s="23"/>
      <c r="Q429" s="23"/>
      <c r="R429" s="23"/>
    </row>
    <row r="430" spans="1:18" x14ac:dyDescent="0.2">
      <c r="A430" s="4">
        <v>21</v>
      </c>
      <c r="B430" s="4">
        <v>0</v>
      </c>
      <c r="C430" s="4">
        <v>16.815000000000001</v>
      </c>
      <c r="D430" s="4">
        <v>1</v>
      </c>
      <c r="E430" s="4">
        <v>0</v>
      </c>
      <c r="F430" s="4">
        <v>1</v>
      </c>
      <c r="G430" s="4">
        <v>3167.4558499999998</v>
      </c>
      <c r="I430" s="23"/>
      <c r="J430" s="23"/>
      <c r="K430" s="23"/>
      <c r="L430" s="23"/>
      <c r="M430" s="23"/>
      <c r="N430" s="23"/>
      <c r="O430" s="23"/>
      <c r="P430" s="23"/>
      <c r="Q430" s="23"/>
      <c r="R430" s="23"/>
    </row>
    <row r="431" spans="1:18" x14ac:dyDescent="0.2">
      <c r="A431" s="4">
        <v>27</v>
      </c>
      <c r="B431" s="4">
        <v>0</v>
      </c>
      <c r="C431" s="4">
        <v>30.4</v>
      </c>
      <c r="D431" s="4">
        <v>3</v>
      </c>
      <c r="E431" s="4">
        <v>0</v>
      </c>
      <c r="F431" s="4">
        <v>3</v>
      </c>
      <c r="G431" s="4">
        <v>18804.752400000001</v>
      </c>
      <c r="I431" s="23"/>
      <c r="J431" s="23"/>
      <c r="K431" s="23"/>
      <c r="L431" s="23"/>
      <c r="M431" s="23"/>
      <c r="N431" s="23"/>
      <c r="O431" s="23"/>
      <c r="P431" s="23"/>
      <c r="Q431" s="23"/>
      <c r="R431" s="23"/>
    </row>
    <row r="432" spans="1:18" x14ac:dyDescent="0.2">
      <c r="A432" s="4">
        <v>19</v>
      </c>
      <c r="B432" s="4">
        <v>1</v>
      </c>
      <c r="C432" s="4">
        <v>33.1</v>
      </c>
      <c r="D432" s="4">
        <v>0</v>
      </c>
      <c r="E432" s="4">
        <v>0</v>
      </c>
      <c r="F432" s="4">
        <v>4</v>
      </c>
      <c r="G432" s="4">
        <v>23082.955330000001</v>
      </c>
      <c r="I432" s="23"/>
      <c r="J432" s="23"/>
      <c r="K432" s="23"/>
      <c r="L432" s="23"/>
      <c r="M432" s="23"/>
      <c r="N432" s="23"/>
      <c r="O432" s="23"/>
      <c r="P432" s="23"/>
      <c r="Q432" s="23"/>
      <c r="R432" s="23"/>
    </row>
    <row r="433" spans="1:18" x14ac:dyDescent="0.2">
      <c r="A433" s="4">
        <v>29</v>
      </c>
      <c r="B433" s="4">
        <v>0</v>
      </c>
      <c r="C433" s="4">
        <v>20.234999999999999</v>
      </c>
      <c r="D433" s="4">
        <v>2</v>
      </c>
      <c r="E433" s="4">
        <v>0</v>
      </c>
      <c r="F433" s="4">
        <v>3</v>
      </c>
      <c r="G433" s="4">
        <v>4906.4096499999996</v>
      </c>
      <c r="I433" s="23"/>
      <c r="J433" s="23"/>
      <c r="K433" s="23"/>
      <c r="L433" s="23"/>
      <c r="M433" s="23"/>
      <c r="N433" s="23"/>
      <c r="O433" s="23"/>
      <c r="P433" s="23"/>
      <c r="Q433" s="23"/>
      <c r="R433" s="23"/>
    </row>
    <row r="434" spans="1:18" x14ac:dyDescent="0.2">
      <c r="A434" s="4">
        <v>42</v>
      </c>
      <c r="B434" s="4">
        <v>1</v>
      </c>
      <c r="C434" s="4">
        <v>26.9</v>
      </c>
      <c r="D434" s="4">
        <v>0</v>
      </c>
      <c r="E434" s="4">
        <v>0</v>
      </c>
      <c r="F434" s="4">
        <v>4</v>
      </c>
      <c r="G434" s="4">
        <v>5969.723</v>
      </c>
      <c r="I434" s="23"/>
      <c r="J434" s="23"/>
      <c r="K434" s="23"/>
      <c r="L434" s="23"/>
      <c r="M434" s="23"/>
      <c r="N434" s="23"/>
      <c r="O434" s="23"/>
      <c r="P434" s="23"/>
      <c r="Q434" s="23"/>
      <c r="R434" s="23"/>
    </row>
    <row r="435" spans="1:18" x14ac:dyDescent="0.2">
      <c r="A435" s="4">
        <v>60</v>
      </c>
      <c r="B435" s="4">
        <v>0</v>
      </c>
      <c r="C435" s="4">
        <v>30.5</v>
      </c>
      <c r="D435" s="4">
        <v>0</v>
      </c>
      <c r="E435" s="4">
        <v>0</v>
      </c>
      <c r="F435" s="4">
        <v>4</v>
      </c>
      <c r="G435" s="4">
        <v>12638.195</v>
      </c>
      <c r="I435" s="23"/>
      <c r="J435" s="23"/>
      <c r="K435" s="23"/>
      <c r="L435" s="23"/>
      <c r="M435" s="23"/>
      <c r="N435" s="23"/>
      <c r="O435" s="23"/>
      <c r="P435" s="23"/>
      <c r="Q435" s="23"/>
      <c r="R435" s="23"/>
    </row>
    <row r="436" spans="1:18" x14ac:dyDescent="0.2">
      <c r="A436" s="4">
        <v>31</v>
      </c>
      <c r="B436" s="4">
        <v>1</v>
      </c>
      <c r="C436" s="4">
        <v>28.594999999999999</v>
      </c>
      <c r="D436" s="4">
        <v>1</v>
      </c>
      <c r="E436" s="4">
        <v>0</v>
      </c>
      <c r="F436" s="4">
        <v>3</v>
      </c>
      <c r="G436" s="4">
        <v>4243.5900499999998</v>
      </c>
      <c r="I436" s="23"/>
      <c r="J436" s="23"/>
      <c r="K436" s="23"/>
      <c r="L436" s="23"/>
      <c r="M436" s="23"/>
      <c r="N436" s="23"/>
      <c r="O436" s="23"/>
      <c r="P436" s="23"/>
      <c r="Q436" s="23"/>
      <c r="R436" s="23"/>
    </row>
    <row r="437" spans="1:18" x14ac:dyDescent="0.2">
      <c r="A437" s="4">
        <v>60</v>
      </c>
      <c r="B437" s="4">
        <v>1</v>
      </c>
      <c r="C437" s="4">
        <v>33.11</v>
      </c>
      <c r="D437" s="4">
        <v>3</v>
      </c>
      <c r="E437" s="4">
        <v>0</v>
      </c>
      <c r="F437" s="4">
        <v>2</v>
      </c>
      <c r="G437" s="4">
        <v>13919.822899999999</v>
      </c>
      <c r="I437" s="23"/>
      <c r="J437" s="23"/>
      <c r="K437" s="23"/>
      <c r="L437" s="23"/>
      <c r="M437" s="23"/>
      <c r="N437" s="23"/>
      <c r="O437" s="23"/>
      <c r="P437" s="23"/>
      <c r="Q437" s="23"/>
      <c r="R437" s="23"/>
    </row>
    <row r="438" spans="1:18" x14ac:dyDescent="0.2">
      <c r="A438" s="4">
        <v>22</v>
      </c>
      <c r="B438" s="4">
        <v>1</v>
      </c>
      <c r="C438" s="4">
        <v>31.73</v>
      </c>
      <c r="D438" s="4">
        <v>0</v>
      </c>
      <c r="E438" s="4">
        <v>0</v>
      </c>
      <c r="F438" s="4">
        <v>1</v>
      </c>
      <c r="G438" s="4">
        <v>2254.7966999999999</v>
      </c>
      <c r="I438" s="23"/>
      <c r="J438" s="23"/>
      <c r="K438" s="23"/>
      <c r="L438" s="23"/>
      <c r="M438" s="23"/>
      <c r="N438" s="23"/>
      <c r="O438" s="23"/>
      <c r="P438" s="23"/>
      <c r="Q438" s="23"/>
      <c r="R438" s="23"/>
    </row>
    <row r="439" spans="1:18" x14ac:dyDescent="0.2">
      <c r="A439" s="4">
        <v>35</v>
      </c>
      <c r="B439" s="4">
        <v>1</v>
      </c>
      <c r="C439" s="4">
        <v>28.9</v>
      </c>
      <c r="D439" s="4">
        <v>3</v>
      </c>
      <c r="E439" s="4">
        <v>0</v>
      </c>
      <c r="F439" s="4">
        <v>4</v>
      </c>
      <c r="G439" s="4">
        <v>5926.8459999999995</v>
      </c>
      <c r="I439" s="23"/>
      <c r="J439" s="23"/>
      <c r="K439" s="23"/>
      <c r="L439" s="23"/>
      <c r="M439" s="23"/>
      <c r="N439" s="23"/>
      <c r="O439" s="23"/>
      <c r="P439" s="23"/>
      <c r="Q439" s="23"/>
      <c r="R439" s="23"/>
    </row>
    <row r="440" spans="1:18" x14ac:dyDescent="0.2">
      <c r="A440" s="4">
        <v>52</v>
      </c>
      <c r="B440" s="4">
        <v>0</v>
      </c>
      <c r="C440" s="4">
        <v>46.75</v>
      </c>
      <c r="D440" s="4">
        <v>5</v>
      </c>
      <c r="E440" s="4">
        <v>0</v>
      </c>
      <c r="F440" s="4">
        <v>2</v>
      </c>
      <c r="G440" s="4">
        <v>12592.5345</v>
      </c>
      <c r="I440" s="23"/>
      <c r="J440" s="23"/>
      <c r="K440" s="23"/>
      <c r="L440" s="23"/>
      <c r="M440" s="23"/>
      <c r="N440" s="23"/>
      <c r="O440" s="23"/>
      <c r="P440" s="23"/>
      <c r="Q440" s="23"/>
      <c r="R440" s="23"/>
    </row>
    <row r="441" spans="1:18" x14ac:dyDescent="0.2">
      <c r="A441" s="4">
        <v>26</v>
      </c>
      <c r="B441" s="4">
        <v>1</v>
      </c>
      <c r="C441" s="4">
        <v>29.45</v>
      </c>
      <c r="D441" s="4">
        <v>0</v>
      </c>
      <c r="E441" s="4">
        <v>0</v>
      </c>
      <c r="F441" s="4">
        <v>1</v>
      </c>
      <c r="G441" s="4">
        <v>2897.3235</v>
      </c>
      <c r="I441" s="23"/>
      <c r="J441" s="23"/>
      <c r="K441" s="23"/>
      <c r="L441" s="23"/>
      <c r="M441" s="23"/>
      <c r="N441" s="23"/>
      <c r="O441" s="23"/>
      <c r="P441" s="23"/>
      <c r="Q441" s="23"/>
      <c r="R441" s="23"/>
    </row>
    <row r="442" spans="1:18" x14ac:dyDescent="0.2">
      <c r="A442" s="4">
        <v>31</v>
      </c>
      <c r="B442" s="4">
        <v>0</v>
      </c>
      <c r="C442" s="4">
        <v>32.68</v>
      </c>
      <c r="D442" s="4">
        <v>1</v>
      </c>
      <c r="E442" s="4">
        <v>0</v>
      </c>
      <c r="F442" s="4">
        <v>3</v>
      </c>
      <c r="G442" s="4">
        <v>4738.2682000000004</v>
      </c>
      <c r="I442" s="23"/>
      <c r="J442" s="23"/>
      <c r="K442" s="23"/>
      <c r="L442" s="23"/>
      <c r="M442" s="23"/>
      <c r="N442" s="23"/>
      <c r="O442" s="23"/>
      <c r="P442" s="23"/>
      <c r="Q442" s="23"/>
      <c r="R442" s="23"/>
    </row>
    <row r="443" spans="1:18" x14ac:dyDescent="0.2">
      <c r="A443" s="4">
        <v>33</v>
      </c>
      <c r="B443" s="4">
        <v>0</v>
      </c>
      <c r="C443" s="4">
        <v>33.5</v>
      </c>
      <c r="D443" s="4">
        <v>0</v>
      </c>
      <c r="E443" s="4">
        <v>1</v>
      </c>
      <c r="F443" s="4">
        <v>4</v>
      </c>
      <c r="G443" s="4">
        <v>37079.372000000003</v>
      </c>
      <c r="I443" s="23"/>
      <c r="J443" s="23"/>
      <c r="K443" s="23"/>
      <c r="L443" s="23"/>
      <c r="M443" s="23"/>
      <c r="N443" s="23"/>
      <c r="O443" s="23"/>
      <c r="P443" s="23"/>
      <c r="Q443" s="23"/>
      <c r="R443" s="23"/>
    </row>
    <row r="444" spans="1:18" x14ac:dyDescent="0.2">
      <c r="A444" s="4">
        <v>18</v>
      </c>
      <c r="B444" s="4">
        <v>1</v>
      </c>
      <c r="C444" s="4">
        <v>43.01</v>
      </c>
      <c r="D444" s="4">
        <v>0</v>
      </c>
      <c r="E444" s="4">
        <v>0</v>
      </c>
      <c r="F444" s="4">
        <v>2</v>
      </c>
      <c r="G444" s="4">
        <v>1149.3959</v>
      </c>
      <c r="I444" s="23"/>
      <c r="J444" s="23"/>
      <c r="K444" s="23"/>
      <c r="L444" s="23"/>
      <c r="M444" s="23"/>
      <c r="N444" s="23"/>
      <c r="O444" s="23"/>
      <c r="P444" s="23"/>
      <c r="Q444" s="23"/>
      <c r="R444" s="23"/>
    </row>
    <row r="445" spans="1:18" x14ac:dyDescent="0.2">
      <c r="A445" s="4">
        <v>59</v>
      </c>
      <c r="B445" s="4">
        <v>0</v>
      </c>
      <c r="C445" s="4">
        <v>36.520000000000003</v>
      </c>
      <c r="D445" s="4">
        <v>1</v>
      </c>
      <c r="E445" s="4">
        <v>0</v>
      </c>
      <c r="F445" s="4">
        <v>2</v>
      </c>
      <c r="G445" s="4">
        <v>28287.897659999999</v>
      </c>
      <c r="I445" s="23"/>
      <c r="J445" s="23"/>
      <c r="K445" s="23"/>
      <c r="L445" s="23"/>
      <c r="M445" s="23"/>
      <c r="N445" s="23"/>
      <c r="O445" s="23"/>
      <c r="P445" s="23"/>
      <c r="Q445" s="23"/>
      <c r="R445" s="23"/>
    </row>
    <row r="446" spans="1:18" x14ac:dyDescent="0.2">
      <c r="A446" s="4">
        <v>56</v>
      </c>
      <c r="B446" s="4">
        <v>1</v>
      </c>
      <c r="C446" s="4">
        <v>26.695</v>
      </c>
      <c r="D446" s="4">
        <v>1</v>
      </c>
      <c r="E446" s="4">
        <v>1</v>
      </c>
      <c r="F446" s="4">
        <v>3</v>
      </c>
      <c r="G446" s="4">
        <v>26109.32905</v>
      </c>
      <c r="I446" s="23"/>
      <c r="J446" s="23"/>
      <c r="K446" s="23"/>
      <c r="L446" s="23"/>
      <c r="M446" s="23"/>
      <c r="N446" s="23"/>
      <c r="O446" s="23"/>
      <c r="P446" s="23"/>
      <c r="Q446" s="23"/>
      <c r="R446" s="23"/>
    </row>
    <row r="447" spans="1:18" x14ac:dyDescent="0.2">
      <c r="A447" s="4">
        <v>45</v>
      </c>
      <c r="B447" s="4">
        <v>0</v>
      </c>
      <c r="C447" s="4">
        <v>33.1</v>
      </c>
      <c r="D447" s="4">
        <v>0</v>
      </c>
      <c r="E447" s="4">
        <v>0</v>
      </c>
      <c r="F447" s="4">
        <v>4</v>
      </c>
      <c r="G447" s="4">
        <v>7345.0839999999998</v>
      </c>
      <c r="I447" s="23"/>
      <c r="J447" s="23"/>
      <c r="K447" s="23"/>
      <c r="L447" s="23"/>
      <c r="M447" s="23"/>
      <c r="N447" s="23"/>
      <c r="O447" s="23"/>
      <c r="P447" s="23"/>
      <c r="Q447" s="23"/>
      <c r="R447" s="23"/>
    </row>
    <row r="448" spans="1:18" x14ac:dyDescent="0.2">
      <c r="A448" s="4">
        <v>60</v>
      </c>
      <c r="B448" s="4">
        <v>1</v>
      </c>
      <c r="C448" s="4">
        <v>29.64</v>
      </c>
      <c r="D448" s="4">
        <v>0</v>
      </c>
      <c r="E448" s="4">
        <v>0</v>
      </c>
      <c r="F448" s="4">
        <v>1</v>
      </c>
      <c r="G448" s="4">
        <v>12730.999599999999</v>
      </c>
      <c r="I448" s="23"/>
      <c r="J448" s="23"/>
      <c r="K448" s="23"/>
      <c r="L448" s="23"/>
      <c r="M448" s="23"/>
      <c r="N448" s="23"/>
      <c r="O448" s="23"/>
      <c r="P448" s="23"/>
      <c r="Q448" s="23"/>
      <c r="R448" s="23"/>
    </row>
    <row r="449" spans="1:18" x14ac:dyDescent="0.2">
      <c r="A449" s="4">
        <v>56</v>
      </c>
      <c r="B449" s="4">
        <v>0</v>
      </c>
      <c r="C449" s="4">
        <v>25.65</v>
      </c>
      <c r="D449" s="4">
        <v>0</v>
      </c>
      <c r="E449" s="4">
        <v>0</v>
      </c>
      <c r="F449" s="4">
        <v>3</v>
      </c>
      <c r="G449" s="4">
        <v>11454.021500000001</v>
      </c>
      <c r="I449" s="23"/>
      <c r="J449" s="23"/>
      <c r="K449" s="23"/>
      <c r="L449" s="23"/>
      <c r="M449" s="23"/>
      <c r="N449" s="23"/>
      <c r="O449" s="23"/>
      <c r="P449" s="23"/>
      <c r="Q449" s="23"/>
      <c r="R449" s="23"/>
    </row>
    <row r="450" spans="1:18" x14ac:dyDescent="0.2">
      <c r="A450" s="4">
        <v>40</v>
      </c>
      <c r="B450" s="4">
        <v>0</v>
      </c>
      <c r="C450" s="4">
        <v>29.6</v>
      </c>
      <c r="D450" s="4">
        <v>0</v>
      </c>
      <c r="E450" s="4">
        <v>0</v>
      </c>
      <c r="F450" s="4">
        <v>4</v>
      </c>
      <c r="G450" s="4">
        <v>5910.9440000000004</v>
      </c>
      <c r="I450" s="23"/>
      <c r="J450" s="23"/>
      <c r="K450" s="23"/>
      <c r="L450" s="23"/>
      <c r="M450" s="23"/>
      <c r="N450" s="23"/>
      <c r="O450" s="23"/>
      <c r="P450" s="23"/>
      <c r="Q450" s="23"/>
      <c r="R450" s="23"/>
    </row>
    <row r="451" spans="1:18" x14ac:dyDescent="0.2">
      <c r="A451" s="4">
        <v>35</v>
      </c>
      <c r="B451" s="4">
        <v>1</v>
      </c>
      <c r="C451" s="4">
        <v>38.6</v>
      </c>
      <c r="D451" s="4">
        <v>1</v>
      </c>
      <c r="E451" s="4">
        <v>0</v>
      </c>
      <c r="F451" s="4">
        <v>4</v>
      </c>
      <c r="G451" s="4">
        <v>4762.3289999999997</v>
      </c>
      <c r="I451" s="23"/>
      <c r="J451" s="23"/>
      <c r="K451" s="23"/>
      <c r="L451" s="23"/>
      <c r="M451" s="23"/>
      <c r="N451" s="23"/>
      <c r="O451" s="23"/>
      <c r="P451" s="23"/>
      <c r="Q451" s="23"/>
      <c r="R451" s="23"/>
    </row>
    <row r="452" spans="1:18" x14ac:dyDescent="0.2">
      <c r="A452" s="4">
        <v>39</v>
      </c>
      <c r="B452" s="4">
        <v>1</v>
      </c>
      <c r="C452" s="4">
        <v>29.6</v>
      </c>
      <c r="D452" s="4">
        <v>4</v>
      </c>
      <c r="E452" s="4">
        <v>0</v>
      </c>
      <c r="F452" s="4">
        <v>4</v>
      </c>
      <c r="G452" s="4">
        <v>7512.2669999999998</v>
      </c>
      <c r="I452" s="23"/>
      <c r="J452" s="23"/>
      <c r="K452" s="23"/>
      <c r="L452" s="23"/>
      <c r="M452" s="23"/>
      <c r="N452" s="23"/>
      <c r="O452" s="23"/>
      <c r="P452" s="23"/>
      <c r="Q452" s="23"/>
      <c r="R452" s="23"/>
    </row>
    <row r="453" spans="1:18" x14ac:dyDescent="0.2">
      <c r="A453" s="4">
        <v>30</v>
      </c>
      <c r="B453" s="4">
        <v>1</v>
      </c>
      <c r="C453" s="4">
        <v>24.13</v>
      </c>
      <c r="D453" s="4">
        <v>1</v>
      </c>
      <c r="E453" s="4">
        <v>0</v>
      </c>
      <c r="F453" s="4">
        <v>3</v>
      </c>
      <c r="G453" s="4">
        <v>4032.2406999999998</v>
      </c>
      <c r="I453" s="23"/>
      <c r="J453" s="23"/>
      <c r="K453" s="23"/>
      <c r="L453" s="23"/>
      <c r="M453" s="23"/>
      <c r="N453" s="23"/>
      <c r="O453" s="23"/>
      <c r="P453" s="23"/>
      <c r="Q453" s="23"/>
      <c r="R453" s="23"/>
    </row>
    <row r="454" spans="1:18" x14ac:dyDescent="0.2">
      <c r="A454" s="4">
        <v>24</v>
      </c>
      <c r="B454" s="4">
        <v>1</v>
      </c>
      <c r="C454" s="4">
        <v>23.4</v>
      </c>
      <c r="D454" s="4">
        <v>0</v>
      </c>
      <c r="E454" s="4">
        <v>0</v>
      </c>
      <c r="F454" s="4">
        <v>4</v>
      </c>
      <c r="G454" s="4">
        <v>1969.614</v>
      </c>
      <c r="I454" s="23"/>
      <c r="J454" s="23"/>
      <c r="K454" s="23"/>
      <c r="L454" s="23"/>
      <c r="M454" s="23"/>
      <c r="N454" s="23"/>
      <c r="O454" s="23"/>
      <c r="P454" s="23"/>
      <c r="Q454" s="23"/>
      <c r="R454" s="23"/>
    </row>
    <row r="455" spans="1:18" x14ac:dyDescent="0.2">
      <c r="A455" s="4">
        <v>20</v>
      </c>
      <c r="B455" s="4">
        <v>1</v>
      </c>
      <c r="C455" s="4">
        <v>29.734999999999999</v>
      </c>
      <c r="D455" s="4">
        <v>0</v>
      </c>
      <c r="E455" s="4">
        <v>0</v>
      </c>
      <c r="F455" s="4">
        <v>3</v>
      </c>
      <c r="G455" s="4">
        <v>1769.5316499999999</v>
      </c>
      <c r="I455" s="23"/>
      <c r="J455" s="23"/>
      <c r="K455" s="23"/>
      <c r="L455" s="23"/>
      <c r="M455" s="23"/>
      <c r="N455" s="23"/>
      <c r="O455" s="23"/>
      <c r="P455" s="23"/>
      <c r="Q455" s="23"/>
      <c r="R455" s="23"/>
    </row>
    <row r="456" spans="1:18" x14ac:dyDescent="0.2">
      <c r="A456" s="4">
        <v>32</v>
      </c>
      <c r="B456" s="4">
        <v>1</v>
      </c>
      <c r="C456" s="4">
        <v>46.53</v>
      </c>
      <c r="D456" s="4">
        <v>2</v>
      </c>
      <c r="E456" s="4">
        <v>0</v>
      </c>
      <c r="F456" s="4">
        <v>2</v>
      </c>
      <c r="G456" s="4">
        <v>4686.3887000000004</v>
      </c>
      <c r="I456" s="23"/>
      <c r="J456" s="23"/>
      <c r="K456" s="23"/>
      <c r="L456" s="23"/>
      <c r="M456" s="23"/>
      <c r="N456" s="23"/>
      <c r="O456" s="23"/>
      <c r="P456" s="23"/>
      <c r="Q456" s="23"/>
      <c r="R456" s="23"/>
    </row>
    <row r="457" spans="1:18" x14ac:dyDescent="0.2">
      <c r="A457" s="4">
        <v>59</v>
      </c>
      <c r="B457" s="4">
        <v>1</v>
      </c>
      <c r="C457" s="4">
        <v>37.4</v>
      </c>
      <c r="D457" s="4">
        <v>0</v>
      </c>
      <c r="E457" s="4">
        <v>0</v>
      </c>
      <c r="F457" s="4">
        <v>4</v>
      </c>
      <c r="G457" s="4">
        <v>21797.000400000001</v>
      </c>
      <c r="I457" s="23"/>
      <c r="J457" s="23"/>
      <c r="K457" s="23"/>
      <c r="L457" s="23"/>
      <c r="M457" s="23"/>
      <c r="N457" s="23"/>
      <c r="O457" s="23"/>
      <c r="P457" s="23"/>
      <c r="Q457" s="23"/>
      <c r="R457" s="23"/>
    </row>
    <row r="458" spans="1:18" x14ac:dyDescent="0.2">
      <c r="A458" s="4">
        <v>55</v>
      </c>
      <c r="B458" s="4">
        <v>0</v>
      </c>
      <c r="C458" s="4">
        <v>30.14</v>
      </c>
      <c r="D458" s="4">
        <v>2</v>
      </c>
      <c r="E458" s="4">
        <v>0</v>
      </c>
      <c r="F458" s="4">
        <v>2</v>
      </c>
      <c r="G458" s="4">
        <v>11881.9696</v>
      </c>
      <c r="I458" s="23"/>
      <c r="J458" s="23"/>
      <c r="K458" s="23"/>
      <c r="L458" s="23"/>
      <c r="M458" s="23"/>
      <c r="N458" s="23"/>
      <c r="O458" s="23"/>
      <c r="P458" s="23"/>
      <c r="Q458" s="23"/>
      <c r="R458" s="23"/>
    </row>
    <row r="459" spans="1:18" x14ac:dyDescent="0.2">
      <c r="A459" s="4">
        <v>57</v>
      </c>
      <c r="B459" s="4">
        <v>0</v>
      </c>
      <c r="C459" s="4">
        <v>30.495000000000001</v>
      </c>
      <c r="D459" s="4">
        <v>0</v>
      </c>
      <c r="E459" s="4">
        <v>0</v>
      </c>
      <c r="F459" s="4">
        <v>3</v>
      </c>
      <c r="G459" s="4">
        <v>11840.77505</v>
      </c>
      <c r="I459" s="23"/>
      <c r="J459" s="23"/>
      <c r="K459" s="23"/>
      <c r="L459" s="23"/>
      <c r="M459" s="23"/>
      <c r="N459" s="23"/>
      <c r="O459" s="23"/>
      <c r="P459" s="23"/>
      <c r="Q459" s="23"/>
      <c r="R459" s="23"/>
    </row>
    <row r="460" spans="1:18" x14ac:dyDescent="0.2">
      <c r="A460" s="4">
        <v>56</v>
      </c>
      <c r="B460" s="4">
        <v>1</v>
      </c>
      <c r="C460" s="4">
        <v>39.6</v>
      </c>
      <c r="D460" s="4">
        <v>0</v>
      </c>
      <c r="E460" s="4">
        <v>0</v>
      </c>
      <c r="F460" s="4">
        <v>4</v>
      </c>
      <c r="G460" s="4">
        <v>10601.412</v>
      </c>
      <c r="I460" s="23"/>
      <c r="J460" s="23"/>
      <c r="K460" s="23"/>
      <c r="L460" s="23"/>
      <c r="M460" s="23"/>
      <c r="N460" s="23"/>
      <c r="O460" s="23"/>
      <c r="P460" s="23"/>
      <c r="Q460" s="23"/>
      <c r="R460" s="23"/>
    </row>
    <row r="461" spans="1:18" x14ac:dyDescent="0.2">
      <c r="A461" s="4">
        <v>40</v>
      </c>
      <c r="B461" s="4">
        <v>0</v>
      </c>
      <c r="C461" s="4">
        <v>33</v>
      </c>
      <c r="D461" s="4">
        <v>3</v>
      </c>
      <c r="E461" s="4">
        <v>0</v>
      </c>
      <c r="F461" s="4">
        <v>2</v>
      </c>
      <c r="G461" s="4">
        <v>7682.67</v>
      </c>
      <c r="I461" s="23"/>
      <c r="J461" s="23"/>
      <c r="K461" s="23"/>
      <c r="L461" s="23"/>
      <c r="M461" s="23"/>
      <c r="N461" s="23"/>
      <c r="O461" s="23"/>
      <c r="P461" s="23"/>
      <c r="Q461" s="23"/>
      <c r="R461" s="23"/>
    </row>
    <row r="462" spans="1:18" x14ac:dyDescent="0.2">
      <c r="A462" s="4">
        <v>49</v>
      </c>
      <c r="B462" s="4">
        <v>0</v>
      </c>
      <c r="C462" s="4">
        <v>36.630000000000003</v>
      </c>
      <c r="D462" s="4">
        <v>3</v>
      </c>
      <c r="E462" s="4">
        <v>0</v>
      </c>
      <c r="F462" s="4">
        <v>2</v>
      </c>
      <c r="G462" s="4">
        <v>10381.4787</v>
      </c>
      <c r="I462" s="23"/>
      <c r="J462" s="23"/>
      <c r="K462" s="23"/>
      <c r="L462" s="23"/>
      <c r="M462" s="23"/>
      <c r="N462" s="23"/>
      <c r="O462" s="23"/>
      <c r="P462" s="23"/>
      <c r="Q462" s="23"/>
      <c r="R462" s="23"/>
    </row>
    <row r="463" spans="1:18" x14ac:dyDescent="0.2">
      <c r="A463" s="4">
        <v>42</v>
      </c>
      <c r="B463" s="4">
        <v>1</v>
      </c>
      <c r="C463" s="4">
        <v>30</v>
      </c>
      <c r="D463" s="4">
        <v>0</v>
      </c>
      <c r="E463" s="4">
        <v>1</v>
      </c>
      <c r="F463" s="4">
        <v>4</v>
      </c>
      <c r="G463" s="4">
        <v>22144.031999999999</v>
      </c>
      <c r="I463" s="23"/>
      <c r="J463" s="23"/>
      <c r="K463" s="23"/>
      <c r="L463" s="23"/>
      <c r="M463" s="23"/>
      <c r="N463" s="23"/>
      <c r="O463" s="23"/>
      <c r="P463" s="23"/>
      <c r="Q463" s="23"/>
      <c r="R463" s="23"/>
    </row>
    <row r="464" spans="1:18" x14ac:dyDescent="0.2">
      <c r="A464" s="4">
        <v>62</v>
      </c>
      <c r="B464" s="4">
        <v>0</v>
      </c>
      <c r="C464" s="4">
        <v>38.094999999999999</v>
      </c>
      <c r="D464" s="4">
        <v>2</v>
      </c>
      <c r="E464" s="4">
        <v>0</v>
      </c>
      <c r="F464" s="4">
        <v>1</v>
      </c>
      <c r="G464" s="4">
        <v>15230.324049999999</v>
      </c>
      <c r="I464" s="23"/>
      <c r="J464" s="23"/>
      <c r="K464" s="23"/>
      <c r="L464" s="23"/>
      <c r="M464" s="23"/>
      <c r="N464" s="23"/>
      <c r="O464" s="23"/>
      <c r="P464" s="23"/>
      <c r="Q464" s="23"/>
      <c r="R464" s="23"/>
    </row>
    <row r="465" spans="1:18" x14ac:dyDescent="0.2">
      <c r="A465" s="4">
        <v>56</v>
      </c>
      <c r="B465" s="4">
        <v>1</v>
      </c>
      <c r="C465" s="4">
        <v>25.934999999999999</v>
      </c>
      <c r="D465" s="4">
        <v>0</v>
      </c>
      <c r="E465" s="4">
        <v>0</v>
      </c>
      <c r="F465" s="4">
        <v>1</v>
      </c>
      <c r="G465" s="4">
        <v>11165.417649999999</v>
      </c>
      <c r="I465" s="23"/>
      <c r="J465" s="23"/>
      <c r="K465" s="23"/>
      <c r="L465" s="23"/>
      <c r="M465" s="23"/>
      <c r="N465" s="23"/>
      <c r="O465" s="23"/>
      <c r="P465" s="23"/>
      <c r="Q465" s="23"/>
      <c r="R465" s="23"/>
    </row>
    <row r="466" spans="1:18" x14ac:dyDescent="0.2">
      <c r="A466" s="4">
        <v>19</v>
      </c>
      <c r="B466" s="4">
        <v>1</v>
      </c>
      <c r="C466" s="4">
        <v>25.175000000000001</v>
      </c>
      <c r="D466" s="4">
        <v>0</v>
      </c>
      <c r="E466" s="4">
        <v>0</v>
      </c>
      <c r="F466" s="4">
        <v>3</v>
      </c>
      <c r="G466" s="4">
        <v>1632.0362500000001</v>
      </c>
      <c r="I466" s="23"/>
      <c r="J466" s="23"/>
      <c r="K466" s="23"/>
      <c r="L466" s="23"/>
      <c r="M466" s="23"/>
      <c r="N466" s="23"/>
      <c r="O466" s="23"/>
      <c r="P466" s="23"/>
      <c r="Q466" s="23"/>
      <c r="R466" s="23"/>
    </row>
    <row r="467" spans="1:18" x14ac:dyDescent="0.2">
      <c r="A467" s="4">
        <v>30</v>
      </c>
      <c r="B467" s="4">
        <v>0</v>
      </c>
      <c r="C467" s="4">
        <v>28.38</v>
      </c>
      <c r="D467" s="4">
        <v>1</v>
      </c>
      <c r="E467" s="4">
        <v>1</v>
      </c>
      <c r="F467" s="4">
        <v>2</v>
      </c>
      <c r="G467" s="4">
        <v>19521.968199999999</v>
      </c>
      <c r="I467" s="23"/>
      <c r="J467" s="23"/>
      <c r="K467" s="23"/>
      <c r="L467" s="23"/>
      <c r="M467" s="23"/>
      <c r="N467" s="23"/>
      <c r="O467" s="23"/>
      <c r="P467" s="23"/>
      <c r="Q467" s="23"/>
      <c r="R467" s="23"/>
    </row>
    <row r="468" spans="1:18" x14ac:dyDescent="0.2">
      <c r="A468" s="4">
        <v>60</v>
      </c>
      <c r="B468" s="4">
        <v>0</v>
      </c>
      <c r="C468" s="4">
        <v>28.7</v>
      </c>
      <c r="D468" s="4">
        <v>1</v>
      </c>
      <c r="E468" s="4">
        <v>0</v>
      </c>
      <c r="F468" s="4">
        <v>4</v>
      </c>
      <c r="G468" s="4">
        <v>13224.692999999999</v>
      </c>
      <c r="I468" s="23"/>
      <c r="J468" s="23"/>
      <c r="K468" s="23"/>
      <c r="L468" s="23"/>
      <c r="M468" s="23"/>
      <c r="N468" s="23"/>
      <c r="O468" s="23"/>
      <c r="P468" s="23"/>
      <c r="Q468" s="23"/>
      <c r="R468" s="23"/>
    </row>
    <row r="469" spans="1:18" x14ac:dyDescent="0.2">
      <c r="A469" s="4">
        <v>56</v>
      </c>
      <c r="B469" s="4">
        <v>0</v>
      </c>
      <c r="C469" s="4">
        <v>33.82</v>
      </c>
      <c r="D469" s="4">
        <v>2</v>
      </c>
      <c r="E469" s="4">
        <v>0</v>
      </c>
      <c r="F469" s="4">
        <v>3</v>
      </c>
      <c r="G469" s="4">
        <v>12643.3778</v>
      </c>
      <c r="I469" s="23"/>
      <c r="J469" s="23"/>
      <c r="K469" s="23"/>
      <c r="L469" s="23"/>
      <c r="M469" s="23"/>
      <c r="N469" s="23"/>
      <c r="O469" s="23"/>
      <c r="P469" s="23"/>
      <c r="Q469" s="23"/>
      <c r="R469" s="23"/>
    </row>
    <row r="470" spans="1:18" x14ac:dyDescent="0.2">
      <c r="A470" s="4">
        <v>28</v>
      </c>
      <c r="B470" s="4">
        <v>0</v>
      </c>
      <c r="C470" s="4">
        <v>24.32</v>
      </c>
      <c r="D470" s="4">
        <v>1</v>
      </c>
      <c r="E470" s="4">
        <v>0</v>
      </c>
      <c r="F470" s="4">
        <v>1</v>
      </c>
      <c r="G470" s="4">
        <v>23288.928400000001</v>
      </c>
      <c r="I470" s="23"/>
      <c r="J470" s="23"/>
      <c r="K470" s="23"/>
      <c r="L470" s="23"/>
      <c r="M470" s="23"/>
      <c r="N470" s="23"/>
      <c r="O470" s="23"/>
      <c r="P470" s="23"/>
      <c r="Q470" s="23"/>
      <c r="R470" s="23"/>
    </row>
    <row r="471" spans="1:18" x14ac:dyDescent="0.2">
      <c r="A471" s="4">
        <v>18</v>
      </c>
      <c r="B471" s="4">
        <v>0</v>
      </c>
      <c r="C471" s="4">
        <v>24.09</v>
      </c>
      <c r="D471" s="4">
        <v>1</v>
      </c>
      <c r="E471" s="4">
        <v>0</v>
      </c>
      <c r="F471" s="4">
        <v>2</v>
      </c>
      <c r="G471" s="4">
        <v>2201.0971</v>
      </c>
      <c r="I471" s="23"/>
      <c r="J471" s="23"/>
      <c r="K471" s="23"/>
      <c r="L471" s="23"/>
      <c r="M471" s="23"/>
      <c r="N471" s="23"/>
      <c r="O471" s="23"/>
      <c r="P471" s="23"/>
      <c r="Q471" s="23"/>
      <c r="R471" s="23"/>
    </row>
    <row r="472" spans="1:18" x14ac:dyDescent="0.2">
      <c r="A472" s="4">
        <v>27</v>
      </c>
      <c r="B472" s="4">
        <v>1</v>
      </c>
      <c r="C472" s="4">
        <v>32.67</v>
      </c>
      <c r="D472" s="4">
        <v>0</v>
      </c>
      <c r="E472" s="4">
        <v>0</v>
      </c>
      <c r="F472" s="4">
        <v>2</v>
      </c>
      <c r="G472" s="4">
        <v>2497.0383000000002</v>
      </c>
      <c r="I472" s="23"/>
      <c r="J472" s="23"/>
      <c r="K472" s="23"/>
      <c r="L472" s="23"/>
      <c r="M472" s="23"/>
      <c r="N472" s="23"/>
      <c r="O472" s="23"/>
      <c r="P472" s="23"/>
      <c r="Q472" s="23"/>
      <c r="R472" s="23"/>
    </row>
    <row r="473" spans="1:18" x14ac:dyDescent="0.2">
      <c r="A473" s="4">
        <v>18</v>
      </c>
      <c r="B473" s="4">
        <v>0</v>
      </c>
      <c r="C473" s="4">
        <v>30.114999999999998</v>
      </c>
      <c r="D473" s="4">
        <v>0</v>
      </c>
      <c r="E473" s="4">
        <v>0</v>
      </c>
      <c r="F473" s="4">
        <v>1</v>
      </c>
      <c r="G473" s="4">
        <v>2203.4718499999999</v>
      </c>
      <c r="I473" s="23"/>
      <c r="J473" s="23"/>
      <c r="K473" s="23"/>
      <c r="L473" s="23"/>
      <c r="M473" s="23"/>
      <c r="N473" s="23"/>
      <c r="O473" s="23"/>
      <c r="P473" s="23"/>
      <c r="Q473" s="23"/>
      <c r="R473" s="23"/>
    </row>
    <row r="474" spans="1:18" x14ac:dyDescent="0.2">
      <c r="A474" s="4">
        <v>19</v>
      </c>
      <c r="B474" s="4">
        <v>0</v>
      </c>
      <c r="C474" s="4">
        <v>29.8</v>
      </c>
      <c r="D474" s="4">
        <v>0</v>
      </c>
      <c r="E474" s="4">
        <v>0</v>
      </c>
      <c r="F474" s="4">
        <v>4</v>
      </c>
      <c r="G474" s="4">
        <v>1744.4649999999999</v>
      </c>
      <c r="I474" s="23"/>
      <c r="J474" s="23"/>
      <c r="K474" s="23"/>
      <c r="L474" s="23"/>
      <c r="M474" s="23"/>
      <c r="N474" s="23"/>
      <c r="O474" s="23"/>
      <c r="P474" s="23"/>
      <c r="Q474" s="23"/>
      <c r="R474" s="23"/>
    </row>
    <row r="475" spans="1:18" x14ac:dyDescent="0.2">
      <c r="A475" s="4">
        <v>47</v>
      </c>
      <c r="B475" s="4">
        <v>0</v>
      </c>
      <c r="C475" s="4">
        <v>33.344999999999999</v>
      </c>
      <c r="D475" s="4">
        <v>0</v>
      </c>
      <c r="E475" s="4">
        <v>0</v>
      </c>
      <c r="F475" s="4">
        <v>1</v>
      </c>
      <c r="G475" s="4">
        <v>20878.78443</v>
      </c>
      <c r="I475" s="23"/>
      <c r="J475" s="23"/>
      <c r="K475" s="23"/>
      <c r="L475" s="23"/>
      <c r="M475" s="23"/>
      <c r="N475" s="23"/>
      <c r="O475" s="23"/>
      <c r="P475" s="23"/>
      <c r="Q475" s="23"/>
      <c r="R475" s="23"/>
    </row>
    <row r="476" spans="1:18" x14ac:dyDescent="0.2">
      <c r="A476" s="4">
        <v>54</v>
      </c>
      <c r="B476" s="4">
        <v>1</v>
      </c>
      <c r="C476" s="4">
        <v>25.1</v>
      </c>
      <c r="D476" s="4">
        <v>3</v>
      </c>
      <c r="E476" s="4">
        <v>1</v>
      </c>
      <c r="F476" s="4">
        <v>4</v>
      </c>
      <c r="G476" s="4">
        <v>25382.296999999999</v>
      </c>
      <c r="I476" s="23"/>
      <c r="J476" s="23"/>
      <c r="K476" s="23"/>
      <c r="L476" s="23"/>
      <c r="M476" s="23"/>
      <c r="N476" s="23"/>
      <c r="O476" s="23"/>
      <c r="P476" s="23"/>
      <c r="Q476" s="23"/>
      <c r="R476" s="23"/>
    </row>
    <row r="477" spans="1:18" x14ac:dyDescent="0.2">
      <c r="A477" s="4">
        <v>61</v>
      </c>
      <c r="B477" s="4">
        <v>1</v>
      </c>
      <c r="C477" s="4">
        <v>28.31</v>
      </c>
      <c r="D477" s="4">
        <v>1</v>
      </c>
      <c r="E477" s="4">
        <v>1</v>
      </c>
      <c r="F477" s="4">
        <v>3</v>
      </c>
      <c r="G477" s="4">
        <v>28868.6639</v>
      </c>
      <c r="I477" s="23"/>
      <c r="J477" s="23"/>
      <c r="K477" s="23"/>
      <c r="L477" s="23"/>
      <c r="M477" s="23"/>
      <c r="N477" s="23"/>
      <c r="O477" s="23"/>
      <c r="P477" s="23"/>
      <c r="Q477" s="23"/>
      <c r="R477" s="23"/>
    </row>
    <row r="478" spans="1:18" x14ac:dyDescent="0.2">
      <c r="A478" s="4">
        <v>24</v>
      </c>
      <c r="B478" s="4">
        <v>1</v>
      </c>
      <c r="C478" s="4">
        <v>28.5</v>
      </c>
      <c r="D478" s="4">
        <v>0</v>
      </c>
      <c r="E478" s="4">
        <v>1</v>
      </c>
      <c r="F478" s="4">
        <v>1</v>
      </c>
      <c r="G478" s="4">
        <v>35147.528480000001</v>
      </c>
      <c r="I478" s="23"/>
      <c r="J478" s="23"/>
      <c r="K478" s="23"/>
      <c r="L478" s="23"/>
      <c r="M478" s="23"/>
      <c r="N478" s="23"/>
      <c r="O478" s="23"/>
      <c r="P478" s="23"/>
      <c r="Q478" s="23"/>
      <c r="R478" s="23"/>
    </row>
    <row r="479" spans="1:18" x14ac:dyDescent="0.2">
      <c r="A479" s="4">
        <v>25</v>
      </c>
      <c r="B479" s="4">
        <v>1</v>
      </c>
      <c r="C479" s="4">
        <v>35.625</v>
      </c>
      <c r="D479" s="4">
        <v>0</v>
      </c>
      <c r="E479" s="4">
        <v>0</v>
      </c>
      <c r="F479" s="4">
        <v>3</v>
      </c>
      <c r="G479" s="4">
        <v>2534.3937500000002</v>
      </c>
      <c r="I479" s="23"/>
      <c r="J479" s="23"/>
      <c r="K479" s="23"/>
      <c r="L479" s="23"/>
      <c r="M479" s="23"/>
      <c r="N479" s="23"/>
      <c r="O479" s="23"/>
      <c r="P479" s="23"/>
      <c r="Q479" s="23"/>
      <c r="R479" s="23"/>
    </row>
    <row r="480" spans="1:18" x14ac:dyDescent="0.2">
      <c r="A480" s="4">
        <v>21</v>
      </c>
      <c r="B480" s="4">
        <v>1</v>
      </c>
      <c r="C480" s="4">
        <v>36.85</v>
      </c>
      <c r="D480" s="4">
        <v>0</v>
      </c>
      <c r="E480" s="4">
        <v>0</v>
      </c>
      <c r="F480" s="4">
        <v>2</v>
      </c>
      <c r="G480" s="4">
        <v>1534.3045</v>
      </c>
      <c r="I480" s="23"/>
      <c r="J480" s="23"/>
      <c r="K480" s="23"/>
      <c r="L480" s="23"/>
      <c r="M480" s="23"/>
      <c r="N480" s="23"/>
      <c r="O480" s="23"/>
      <c r="P480" s="23"/>
      <c r="Q480" s="23"/>
      <c r="R480" s="23"/>
    </row>
    <row r="481" spans="1:18" x14ac:dyDescent="0.2">
      <c r="A481" s="4">
        <v>23</v>
      </c>
      <c r="B481" s="4">
        <v>1</v>
      </c>
      <c r="C481" s="4">
        <v>32.56</v>
      </c>
      <c r="D481" s="4">
        <v>0</v>
      </c>
      <c r="E481" s="4">
        <v>0</v>
      </c>
      <c r="F481" s="4">
        <v>2</v>
      </c>
      <c r="G481" s="4">
        <v>1824.2854</v>
      </c>
      <c r="I481" s="23"/>
      <c r="J481" s="23"/>
      <c r="K481" s="23"/>
      <c r="L481" s="23"/>
      <c r="M481" s="23"/>
      <c r="N481" s="23"/>
      <c r="O481" s="23"/>
      <c r="P481" s="23"/>
      <c r="Q481" s="23"/>
      <c r="R481" s="23"/>
    </row>
    <row r="482" spans="1:18" x14ac:dyDescent="0.2">
      <c r="A482" s="4">
        <v>63</v>
      </c>
      <c r="B482" s="4">
        <v>1</v>
      </c>
      <c r="C482" s="4">
        <v>41.325000000000003</v>
      </c>
      <c r="D482" s="4">
        <v>3</v>
      </c>
      <c r="E482" s="4">
        <v>0</v>
      </c>
      <c r="F482" s="4">
        <v>3</v>
      </c>
      <c r="G482" s="4">
        <v>15555.188749999999</v>
      </c>
      <c r="I482" s="23"/>
      <c r="J482" s="23"/>
      <c r="K482" s="23"/>
      <c r="L482" s="23"/>
      <c r="M482" s="23"/>
      <c r="N482" s="23"/>
      <c r="O482" s="23"/>
      <c r="P482" s="23"/>
      <c r="Q482" s="23"/>
      <c r="R482" s="23"/>
    </row>
    <row r="483" spans="1:18" x14ac:dyDescent="0.2">
      <c r="A483" s="4">
        <v>49</v>
      </c>
      <c r="B483" s="4">
        <v>1</v>
      </c>
      <c r="C483" s="4">
        <v>37.51</v>
      </c>
      <c r="D483" s="4">
        <v>2</v>
      </c>
      <c r="E483" s="4">
        <v>0</v>
      </c>
      <c r="F483" s="4">
        <v>2</v>
      </c>
      <c r="G483" s="4">
        <v>9304.7019</v>
      </c>
      <c r="I483" s="23"/>
      <c r="J483" s="23"/>
      <c r="K483" s="23"/>
      <c r="L483" s="23"/>
      <c r="M483" s="23"/>
      <c r="N483" s="23"/>
      <c r="O483" s="23"/>
      <c r="P483" s="23"/>
      <c r="Q483" s="23"/>
      <c r="R483" s="23"/>
    </row>
    <row r="484" spans="1:18" x14ac:dyDescent="0.2">
      <c r="A484" s="4">
        <v>18</v>
      </c>
      <c r="B484" s="4">
        <v>0</v>
      </c>
      <c r="C484" s="4">
        <v>31.35</v>
      </c>
      <c r="D484" s="4">
        <v>0</v>
      </c>
      <c r="E484" s="4">
        <v>0</v>
      </c>
      <c r="F484" s="4">
        <v>2</v>
      </c>
      <c r="G484" s="4">
        <v>1622.1885</v>
      </c>
      <c r="I484" s="23"/>
      <c r="J484" s="23"/>
      <c r="K484" s="23"/>
      <c r="L484" s="23"/>
      <c r="M484" s="23"/>
      <c r="N484" s="23"/>
      <c r="O484" s="23"/>
      <c r="P484" s="23"/>
      <c r="Q484" s="23"/>
      <c r="R484" s="23"/>
    </row>
    <row r="485" spans="1:18" x14ac:dyDescent="0.2">
      <c r="A485" s="4">
        <v>51</v>
      </c>
      <c r="B485" s="4">
        <v>0</v>
      </c>
      <c r="C485" s="4">
        <v>39.5</v>
      </c>
      <c r="D485" s="4">
        <v>1</v>
      </c>
      <c r="E485" s="4">
        <v>0</v>
      </c>
      <c r="F485" s="4">
        <v>4</v>
      </c>
      <c r="G485" s="4">
        <v>9880.0679999999993</v>
      </c>
      <c r="I485" s="23"/>
      <c r="J485" s="23"/>
      <c r="K485" s="23"/>
      <c r="L485" s="23"/>
      <c r="M485" s="23"/>
      <c r="N485" s="23"/>
      <c r="O485" s="23"/>
      <c r="P485" s="23"/>
      <c r="Q485" s="23"/>
      <c r="R485" s="23"/>
    </row>
    <row r="486" spans="1:18" x14ac:dyDescent="0.2">
      <c r="A486" s="4">
        <v>48</v>
      </c>
      <c r="B486" s="4">
        <v>1</v>
      </c>
      <c r="C486" s="4">
        <v>34.299999999999997</v>
      </c>
      <c r="D486" s="4">
        <v>3</v>
      </c>
      <c r="E486" s="4">
        <v>0</v>
      </c>
      <c r="F486" s="4">
        <v>4</v>
      </c>
      <c r="G486" s="4">
        <v>9563.0290000000005</v>
      </c>
      <c r="I486" s="23"/>
      <c r="J486" s="23"/>
      <c r="K486" s="23"/>
      <c r="L486" s="23"/>
      <c r="M486" s="23"/>
      <c r="N486" s="23"/>
      <c r="O486" s="23"/>
      <c r="P486" s="23"/>
      <c r="Q486" s="23"/>
      <c r="R486" s="23"/>
    </row>
    <row r="487" spans="1:18" x14ac:dyDescent="0.2">
      <c r="A487" s="4">
        <v>31</v>
      </c>
      <c r="B487" s="4">
        <v>0</v>
      </c>
      <c r="C487" s="4">
        <v>31.065000000000001</v>
      </c>
      <c r="D487" s="4">
        <v>0</v>
      </c>
      <c r="E487" s="4">
        <v>0</v>
      </c>
      <c r="F487" s="4">
        <v>1</v>
      </c>
      <c r="G487" s="4">
        <v>4347.0233500000004</v>
      </c>
      <c r="I487" s="23"/>
      <c r="J487" s="23"/>
      <c r="K487" s="23"/>
      <c r="L487" s="23"/>
      <c r="M487" s="23"/>
      <c r="N487" s="23"/>
      <c r="O487" s="23"/>
      <c r="P487" s="23"/>
      <c r="Q487" s="23"/>
      <c r="R487" s="23"/>
    </row>
    <row r="488" spans="1:18" x14ac:dyDescent="0.2">
      <c r="A488" s="4">
        <v>54</v>
      </c>
      <c r="B488" s="4">
        <v>0</v>
      </c>
      <c r="C488" s="4">
        <v>21.47</v>
      </c>
      <c r="D488" s="4">
        <v>3</v>
      </c>
      <c r="E488" s="4">
        <v>0</v>
      </c>
      <c r="F488" s="4">
        <v>3</v>
      </c>
      <c r="G488" s="4">
        <v>12475.3513</v>
      </c>
      <c r="I488" s="23"/>
      <c r="J488" s="23"/>
      <c r="K488" s="23"/>
      <c r="L488" s="23"/>
      <c r="M488" s="23"/>
      <c r="N488" s="23"/>
      <c r="O488" s="23"/>
      <c r="P488" s="23"/>
      <c r="Q488" s="23"/>
      <c r="R488" s="23"/>
    </row>
    <row r="489" spans="1:18" x14ac:dyDescent="0.2">
      <c r="A489" s="4">
        <v>19</v>
      </c>
      <c r="B489" s="4">
        <v>1</v>
      </c>
      <c r="C489" s="4">
        <v>28.7</v>
      </c>
      <c r="D489" s="4">
        <v>0</v>
      </c>
      <c r="E489" s="4">
        <v>0</v>
      </c>
      <c r="F489" s="4">
        <v>4</v>
      </c>
      <c r="G489" s="4">
        <v>1253.9359999999999</v>
      </c>
      <c r="I489" s="23"/>
      <c r="J489" s="23"/>
      <c r="K489" s="23"/>
      <c r="L489" s="23"/>
      <c r="M489" s="23"/>
      <c r="N489" s="23"/>
      <c r="O489" s="23"/>
      <c r="P489" s="23"/>
      <c r="Q489" s="23"/>
      <c r="R489" s="23"/>
    </row>
    <row r="490" spans="1:18" x14ac:dyDescent="0.2">
      <c r="A490" s="4">
        <v>44</v>
      </c>
      <c r="B490" s="4">
        <v>0</v>
      </c>
      <c r="C490" s="4">
        <v>38.06</v>
      </c>
      <c r="D490" s="4">
        <v>0</v>
      </c>
      <c r="E490" s="4">
        <v>1</v>
      </c>
      <c r="F490" s="4">
        <v>2</v>
      </c>
      <c r="G490" s="4">
        <v>48885.135609999998</v>
      </c>
      <c r="I490" s="23"/>
      <c r="J490" s="23"/>
      <c r="K490" s="23"/>
      <c r="L490" s="23"/>
      <c r="M490" s="23"/>
      <c r="N490" s="23"/>
      <c r="O490" s="23"/>
      <c r="P490" s="23"/>
      <c r="Q490" s="23"/>
      <c r="R490" s="23"/>
    </row>
    <row r="491" spans="1:18" x14ac:dyDescent="0.2">
      <c r="A491" s="4">
        <v>53</v>
      </c>
      <c r="B491" s="4">
        <v>1</v>
      </c>
      <c r="C491" s="4">
        <v>31.16</v>
      </c>
      <c r="D491" s="4">
        <v>1</v>
      </c>
      <c r="E491" s="4">
        <v>0</v>
      </c>
      <c r="F491" s="4">
        <v>3</v>
      </c>
      <c r="G491" s="4">
        <v>10461.9794</v>
      </c>
      <c r="I491" s="23"/>
      <c r="J491" s="23"/>
      <c r="K491" s="23"/>
      <c r="L491" s="23"/>
      <c r="M491" s="23"/>
      <c r="N491" s="23"/>
      <c r="O491" s="23"/>
      <c r="P491" s="23"/>
      <c r="Q491" s="23"/>
      <c r="R491" s="23"/>
    </row>
    <row r="492" spans="1:18" x14ac:dyDescent="0.2">
      <c r="A492" s="4">
        <v>19</v>
      </c>
      <c r="B492" s="4">
        <v>0</v>
      </c>
      <c r="C492" s="4">
        <v>32.9</v>
      </c>
      <c r="D492" s="4">
        <v>0</v>
      </c>
      <c r="E492" s="4">
        <v>0</v>
      </c>
      <c r="F492" s="4">
        <v>4</v>
      </c>
      <c r="G492" s="4">
        <v>1748.7739999999999</v>
      </c>
      <c r="I492" s="23"/>
      <c r="J492" s="23"/>
      <c r="K492" s="23"/>
      <c r="L492" s="23"/>
      <c r="M492" s="23"/>
      <c r="N492" s="23"/>
      <c r="O492" s="23"/>
      <c r="P492" s="23"/>
      <c r="Q492" s="23"/>
      <c r="R492" s="23"/>
    </row>
    <row r="493" spans="1:18" x14ac:dyDescent="0.2">
      <c r="A493" s="4">
        <v>61</v>
      </c>
      <c r="B493" s="4">
        <v>0</v>
      </c>
      <c r="C493" s="4">
        <v>25.08</v>
      </c>
      <c r="D493" s="4">
        <v>0</v>
      </c>
      <c r="E493" s="4">
        <v>0</v>
      </c>
      <c r="F493" s="4">
        <v>2</v>
      </c>
      <c r="G493" s="4">
        <v>24513.091260000001</v>
      </c>
      <c r="I493" s="23"/>
      <c r="J493" s="23"/>
      <c r="K493" s="23"/>
      <c r="L493" s="23"/>
      <c r="M493" s="23"/>
      <c r="N493" s="23"/>
      <c r="O493" s="23"/>
      <c r="P493" s="23"/>
      <c r="Q493" s="23"/>
      <c r="R493" s="23"/>
    </row>
    <row r="494" spans="1:18" x14ac:dyDescent="0.2">
      <c r="A494" s="4">
        <v>18</v>
      </c>
      <c r="B494" s="4">
        <v>0</v>
      </c>
      <c r="C494" s="4">
        <v>25.08</v>
      </c>
      <c r="D494" s="4">
        <v>0</v>
      </c>
      <c r="E494" s="4">
        <v>0</v>
      </c>
      <c r="F494" s="4">
        <v>1</v>
      </c>
      <c r="G494" s="4">
        <v>2196.4731999999999</v>
      </c>
      <c r="I494" s="23"/>
      <c r="J494" s="23"/>
      <c r="K494" s="23"/>
      <c r="L494" s="23"/>
      <c r="M494" s="23"/>
      <c r="N494" s="23"/>
      <c r="O494" s="23"/>
      <c r="P494" s="23"/>
      <c r="Q494" s="23"/>
      <c r="R494" s="23"/>
    </row>
    <row r="495" spans="1:18" x14ac:dyDescent="0.2">
      <c r="A495" s="4">
        <v>61</v>
      </c>
      <c r="B495" s="4">
        <v>1</v>
      </c>
      <c r="C495" s="4">
        <v>43.4</v>
      </c>
      <c r="D495" s="4">
        <v>0</v>
      </c>
      <c r="E495" s="4">
        <v>0</v>
      </c>
      <c r="F495" s="4">
        <v>4</v>
      </c>
      <c r="G495" s="4">
        <v>12574.049000000001</v>
      </c>
      <c r="I495" s="23"/>
      <c r="J495" s="23"/>
      <c r="K495" s="23"/>
      <c r="L495" s="23"/>
      <c r="M495" s="23"/>
      <c r="N495" s="23"/>
      <c r="O495" s="23"/>
      <c r="P495" s="23"/>
      <c r="Q495" s="23"/>
      <c r="R495" s="23"/>
    </row>
    <row r="496" spans="1:18" x14ac:dyDescent="0.2">
      <c r="A496" s="4">
        <v>21</v>
      </c>
      <c r="B496" s="4">
        <v>1</v>
      </c>
      <c r="C496" s="4">
        <v>25.7</v>
      </c>
      <c r="D496" s="4">
        <v>4</v>
      </c>
      <c r="E496" s="4">
        <v>1</v>
      </c>
      <c r="F496" s="4">
        <v>4</v>
      </c>
      <c r="G496" s="4">
        <v>17942.106</v>
      </c>
      <c r="I496" s="23"/>
      <c r="J496" s="23"/>
      <c r="K496" s="23"/>
      <c r="L496" s="23"/>
      <c r="M496" s="23"/>
      <c r="N496" s="23"/>
      <c r="O496" s="23"/>
      <c r="P496" s="23"/>
      <c r="Q496" s="23"/>
      <c r="R496" s="23"/>
    </row>
    <row r="497" spans="1:18" x14ac:dyDescent="0.2">
      <c r="A497" s="4">
        <v>20</v>
      </c>
      <c r="B497" s="4">
        <v>1</v>
      </c>
      <c r="C497" s="4">
        <v>27.93</v>
      </c>
      <c r="D497" s="4">
        <v>0</v>
      </c>
      <c r="E497" s="4">
        <v>0</v>
      </c>
      <c r="F497" s="4">
        <v>1</v>
      </c>
      <c r="G497" s="4">
        <v>1967.0227</v>
      </c>
      <c r="I497" s="23"/>
      <c r="J497" s="23"/>
      <c r="K497" s="23"/>
      <c r="L497" s="23"/>
      <c r="M497" s="23"/>
      <c r="N497" s="23"/>
      <c r="O497" s="23"/>
      <c r="P497" s="23"/>
      <c r="Q497" s="23"/>
      <c r="R497" s="23"/>
    </row>
    <row r="498" spans="1:18" x14ac:dyDescent="0.2">
      <c r="A498" s="4">
        <v>31</v>
      </c>
      <c r="B498" s="4">
        <v>0</v>
      </c>
      <c r="C498" s="4">
        <v>23.6</v>
      </c>
      <c r="D498" s="4">
        <v>2</v>
      </c>
      <c r="E498" s="4">
        <v>0</v>
      </c>
      <c r="F498" s="4">
        <v>4</v>
      </c>
      <c r="G498" s="4">
        <v>4931.6469999999999</v>
      </c>
      <c r="I498" s="23"/>
      <c r="J498" s="23"/>
      <c r="K498" s="23"/>
      <c r="L498" s="23"/>
      <c r="M498" s="23"/>
      <c r="N498" s="23"/>
      <c r="O498" s="23"/>
      <c r="P498" s="23"/>
      <c r="Q498" s="23"/>
      <c r="R498" s="23"/>
    </row>
    <row r="499" spans="1:18" x14ac:dyDescent="0.2">
      <c r="A499" s="4">
        <v>45</v>
      </c>
      <c r="B499" s="4">
        <v>1</v>
      </c>
      <c r="C499" s="4">
        <v>28.7</v>
      </c>
      <c r="D499" s="4">
        <v>2</v>
      </c>
      <c r="E499" s="4">
        <v>0</v>
      </c>
      <c r="F499" s="4">
        <v>4</v>
      </c>
      <c r="G499" s="4">
        <v>8027.9679999999998</v>
      </c>
      <c r="I499" s="23"/>
      <c r="J499" s="23"/>
      <c r="K499" s="23"/>
      <c r="L499" s="23"/>
      <c r="M499" s="23"/>
      <c r="N499" s="23"/>
      <c r="O499" s="23"/>
      <c r="P499" s="23"/>
      <c r="Q499" s="23"/>
      <c r="R499" s="23"/>
    </row>
    <row r="500" spans="1:18" x14ac:dyDescent="0.2">
      <c r="A500" s="4">
        <v>44</v>
      </c>
      <c r="B500" s="4">
        <v>0</v>
      </c>
      <c r="C500" s="4">
        <v>23.98</v>
      </c>
      <c r="D500" s="4">
        <v>2</v>
      </c>
      <c r="E500" s="4">
        <v>0</v>
      </c>
      <c r="F500" s="4">
        <v>2</v>
      </c>
      <c r="G500" s="4">
        <v>8211.1002000000008</v>
      </c>
      <c r="I500" s="23"/>
      <c r="J500" s="23"/>
      <c r="K500" s="23"/>
      <c r="L500" s="23"/>
      <c r="M500" s="23"/>
      <c r="N500" s="23"/>
      <c r="O500" s="23"/>
      <c r="P500" s="23"/>
      <c r="Q500" s="23"/>
      <c r="R500" s="23"/>
    </row>
    <row r="501" spans="1:18" x14ac:dyDescent="0.2">
      <c r="A501" s="4">
        <v>62</v>
      </c>
      <c r="B501" s="4">
        <v>0</v>
      </c>
      <c r="C501" s="4">
        <v>39.200000000000003</v>
      </c>
      <c r="D501" s="4">
        <v>0</v>
      </c>
      <c r="E501" s="4">
        <v>0</v>
      </c>
      <c r="F501" s="4">
        <v>4</v>
      </c>
      <c r="G501" s="4">
        <v>13470.86</v>
      </c>
      <c r="I501" s="23"/>
      <c r="J501" s="23"/>
      <c r="K501" s="23"/>
      <c r="L501" s="23"/>
      <c r="M501" s="23"/>
      <c r="N501" s="23"/>
      <c r="O501" s="23"/>
      <c r="P501" s="23"/>
      <c r="Q501" s="23"/>
      <c r="R501" s="23"/>
    </row>
    <row r="502" spans="1:18" x14ac:dyDescent="0.2">
      <c r="A502" s="4">
        <v>29</v>
      </c>
      <c r="B502" s="4">
        <v>1</v>
      </c>
      <c r="C502" s="4">
        <v>34.4</v>
      </c>
      <c r="D502" s="4">
        <v>0</v>
      </c>
      <c r="E502" s="4">
        <v>1</v>
      </c>
      <c r="F502" s="4">
        <v>4</v>
      </c>
      <c r="G502" s="4">
        <v>36197.699000000001</v>
      </c>
      <c r="I502" s="23"/>
      <c r="J502" s="23"/>
      <c r="K502" s="23"/>
      <c r="L502" s="23"/>
      <c r="M502" s="23"/>
      <c r="N502" s="23"/>
      <c r="O502" s="23"/>
      <c r="P502" s="23"/>
      <c r="Q502" s="23"/>
      <c r="R502" s="23"/>
    </row>
    <row r="503" spans="1:18" x14ac:dyDescent="0.2">
      <c r="A503" s="4">
        <v>43</v>
      </c>
      <c r="B503" s="4">
        <v>1</v>
      </c>
      <c r="C503" s="4">
        <v>26.03</v>
      </c>
      <c r="D503" s="4">
        <v>0</v>
      </c>
      <c r="E503" s="4">
        <v>0</v>
      </c>
      <c r="F503" s="4">
        <v>1</v>
      </c>
      <c r="G503" s="4">
        <v>6837.3687</v>
      </c>
      <c r="I503" s="23"/>
      <c r="J503" s="23"/>
      <c r="K503" s="23"/>
      <c r="L503" s="23"/>
      <c r="M503" s="23"/>
      <c r="N503" s="23"/>
      <c r="O503" s="23"/>
      <c r="P503" s="23"/>
      <c r="Q503" s="23"/>
      <c r="R503" s="23"/>
    </row>
    <row r="504" spans="1:18" x14ac:dyDescent="0.2">
      <c r="A504" s="4">
        <v>51</v>
      </c>
      <c r="B504" s="4">
        <v>1</v>
      </c>
      <c r="C504" s="4">
        <v>23.21</v>
      </c>
      <c r="D504" s="4">
        <v>1</v>
      </c>
      <c r="E504" s="4">
        <v>1</v>
      </c>
      <c r="F504" s="4">
        <v>2</v>
      </c>
      <c r="G504" s="4">
        <v>22218.1149</v>
      </c>
      <c r="I504" s="23"/>
      <c r="J504" s="23"/>
      <c r="K504" s="23"/>
      <c r="L504" s="23"/>
      <c r="M504" s="23"/>
      <c r="N504" s="23"/>
      <c r="O504" s="23"/>
      <c r="P504" s="23"/>
      <c r="Q504" s="23"/>
      <c r="R504" s="23"/>
    </row>
    <row r="505" spans="1:18" x14ac:dyDescent="0.2">
      <c r="A505" s="4">
        <v>19</v>
      </c>
      <c r="B505" s="4">
        <v>1</v>
      </c>
      <c r="C505" s="4">
        <v>30.25</v>
      </c>
      <c r="D505" s="4">
        <v>0</v>
      </c>
      <c r="E505" s="4">
        <v>1</v>
      </c>
      <c r="F505" s="4">
        <v>2</v>
      </c>
      <c r="G505" s="4">
        <v>32548.340499999998</v>
      </c>
      <c r="I505" s="23"/>
      <c r="J505" s="23"/>
      <c r="K505" s="23"/>
      <c r="L505" s="23"/>
      <c r="M505" s="23"/>
      <c r="N505" s="23"/>
      <c r="O505" s="23"/>
      <c r="P505" s="23"/>
      <c r="Q505" s="23"/>
      <c r="R505" s="23"/>
    </row>
    <row r="506" spans="1:18" x14ac:dyDescent="0.2">
      <c r="A506" s="4">
        <v>38</v>
      </c>
      <c r="B506" s="4">
        <v>0</v>
      </c>
      <c r="C506" s="4">
        <v>28.93</v>
      </c>
      <c r="D506" s="4">
        <v>1</v>
      </c>
      <c r="E506" s="4">
        <v>0</v>
      </c>
      <c r="F506" s="4">
        <v>2</v>
      </c>
      <c r="G506" s="4">
        <v>5974.3846999999996</v>
      </c>
      <c r="I506" s="23"/>
      <c r="J506" s="23"/>
      <c r="K506" s="23"/>
      <c r="L506" s="23"/>
      <c r="M506" s="23"/>
      <c r="N506" s="23"/>
      <c r="O506" s="23"/>
      <c r="P506" s="23"/>
      <c r="Q506" s="23"/>
      <c r="R506" s="23"/>
    </row>
    <row r="507" spans="1:18" x14ac:dyDescent="0.2">
      <c r="A507" s="4">
        <v>37</v>
      </c>
      <c r="B507" s="4">
        <v>1</v>
      </c>
      <c r="C507" s="4">
        <v>30.875</v>
      </c>
      <c r="D507" s="4">
        <v>3</v>
      </c>
      <c r="E507" s="4">
        <v>0</v>
      </c>
      <c r="F507" s="4">
        <v>3</v>
      </c>
      <c r="G507" s="4">
        <v>6796.8632500000003</v>
      </c>
      <c r="I507" s="23"/>
      <c r="J507" s="23"/>
      <c r="K507" s="23"/>
      <c r="L507" s="23"/>
      <c r="M507" s="23"/>
      <c r="N507" s="23"/>
      <c r="O507" s="23"/>
      <c r="P507" s="23"/>
      <c r="Q507" s="23"/>
      <c r="R507" s="23"/>
    </row>
    <row r="508" spans="1:18" x14ac:dyDescent="0.2">
      <c r="A508" s="4">
        <v>22</v>
      </c>
      <c r="B508" s="4">
        <v>1</v>
      </c>
      <c r="C508" s="4">
        <v>31.35</v>
      </c>
      <c r="D508" s="4">
        <v>1</v>
      </c>
      <c r="E508" s="4">
        <v>0</v>
      </c>
      <c r="F508" s="4">
        <v>3</v>
      </c>
      <c r="G508" s="4">
        <v>2643.2685000000001</v>
      </c>
      <c r="I508" s="23"/>
      <c r="J508" s="23"/>
      <c r="K508" s="23"/>
      <c r="L508" s="23"/>
      <c r="M508" s="23"/>
      <c r="N508" s="23"/>
      <c r="O508" s="23"/>
      <c r="P508" s="23"/>
      <c r="Q508" s="23"/>
      <c r="R508" s="23"/>
    </row>
    <row r="509" spans="1:18" x14ac:dyDescent="0.2">
      <c r="A509" s="4">
        <v>21</v>
      </c>
      <c r="B509" s="4">
        <v>1</v>
      </c>
      <c r="C509" s="4">
        <v>23.75</v>
      </c>
      <c r="D509" s="4">
        <v>2</v>
      </c>
      <c r="E509" s="4">
        <v>0</v>
      </c>
      <c r="F509" s="4">
        <v>3</v>
      </c>
      <c r="G509" s="4">
        <v>3077.0954999999999</v>
      </c>
      <c r="I509" s="23"/>
      <c r="J509" s="23"/>
      <c r="K509" s="23"/>
      <c r="L509" s="23"/>
      <c r="M509" s="23"/>
      <c r="N509" s="23"/>
      <c r="O509" s="23"/>
      <c r="P509" s="23"/>
      <c r="Q509" s="23"/>
      <c r="R509" s="23"/>
    </row>
    <row r="510" spans="1:18" x14ac:dyDescent="0.2">
      <c r="A510" s="4">
        <v>24</v>
      </c>
      <c r="B510" s="4">
        <v>0</v>
      </c>
      <c r="C510" s="4">
        <v>25.27</v>
      </c>
      <c r="D510" s="4">
        <v>0</v>
      </c>
      <c r="E510" s="4">
        <v>0</v>
      </c>
      <c r="F510" s="4">
        <v>1</v>
      </c>
      <c r="G510" s="4">
        <v>3044.2132999999999</v>
      </c>
      <c r="I510" s="23"/>
      <c r="J510" s="23"/>
      <c r="K510" s="23"/>
      <c r="L510" s="23"/>
      <c r="M510" s="23"/>
      <c r="N510" s="23"/>
      <c r="O510" s="23"/>
      <c r="P510" s="23"/>
      <c r="Q510" s="23"/>
      <c r="R510" s="23"/>
    </row>
    <row r="511" spans="1:18" x14ac:dyDescent="0.2">
      <c r="A511" s="4">
        <v>57</v>
      </c>
      <c r="B511" s="4">
        <v>0</v>
      </c>
      <c r="C511" s="4">
        <v>28.7</v>
      </c>
      <c r="D511" s="4">
        <v>0</v>
      </c>
      <c r="E511" s="4">
        <v>0</v>
      </c>
      <c r="F511" s="4">
        <v>4</v>
      </c>
      <c r="G511" s="4">
        <v>11455.28</v>
      </c>
      <c r="I511" s="23"/>
      <c r="J511" s="23"/>
      <c r="K511" s="23"/>
      <c r="L511" s="23"/>
      <c r="M511" s="23"/>
      <c r="N511" s="23"/>
      <c r="O511" s="23"/>
      <c r="P511" s="23"/>
      <c r="Q511" s="23"/>
      <c r="R511" s="23"/>
    </row>
    <row r="512" spans="1:18" x14ac:dyDescent="0.2">
      <c r="A512" s="4">
        <v>56</v>
      </c>
      <c r="B512" s="4">
        <v>1</v>
      </c>
      <c r="C512" s="4">
        <v>32.11</v>
      </c>
      <c r="D512" s="4">
        <v>1</v>
      </c>
      <c r="E512" s="4">
        <v>0</v>
      </c>
      <c r="F512" s="4">
        <v>1</v>
      </c>
      <c r="G512" s="4">
        <v>11763.000899999999</v>
      </c>
      <c r="I512" s="23"/>
      <c r="J512" s="23"/>
      <c r="K512" s="23"/>
      <c r="L512" s="23"/>
      <c r="M512" s="23"/>
      <c r="N512" s="23"/>
      <c r="O512" s="23"/>
      <c r="P512" s="23"/>
      <c r="Q512" s="23"/>
      <c r="R512" s="23"/>
    </row>
    <row r="513" spans="1:18" x14ac:dyDescent="0.2">
      <c r="A513" s="4">
        <v>27</v>
      </c>
      <c r="B513" s="4">
        <v>1</v>
      </c>
      <c r="C513" s="4">
        <v>33.659999999999997</v>
      </c>
      <c r="D513" s="4">
        <v>0</v>
      </c>
      <c r="E513" s="4">
        <v>0</v>
      </c>
      <c r="F513" s="4">
        <v>2</v>
      </c>
      <c r="G513" s="4">
        <v>2498.4144000000001</v>
      </c>
      <c r="I513" s="23"/>
      <c r="J513" s="23"/>
      <c r="K513" s="23"/>
      <c r="L513" s="23"/>
      <c r="M513" s="23"/>
      <c r="N513" s="23"/>
      <c r="O513" s="23"/>
      <c r="P513" s="23"/>
      <c r="Q513" s="23"/>
      <c r="R513" s="23"/>
    </row>
    <row r="514" spans="1:18" x14ac:dyDescent="0.2">
      <c r="A514" s="4">
        <v>51</v>
      </c>
      <c r="B514" s="4">
        <v>1</v>
      </c>
      <c r="C514" s="4">
        <v>22.42</v>
      </c>
      <c r="D514" s="4">
        <v>0</v>
      </c>
      <c r="E514" s="4">
        <v>0</v>
      </c>
      <c r="F514" s="4">
        <v>1</v>
      </c>
      <c r="G514" s="4">
        <v>9361.3268000000007</v>
      </c>
      <c r="I514" s="23"/>
      <c r="J514" s="23"/>
      <c r="K514" s="23"/>
      <c r="L514" s="23"/>
      <c r="M514" s="23"/>
      <c r="N514" s="23"/>
      <c r="O514" s="23"/>
      <c r="P514" s="23"/>
      <c r="Q514" s="23"/>
      <c r="R514" s="23"/>
    </row>
    <row r="515" spans="1:18" x14ac:dyDescent="0.2">
      <c r="A515" s="4">
        <v>19</v>
      </c>
      <c r="B515" s="4">
        <v>1</v>
      </c>
      <c r="C515" s="4">
        <v>30.4</v>
      </c>
      <c r="D515" s="4">
        <v>0</v>
      </c>
      <c r="E515" s="4">
        <v>0</v>
      </c>
      <c r="F515" s="4">
        <v>4</v>
      </c>
      <c r="G515" s="4">
        <v>1256.299</v>
      </c>
      <c r="I515" s="23"/>
      <c r="J515" s="23"/>
      <c r="K515" s="23"/>
      <c r="L515" s="23"/>
      <c r="M515" s="23"/>
      <c r="N515" s="23"/>
      <c r="O515" s="23"/>
      <c r="P515" s="23"/>
      <c r="Q515" s="23"/>
      <c r="R515" s="23"/>
    </row>
    <row r="516" spans="1:18" x14ac:dyDescent="0.2">
      <c r="A516" s="4">
        <v>39</v>
      </c>
      <c r="B516" s="4">
        <v>1</v>
      </c>
      <c r="C516" s="4">
        <v>28.3</v>
      </c>
      <c r="D516" s="4">
        <v>1</v>
      </c>
      <c r="E516" s="4">
        <v>1</v>
      </c>
      <c r="F516" s="4">
        <v>4</v>
      </c>
      <c r="G516" s="4">
        <v>21082.16</v>
      </c>
      <c r="I516" s="23"/>
      <c r="J516" s="23"/>
      <c r="K516" s="23"/>
      <c r="L516" s="23"/>
      <c r="M516" s="23"/>
      <c r="N516" s="23"/>
      <c r="O516" s="23"/>
      <c r="P516" s="23"/>
      <c r="Q516" s="23"/>
      <c r="R516" s="23"/>
    </row>
    <row r="517" spans="1:18" x14ac:dyDescent="0.2">
      <c r="A517" s="4">
        <v>58</v>
      </c>
      <c r="B517" s="4">
        <v>1</v>
      </c>
      <c r="C517" s="4">
        <v>35.700000000000003</v>
      </c>
      <c r="D517" s="4">
        <v>0</v>
      </c>
      <c r="E517" s="4">
        <v>0</v>
      </c>
      <c r="F517" s="4">
        <v>4</v>
      </c>
      <c r="G517" s="4">
        <v>11362.754999999999</v>
      </c>
      <c r="I517" s="23"/>
      <c r="J517" s="23"/>
      <c r="K517" s="23"/>
      <c r="L517" s="23"/>
      <c r="M517" s="23"/>
      <c r="N517" s="23"/>
      <c r="O517" s="23"/>
      <c r="P517" s="23"/>
      <c r="Q517" s="23"/>
      <c r="R517" s="23"/>
    </row>
    <row r="518" spans="1:18" x14ac:dyDescent="0.2">
      <c r="A518" s="4">
        <v>20</v>
      </c>
      <c r="B518" s="4">
        <v>1</v>
      </c>
      <c r="C518" s="4">
        <v>35.31</v>
      </c>
      <c r="D518" s="4">
        <v>1</v>
      </c>
      <c r="E518" s="4">
        <v>0</v>
      </c>
      <c r="F518" s="4">
        <v>2</v>
      </c>
      <c r="G518" s="4">
        <v>27724.28875</v>
      </c>
      <c r="I518" s="23"/>
      <c r="J518" s="23"/>
      <c r="K518" s="23"/>
      <c r="L518" s="23"/>
      <c r="M518" s="23"/>
      <c r="N518" s="23"/>
      <c r="O518" s="23"/>
      <c r="P518" s="23"/>
      <c r="Q518" s="23"/>
      <c r="R518" s="23"/>
    </row>
    <row r="519" spans="1:18" x14ac:dyDescent="0.2">
      <c r="A519" s="4">
        <v>45</v>
      </c>
      <c r="B519" s="4">
        <v>1</v>
      </c>
      <c r="C519" s="4">
        <v>30.495000000000001</v>
      </c>
      <c r="D519" s="4">
        <v>2</v>
      </c>
      <c r="E519" s="4">
        <v>0</v>
      </c>
      <c r="F519" s="4">
        <v>3</v>
      </c>
      <c r="G519" s="4">
        <v>8413.4630500000003</v>
      </c>
      <c r="I519" s="23"/>
      <c r="J519" s="23"/>
      <c r="K519" s="23"/>
      <c r="L519" s="23"/>
      <c r="M519" s="23"/>
      <c r="N519" s="23"/>
      <c r="O519" s="23"/>
      <c r="P519" s="23"/>
      <c r="Q519" s="23"/>
      <c r="R519" s="23"/>
    </row>
    <row r="520" spans="1:18" x14ac:dyDescent="0.2">
      <c r="A520" s="4">
        <v>35</v>
      </c>
      <c r="B520" s="4">
        <v>0</v>
      </c>
      <c r="C520" s="4">
        <v>31</v>
      </c>
      <c r="D520" s="4">
        <v>1</v>
      </c>
      <c r="E520" s="4">
        <v>0</v>
      </c>
      <c r="F520" s="4">
        <v>4</v>
      </c>
      <c r="G520" s="4">
        <v>5240.7650000000003</v>
      </c>
      <c r="I520" s="23"/>
      <c r="J520" s="23"/>
      <c r="K520" s="23"/>
      <c r="L520" s="23"/>
      <c r="M520" s="23"/>
      <c r="N520" s="23"/>
      <c r="O520" s="23"/>
      <c r="P520" s="23"/>
      <c r="Q520" s="23"/>
      <c r="R520" s="23"/>
    </row>
    <row r="521" spans="1:18" x14ac:dyDescent="0.2">
      <c r="A521" s="4">
        <v>31</v>
      </c>
      <c r="B521" s="4">
        <v>1</v>
      </c>
      <c r="C521" s="4">
        <v>30.875</v>
      </c>
      <c r="D521" s="4">
        <v>0</v>
      </c>
      <c r="E521" s="4">
        <v>0</v>
      </c>
      <c r="F521" s="4">
        <v>1</v>
      </c>
      <c r="G521" s="4">
        <v>3857.7592500000001</v>
      </c>
      <c r="I521" s="23"/>
      <c r="J521" s="23"/>
      <c r="K521" s="23"/>
      <c r="L521" s="23"/>
      <c r="M521" s="23"/>
      <c r="N521" s="23"/>
      <c r="O521" s="23"/>
      <c r="P521" s="23"/>
      <c r="Q521" s="23"/>
      <c r="R521" s="23"/>
    </row>
    <row r="522" spans="1:18" x14ac:dyDescent="0.2">
      <c r="A522" s="4">
        <v>50</v>
      </c>
      <c r="B522" s="4">
        <v>0</v>
      </c>
      <c r="C522" s="4">
        <v>27.36</v>
      </c>
      <c r="D522" s="4">
        <v>0</v>
      </c>
      <c r="E522" s="4">
        <v>0</v>
      </c>
      <c r="F522" s="4">
        <v>1</v>
      </c>
      <c r="G522" s="4">
        <v>25656.575260000001</v>
      </c>
      <c r="I522" s="23"/>
      <c r="J522" s="23"/>
      <c r="K522" s="23"/>
      <c r="L522" s="23"/>
      <c r="M522" s="23"/>
      <c r="N522" s="23"/>
      <c r="O522" s="23"/>
      <c r="P522" s="23"/>
      <c r="Q522" s="23"/>
      <c r="R522" s="23"/>
    </row>
    <row r="523" spans="1:18" x14ac:dyDescent="0.2">
      <c r="A523" s="4">
        <v>32</v>
      </c>
      <c r="B523" s="4">
        <v>0</v>
      </c>
      <c r="C523" s="4">
        <v>44.22</v>
      </c>
      <c r="D523" s="4">
        <v>0</v>
      </c>
      <c r="E523" s="4">
        <v>0</v>
      </c>
      <c r="F523" s="4">
        <v>2</v>
      </c>
      <c r="G523" s="4">
        <v>3994.1777999999999</v>
      </c>
      <c r="I523" s="23"/>
      <c r="J523" s="23"/>
      <c r="K523" s="23"/>
      <c r="L523" s="23"/>
      <c r="M523" s="23"/>
      <c r="N523" s="23"/>
      <c r="O523" s="23"/>
      <c r="P523" s="23"/>
      <c r="Q523" s="23"/>
      <c r="R523" s="23"/>
    </row>
    <row r="524" spans="1:18" x14ac:dyDescent="0.2">
      <c r="A524" s="4">
        <v>51</v>
      </c>
      <c r="B524" s="4">
        <v>0</v>
      </c>
      <c r="C524" s="4">
        <v>33.914999999999999</v>
      </c>
      <c r="D524" s="4">
        <v>0</v>
      </c>
      <c r="E524" s="4">
        <v>0</v>
      </c>
      <c r="F524" s="4">
        <v>1</v>
      </c>
      <c r="G524" s="4">
        <v>9866.3048500000004</v>
      </c>
      <c r="I524" s="23"/>
      <c r="J524" s="23"/>
      <c r="K524" s="23"/>
      <c r="L524" s="23"/>
      <c r="M524" s="23"/>
      <c r="N524" s="23"/>
      <c r="O524" s="23"/>
      <c r="P524" s="23"/>
      <c r="Q524" s="23"/>
      <c r="R524" s="23"/>
    </row>
    <row r="525" spans="1:18" x14ac:dyDescent="0.2">
      <c r="A525" s="4">
        <v>38</v>
      </c>
      <c r="B525" s="4">
        <v>0</v>
      </c>
      <c r="C525" s="4">
        <v>37.729999999999997</v>
      </c>
      <c r="D525" s="4">
        <v>0</v>
      </c>
      <c r="E525" s="4">
        <v>0</v>
      </c>
      <c r="F525" s="4">
        <v>2</v>
      </c>
      <c r="G525" s="4">
        <v>5397.6166999999996</v>
      </c>
      <c r="I525" s="23"/>
      <c r="J525" s="23"/>
      <c r="K525" s="23"/>
      <c r="L525" s="23"/>
      <c r="M525" s="23"/>
      <c r="N525" s="23"/>
      <c r="O525" s="23"/>
      <c r="P525" s="23"/>
      <c r="Q525" s="23"/>
      <c r="R525" s="23"/>
    </row>
    <row r="526" spans="1:18" x14ac:dyDescent="0.2">
      <c r="A526" s="4">
        <v>42</v>
      </c>
      <c r="B526" s="4">
        <v>1</v>
      </c>
      <c r="C526" s="4">
        <v>26.07</v>
      </c>
      <c r="D526" s="4">
        <v>1</v>
      </c>
      <c r="E526" s="4">
        <v>1</v>
      </c>
      <c r="F526" s="4">
        <v>2</v>
      </c>
      <c r="G526" s="4">
        <v>38245.593269999998</v>
      </c>
      <c r="I526" s="23"/>
      <c r="J526" s="23"/>
      <c r="K526" s="23"/>
      <c r="L526" s="23"/>
      <c r="M526" s="23"/>
      <c r="N526" s="23"/>
      <c r="O526" s="23"/>
      <c r="P526" s="23"/>
      <c r="Q526" s="23"/>
      <c r="R526" s="23"/>
    </row>
    <row r="527" spans="1:18" x14ac:dyDescent="0.2">
      <c r="A527" s="4">
        <v>18</v>
      </c>
      <c r="B527" s="4">
        <v>0</v>
      </c>
      <c r="C527" s="4">
        <v>33.880000000000003</v>
      </c>
      <c r="D527" s="4">
        <v>0</v>
      </c>
      <c r="E527" s="4">
        <v>0</v>
      </c>
      <c r="F527" s="4">
        <v>2</v>
      </c>
      <c r="G527" s="4">
        <v>11482.63485</v>
      </c>
      <c r="I527" s="23"/>
      <c r="J527" s="23"/>
      <c r="K527" s="23"/>
      <c r="L527" s="23"/>
      <c r="M527" s="23"/>
      <c r="N527" s="23"/>
      <c r="O527" s="23"/>
      <c r="P527" s="23"/>
      <c r="Q527" s="23"/>
      <c r="R527" s="23"/>
    </row>
    <row r="528" spans="1:18" x14ac:dyDescent="0.2">
      <c r="A528" s="4">
        <v>19</v>
      </c>
      <c r="B528" s="4">
        <v>0</v>
      </c>
      <c r="C528" s="4">
        <v>30.59</v>
      </c>
      <c r="D528" s="4">
        <v>2</v>
      </c>
      <c r="E528" s="4">
        <v>0</v>
      </c>
      <c r="F528" s="4">
        <v>3</v>
      </c>
      <c r="G528" s="4">
        <v>24059.680189999999</v>
      </c>
      <c r="I528" s="23"/>
      <c r="J528" s="23"/>
      <c r="K528" s="23"/>
      <c r="L528" s="23"/>
      <c r="M528" s="23"/>
      <c r="N528" s="23"/>
      <c r="O528" s="23"/>
      <c r="P528" s="23"/>
      <c r="Q528" s="23"/>
      <c r="R528" s="23"/>
    </row>
    <row r="529" spans="1:18" x14ac:dyDescent="0.2">
      <c r="A529" s="4">
        <v>51</v>
      </c>
      <c r="B529" s="4">
        <v>0</v>
      </c>
      <c r="C529" s="4">
        <v>25.8</v>
      </c>
      <c r="D529" s="4">
        <v>1</v>
      </c>
      <c r="E529" s="4">
        <v>0</v>
      </c>
      <c r="F529" s="4">
        <v>4</v>
      </c>
      <c r="G529" s="4">
        <v>9861.0249999999996</v>
      </c>
      <c r="I529" s="23"/>
      <c r="J529" s="23"/>
      <c r="K529" s="23"/>
      <c r="L529" s="23"/>
      <c r="M529" s="23"/>
      <c r="N529" s="23"/>
      <c r="O529" s="23"/>
      <c r="P529" s="23"/>
      <c r="Q529" s="23"/>
      <c r="R529" s="23"/>
    </row>
    <row r="530" spans="1:18" x14ac:dyDescent="0.2">
      <c r="A530" s="4">
        <v>46</v>
      </c>
      <c r="B530" s="4">
        <v>1</v>
      </c>
      <c r="C530" s="4">
        <v>39.424999999999997</v>
      </c>
      <c r="D530" s="4">
        <v>1</v>
      </c>
      <c r="E530" s="4">
        <v>0</v>
      </c>
      <c r="F530" s="4">
        <v>1</v>
      </c>
      <c r="G530" s="4">
        <v>8342.9087500000005</v>
      </c>
      <c r="I530" s="23"/>
      <c r="J530" s="23"/>
      <c r="K530" s="23"/>
      <c r="L530" s="23"/>
      <c r="M530" s="23"/>
      <c r="N530" s="23"/>
      <c r="O530" s="23"/>
      <c r="P530" s="23"/>
      <c r="Q530" s="23"/>
      <c r="R530" s="23"/>
    </row>
    <row r="531" spans="1:18" x14ac:dyDescent="0.2">
      <c r="A531" s="4">
        <v>18</v>
      </c>
      <c r="B531" s="4">
        <v>1</v>
      </c>
      <c r="C531" s="4">
        <v>25.46</v>
      </c>
      <c r="D531" s="4">
        <v>0</v>
      </c>
      <c r="E531" s="4">
        <v>0</v>
      </c>
      <c r="F531" s="4">
        <v>1</v>
      </c>
      <c r="G531" s="4">
        <v>1708.0014000000001</v>
      </c>
      <c r="I531" s="23"/>
      <c r="J531" s="23"/>
      <c r="K531" s="23"/>
      <c r="L531" s="23"/>
      <c r="M531" s="23"/>
      <c r="N531" s="23"/>
      <c r="O531" s="23"/>
      <c r="P531" s="23"/>
      <c r="Q531" s="23"/>
      <c r="R531" s="23"/>
    </row>
    <row r="532" spans="1:18" x14ac:dyDescent="0.2">
      <c r="A532" s="4">
        <v>57</v>
      </c>
      <c r="B532" s="4">
        <v>1</v>
      </c>
      <c r="C532" s="4">
        <v>42.13</v>
      </c>
      <c r="D532" s="4">
        <v>1</v>
      </c>
      <c r="E532" s="4">
        <v>1</v>
      </c>
      <c r="F532" s="4">
        <v>2</v>
      </c>
      <c r="G532" s="4">
        <v>48675.517699999997</v>
      </c>
      <c r="I532" s="23"/>
      <c r="J532" s="23"/>
      <c r="K532" s="23"/>
      <c r="L532" s="23"/>
      <c r="M532" s="23"/>
      <c r="N532" s="23"/>
      <c r="O532" s="23"/>
      <c r="P532" s="23"/>
      <c r="Q532" s="23"/>
      <c r="R532" s="23"/>
    </row>
    <row r="533" spans="1:18" x14ac:dyDescent="0.2">
      <c r="A533" s="4">
        <v>62</v>
      </c>
      <c r="B533" s="4">
        <v>0</v>
      </c>
      <c r="C533" s="4">
        <v>31.73</v>
      </c>
      <c r="D533" s="4">
        <v>0</v>
      </c>
      <c r="E533" s="4">
        <v>0</v>
      </c>
      <c r="F533" s="4">
        <v>1</v>
      </c>
      <c r="G533" s="4">
        <v>14043.476699999999</v>
      </c>
      <c r="I533" s="23"/>
      <c r="J533" s="23"/>
      <c r="K533" s="23"/>
      <c r="L533" s="23"/>
      <c r="M533" s="23"/>
      <c r="N533" s="23"/>
      <c r="O533" s="23"/>
      <c r="P533" s="23"/>
      <c r="Q533" s="23"/>
      <c r="R533" s="23"/>
    </row>
    <row r="534" spans="1:18" x14ac:dyDescent="0.2">
      <c r="A534" s="4">
        <v>59</v>
      </c>
      <c r="B534" s="4">
        <v>1</v>
      </c>
      <c r="C534" s="4">
        <v>29.7</v>
      </c>
      <c r="D534" s="4">
        <v>2</v>
      </c>
      <c r="E534" s="4">
        <v>0</v>
      </c>
      <c r="F534" s="4">
        <v>2</v>
      </c>
      <c r="G534" s="4">
        <v>12925.886</v>
      </c>
      <c r="I534" s="23"/>
      <c r="J534" s="23"/>
      <c r="K534" s="23"/>
      <c r="L534" s="23"/>
      <c r="M534" s="23"/>
      <c r="N534" s="23"/>
      <c r="O534" s="23"/>
      <c r="P534" s="23"/>
      <c r="Q534" s="23"/>
      <c r="R534" s="23"/>
    </row>
    <row r="535" spans="1:18" x14ac:dyDescent="0.2">
      <c r="A535" s="4">
        <v>37</v>
      </c>
      <c r="B535" s="4">
        <v>1</v>
      </c>
      <c r="C535" s="4">
        <v>36.19</v>
      </c>
      <c r="D535" s="4">
        <v>0</v>
      </c>
      <c r="E535" s="4">
        <v>0</v>
      </c>
      <c r="F535" s="4">
        <v>2</v>
      </c>
      <c r="G535" s="4">
        <v>19214.705529999999</v>
      </c>
      <c r="I535" s="23"/>
      <c r="J535" s="23"/>
      <c r="K535" s="23"/>
      <c r="L535" s="23"/>
      <c r="M535" s="23"/>
      <c r="N535" s="23"/>
      <c r="O535" s="23"/>
      <c r="P535" s="23"/>
      <c r="Q535" s="23"/>
      <c r="R535" s="23"/>
    </row>
    <row r="536" spans="1:18" x14ac:dyDescent="0.2">
      <c r="A536" s="4">
        <v>64</v>
      </c>
      <c r="B536" s="4">
        <v>1</v>
      </c>
      <c r="C536" s="4">
        <v>40.479999999999997</v>
      </c>
      <c r="D536" s="4">
        <v>0</v>
      </c>
      <c r="E536" s="4">
        <v>0</v>
      </c>
      <c r="F536" s="4">
        <v>2</v>
      </c>
      <c r="G536" s="4">
        <v>13831.1152</v>
      </c>
      <c r="I536" s="23"/>
      <c r="J536" s="23"/>
      <c r="K536" s="23"/>
      <c r="L536" s="23"/>
      <c r="M536" s="23"/>
      <c r="N536" s="23"/>
      <c r="O536" s="23"/>
      <c r="P536" s="23"/>
      <c r="Q536" s="23"/>
      <c r="R536" s="23"/>
    </row>
    <row r="537" spans="1:18" x14ac:dyDescent="0.2">
      <c r="A537" s="4">
        <v>38</v>
      </c>
      <c r="B537" s="4">
        <v>1</v>
      </c>
      <c r="C537" s="4">
        <v>28.024999999999999</v>
      </c>
      <c r="D537" s="4">
        <v>1</v>
      </c>
      <c r="E537" s="4">
        <v>0</v>
      </c>
      <c r="F537" s="4">
        <v>1</v>
      </c>
      <c r="G537" s="4">
        <v>6067.1267500000004</v>
      </c>
      <c r="I537" s="23"/>
      <c r="J537" s="23"/>
      <c r="K537" s="23"/>
      <c r="L537" s="23"/>
      <c r="M537" s="23"/>
      <c r="N537" s="23"/>
      <c r="O537" s="23"/>
      <c r="P537" s="23"/>
      <c r="Q537" s="23"/>
      <c r="R537" s="23"/>
    </row>
    <row r="538" spans="1:18" x14ac:dyDescent="0.2">
      <c r="A538" s="4">
        <v>33</v>
      </c>
      <c r="B538" s="4">
        <v>0</v>
      </c>
      <c r="C538" s="4">
        <v>38.9</v>
      </c>
      <c r="D538" s="4">
        <v>3</v>
      </c>
      <c r="E538" s="4">
        <v>0</v>
      </c>
      <c r="F538" s="4">
        <v>4</v>
      </c>
      <c r="G538" s="4">
        <v>5972.3779999999997</v>
      </c>
      <c r="I538" s="23"/>
      <c r="J538" s="23"/>
      <c r="K538" s="23"/>
      <c r="L538" s="23"/>
      <c r="M538" s="23"/>
      <c r="N538" s="23"/>
      <c r="O538" s="23"/>
      <c r="P538" s="23"/>
      <c r="Q538" s="23"/>
      <c r="R538" s="23"/>
    </row>
    <row r="539" spans="1:18" x14ac:dyDescent="0.2">
      <c r="A539" s="4">
        <v>46</v>
      </c>
      <c r="B539" s="4">
        <v>0</v>
      </c>
      <c r="C539" s="4">
        <v>30.2</v>
      </c>
      <c r="D539" s="4">
        <v>2</v>
      </c>
      <c r="E539" s="4">
        <v>0</v>
      </c>
      <c r="F539" s="4">
        <v>4</v>
      </c>
      <c r="G539" s="4">
        <v>8825.0859999999993</v>
      </c>
      <c r="I539" s="23"/>
      <c r="J539" s="23"/>
      <c r="K539" s="23"/>
      <c r="L539" s="23"/>
      <c r="M539" s="23"/>
      <c r="N539" s="23"/>
      <c r="O539" s="23"/>
      <c r="P539" s="23"/>
      <c r="Q539" s="23"/>
      <c r="R539" s="23"/>
    </row>
    <row r="540" spans="1:18" x14ac:dyDescent="0.2">
      <c r="A540" s="4">
        <v>46</v>
      </c>
      <c r="B540" s="4">
        <v>0</v>
      </c>
      <c r="C540" s="4">
        <v>28.05</v>
      </c>
      <c r="D540" s="4">
        <v>1</v>
      </c>
      <c r="E540" s="4">
        <v>0</v>
      </c>
      <c r="F540" s="4">
        <v>2</v>
      </c>
      <c r="G540" s="4">
        <v>8233.0974999999999</v>
      </c>
      <c r="I540" s="23"/>
      <c r="J540" s="23"/>
      <c r="K540" s="23"/>
      <c r="L540" s="23"/>
      <c r="M540" s="23"/>
      <c r="N540" s="23"/>
      <c r="O540" s="23"/>
      <c r="P540" s="23"/>
      <c r="Q540" s="23"/>
      <c r="R540" s="23"/>
    </row>
    <row r="541" spans="1:18" x14ac:dyDescent="0.2">
      <c r="A541" s="4">
        <v>53</v>
      </c>
      <c r="B541" s="4">
        <v>1</v>
      </c>
      <c r="C541" s="4">
        <v>31.35</v>
      </c>
      <c r="D541" s="4">
        <v>0</v>
      </c>
      <c r="E541" s="4">
        <v>0</v>
      </c>
      <c r="F541" s="4">
        <v>2</v>
      </c>
      <c r="G541" s="4">
        <v>27346.04207</v>
      </c>
      <c r="I541" s="23"/>
      <c r="J541" s="23"/>
      <c r="K541" s="23"/>
      <c r="L541" s="23"/>
      <c r="M541" s="23"/>
      <c r="N541" s="23"/>
      <c r="O541" s="23"/>
      <c r="P541" s="23"/>
      <c r="Q541" s="23"/>
      <c r="R541" s="23"/>
    </row>
    <row r="542" spans="1:18" x14ac:dyDescent="0.2">
      <c r="A542" s="4">
        <v>34</v>
      </c>
      <c r="B542" s="4">
        <v>0</v>
      </c>
      <c r="C542" s="4">
        <v>38</v>
      </c>
      <c r="D542" s="4">
        <v>3</v>
      </c>
      <c r="E542" s="4">
        <v>0</v>
      </c>
      <c r="F542" s="4">
        <v>4</v>
      </c>
      <c r="G542" s="4">
        <v>6196.4480000000003</v>
      </c>
      <c r="I542" s="23"/>
      <c r="J542" s="23"/>
      <c r="K542" s="23"/>
      <c r="L542" s="23"/>
      <c r="M542" s="23"/>
      <c r="N542" s="23"/>
      <c r="O542" s="23"/>
      <c r="P542" s="23"/>
      <c r="Q542" s="23"/>
      <c r="R542" s="23"/>
    </row>
    <row r="543" spans="1:18" x14ac:dyDescent="0.2">
      <c r="A543" s="4">
        <v>20</v>
      </c>
      <c r="B543" s="4">
        <v>0</v>
      </c>
      <c r="C543" s="4">
        <v>31.79</v>
      </c>
      <c r="D543" s="4">
        <v>2</v>
      </c>
      <c r="E543" s="4">
        <v>0</v>
      </c>
      <c r="F543" s="4">
        <v>2</v>
      </c>
      <c r="G543" s="4">
        <v>3056.3881000000001</v>
      </c>
      <c r="I543" s="23"/>
      <c r="J543" s="23"/>
      <c r="K543" s="23"/>
      <c r="L543" s="23"/>
      <c r="M543" s="23"/>
      <c r="N543" s="23"/>
      <c r="O543" s="23"/>
      <c r="P543" s="23"/>
      <c r="Q543" s="23"/>
      <c r="R543" s="23"/>
    </row>
    <row r="544" spans="1:18" x14ac:dyDescent="0.2">
      <c r="A544" s="4">
        <v>63</v>
      </c>
      <c r="B544" s="4">
        <v>0</v>
      </c>
      <c r="C544" s="4">
        <v>36.299999999999997</v>
      </c>
      <c r="D544" s="4">
        <v>0</v>
      </c>
      <c r="E544" s="4">
        <v>0</v>
      </c>
      <c r="F544" s="4">
        <v>2</v>
      </c>
      <c r="G544" s="4">
        <v>13887.204</v>
      </c>
      <c r="I544" s="23"/>
      <c r="J544" s="23"/>
      <c r="K544" s="23"/>
      <c r="L544" s="23"/>
      <c r="M544" s="23"/>
      <c r="N544" s="23"/>
      <c r="O544" s="23"/>
      <c r="P544" s="23"/>
      <c r="Q544" s="23"/>
      <c r="R544" s="23"/>
    </row>
    <row r="545" spans="1:18" x14ac:dyDescent="0.2">
      <c r="A545" s="4">
        <v>54</v>
      </c>
      <c r="B545" s="4">
        <v>0</v>
      </c>
      <c r="C545" s="4">
        <v>47.41</v>
      </c>
      <c r="D545" s="4">
        <v>0</v>
      </c>
      <c r="E545" s="4">
        <v>1</v>
      </c>
      <c r="F545" s="4">
        <v>2</v>
      </c>
      <c r="G545" s="4">
        <v>63770.428010000003</v>
      </c>
      <c r="I545" s="23"/>
      <c r="J545" s="23"/>
      <c r="K545" s="23"/>
      <c r="L545" s="23"/>
      <c r="M545" s="23"/>
      <c r="N545" s="23"/>
      <c r="O545" s="23"/>
      <c r="P545" s="23"/>
      <c r="Q545" s="23"/>
      <c r="R545" s="23"/>
    </row>
    <row r="546" spans="1:18" x14ac:dyDescent="0.2">
      <c r="A546" s="4">
        <v>54</v>
      </c>
      <c r="B546" s="4">
        <v>1</v>
      </c>
      <c r="C546" s="4">
        <v>30.21</v>
      </c>
      <c r="D546" s="4">
        <v>0</v>
      </c>
      <c r="E546" s="4">
        <v>0</v>
      </c>
      <c r="F546" s="4">
        <v>3</v>
      </c>
      <c r="G546" s="4">
        <v>10231.499900000001</v>
      </c>
      <c r="I546" s="23"/>
      <c r="J546" s="23"/>
      <c r="K546" s="23"/>
      <c r="L546" s="23"/>
      <c r="M546" s="23"/>
      <c r="N546" s="23"/>
      <c r="O546" s="23"/>
      <c r="P546" s="23"/>
      <c r="Q546" s="23"/>
      <c r="R546" s="23"/>
    </row>
    <row r="547" spans="1:18" x14ac:dyDescent="0.2">
      <c r="A547" s="4">
        <v>49</v>
      </c>
      <c r="B547" s="4">
        <v>1</v>
      </c>
      <c r="C547" s="4">
        <v>25.84</v>
      </c>
      <c r="D547" s="4">
        <v>2</v>
      </c>
      <c r="E547" s="4">
        <v>1</v>
      </c>
      <c r="F547" s="4">
        <v>3</v>
      </c>
      <c r="G547" s="4">
        <v>23807.240600000001</v>
      </c>
      <c r="I547" s="23"/>
      <c r="J547" s="23"/>
      <c r="K547" s="23"/>
      <c r="L547" s="23"/>
      <c r="M547" s="23"/>
      <c r="N547" s="23"/>
      <c r="O547" s="23"/>
      <c r="P547" s="23"/>
      <c r="Q547" s="23"/>
      <c r="R547" s="23"/>
    </row>
    <row r="548" spans="1:18" x14ac:dyDescent="0.2">
      <c r="A548" s="4">
        <v>28</v>
      </c>
      <c r="B548" s="4">
        <v>1</v>
      </c>
      <c r="C548" s="4">
        <v>35.435000000000002</v>
      </c>
      <c r="D548" s="4">
        <v>0</v>
      </c>
      <c r="E548" s="4">
        <v>0</v>
      </c>
      <c r="F548" s="4">
        <v>1</v>
      </c>
      <c r="G548" s="4">
        <v>3268.84665</v>
      </c>
      <c r="I548" s="23"/>
      <c r="J548" s="23"/>
      <c r="K548" s="23"/>
      <c r="L548" s="23"/>
      <c r="M548" s="23"/>
      <c r="N548" s="23"/>
      <c r="O548" s="23"/>
      <c r="P548" s="23"/>
      <c r="Q548" s="23"/>
      <c r="R548" s="23"/>
    </row>
    <row r="549" spans="1:18" x14ac:dyDescent="0.2">
      <c r="A549" s="4">
        <v>54</v>
      </c>
      <c r="B549" s="4">
        <v>0</v>
      </c>
      <c r="C549" s="4">
        <v>46.7</v>
      </c>
      <c r="D549" s="4">
        <v>2</v>
      </c>
      <c r="E549" s="4">
        <v>0</v>
      </c>
      <c r="F549" s="4">
        <v>4</v>
      </c>
      <c r="G549" s="4">
        <v>11538.421</v>
      </c>
      <c r="I549" s="23"/>
      <c r="J549" s="23"/>
      <c r="K549" s="23"/>
      <c r="L549" s="23"/>
      <c r="M549" s="23"/>
      <c r="N549" s="23"/>
      <c r="O549" s="23"/>
      <c r="P549" s="23"/>
      <c r="Q549" s="23"/>
      <c r="R549" s="23"/>
    </row>
    <row r="550" spans="1:18" x14ac:dyDescent="0.2">
      <c r="A550" s="4">
        <v>25</v>
      </c>
      <c r="B550" s="4">
        <v>0</v>
      </c>
      <c r="C550" s="4">
        <v>28.594999999999999</v>
      </c>
      <c r="D550" s="4">
        <v>0</v>
      </c>
      <c r="E550" s="4">
        <v>0</v>
      </c>
      <c r="F550" s="4">
        <v>1</v>
      </c>
      <c r="G550" s="4">
        <v>3213.6220499999999</v>
      </c>
      <c r="I550" s="23"/>
      <c r="J550" s="23"/>
      <c r="K550" s="23"/>
      <c r="L550" s="23"/>
      <c r="M550" s="23"/>
      <c r="N550" s="23"/>
      <c r="O550" s="23"/>
      <c r="P550" s="23"/>
      <c r="Q550" s="23"/>
      <c r="R550" s="23"/>
    </row>
    <row r="551" spans="1:18" x14ac:dyDescent="0.2">
      <c r="A551" s="4">
        <v>43</v>
      </c>
      <c r="B551" s="4">
        <v>0</v>
      </c>
      <c r="C551" s="4">
        <v>46.2</v>
      </c>
      <c r="D551" s="4">
        <v>0</v>
      </c>
      <c r="E551" s="4">
        <v>1</v>
      </c>
      <c r="F551" s="4">
        <v>2</v>
      </c>
      <c r="G551" s="4">
        <v>45863.205000000002</v>
      </c>
      <c r="I551" s="23"/>
      <c r="J551" s="23"/>
      <c r="K551" s="23"/>
      <c r="L551" s="23"/>
      <c r="M551" s="23"/>
      <c r="N551" s="23"/>
      <c r="O551" s="23"/>
      <c r="P551" s="23"/>
      <c r="Q551" s="23"/>
      <c r="R551" s="23"/>
    </row>
    <row r="552" spans="1:18" x14ac:dyDescent="0.2">
      <c r="A552" s="4">
        <v>63</v>
      </c>
      <c r="B552" s="4">
        <v>1</v>
      </c>
      <c r="C552" s="4">
        <v>30.8</v>
      </c>
      <c r="D552" s="4">
        <v>0</v>
      </c>
      <c r="E552" s="4">
        <v>0</v>
      </c>
      <c r="F552" s="4">
        <v>4</v>
      </c>
      <c r="G552" s="4">
        <v>13390.558999999999</v>
      </c>
      <c r="I552" s="23"/>
      <c r="J552" s="23"/>
      <c r="K552" s="23"/>
      <c r="L552" s="23"/>
      <c r="M552" s="23"/>
      <c r="N552" s="23"/>
      <c r="O552" s="23"/>
      <c r="P552" s="23"/>
      <c r="Q552" s="23"/>
      <c r="R552" s="23"/>
    </row>
    <row r="553" spans="1:18" x14ac:dyDescent="0.2">
      <c r="A553" s="4">
        <v>32</v>
      </c>
      <c r="B553" s="4">
        <v>0</v>
      </c>
      <c r="C553" s="4">
        <v>28.93</v>
      </c>
      <c r="D553" s="4">
        <v>0</v>
      </c>
      <c r="E553" s="4">
        <v>0</v>
      </c>
      <c r="F553" s="4">
        <v>2</v>
      </c>
      <c r="G553" s="4">
        <v>3972.9247</v>
      </c>
      <c r="I553" s="23"/>
      <c r="J553" s="23"/>
      <c r="K553" s="23"/>
      <c r="L553" s="23"/>
      <c r="M553" s="23"/>
      <c r="N553" s="23"/>
      <c r="O553" s="23"/>
      <c r="P553" s="23"/>
      <c r="Q553" s="23"/>
      <c r="R553" s="23"/>
    </row>
    <row r="554" spans="1:18" x14ac:dyDescent="0.2">
      <c r="A554" s="4">
        <v>62</v>
      </c>
      <c r="B554" s="4">
        <v>1</v>
      </c>
      <c r="C554" s="4">
        <v>21.4</v>
      </c>
      <c r="D554" s="4">
        <v>0</v>
      </c>
      <c r="E554" s="4">
        <v>0</v>
      </c>
      <c r="F554" s="4">
        <v>4</v>
      </c>
      <c r="G554" s="4">
        <v>12957.118</v>
      </c>
      <c r="I554" s="23"/>
      <c r="J554" s="23"/>
      <c r="K554" s="23"/>
      <c r="L554" s="23"/>
      <c r="M554" s="23"/>
      <c r="N554" s="23"/>
      <c r="O554" s="23"/>
      <c r="P554" s="23"/>
      <c r="Q554" s="23"/>
      <c r="R554" s="23"/>
    </row>
    <row r="555" spans="1:18" x14ac:dyDescent="0.2">
      <c r="A555" s="4">
        <v>52</v>
      </c>
      <c r="B555" s="4">
        <v>0</v>
      </c>
      <c r="C555" s="4">
        <v>31.73</v>
      </c>
      <c r="D555" s="4">
        <v>2</v>
      </c>
      <c r="E555" s="4">
        <v>0</v>
      </c>
      <c r="F555" s="4">
        <v>3</v>
      </c>
      <c r="G555" s="4">
        <v>11187.6567</v>
      </c>
      <c r="I555" s="23"/>
      <c r="J555" s="23"/>
      <c r="K555" s="23"/>
      <c r="L555" s="23"/>
      <c r="M555" s="23"/>
      <c r="N555" s="23"/>
      <c r="O555" s="23"/>
      <c r="P555" s="23"/>
      <c r="Q555" s="23"/>
      <c r="R555" s="23"/>
    </row>
    <row r="556" spans="1:18" x14ac:dyDescent="0.2">
      <c r="A556" s="4">
        <v>25</v>
      </c>
      <c r="B556" s="4">
        <v>0</v>
      </c>
      <c r="C556" s="4">
        <v>41.325000000000003</v>
      </c>
      <c r="D556" s="4">
        <v>0</v>
      </c>
      <c r="E556" s="4">
        <v>0</v>
      </c>
      <c r="F556" s="4">
        <v>1</v>
      </c>
      <c r="G556" s="4">
        <v>17878.900679999999</v>
      </c>
      <c r="I556" s="23"/>
      <c r="J556" s="23"/>
      <c r="K556" s="23"/>
      <c r="L556" s="23"/>
      <c r="M556" s="23"/>
      <c r="N556" s="23"/>
      <c r="O556" s="23"/>
      <c r="P556" s="23"/>
      <c r="Q556" s="23"/>
      <c r="R556" s="23"/>
    </row>
    <row r="557" spans="1:18" x14ac:dyDescent="0.2">
      <c r="A557" s="4">
        <v>28</v>
      </c>
      <c r="B557" s="4">
        <v>1</v>
      </c>
      <c r="C557" s="4">
        <v>23.8</v>
      </c>
      <c r="D557" s="4">
        <v>2</v>
      </c>
      <c r="E557" s="4">
        <v>0</v>
      </c>
      <c r="F557" s="4">
        <v>4</v>
      </c>
      <c r="G557" s="4">
        <v>3847.674</v>
      </c>
      <c r="I557" s="23"/>
      <c r="J557" s="23"/>
      <c r="K557" s="23"/>
      <c r="L557" s="23"/>
      <c r="M557" s="23"/>
      <c r="N557" s="23"/>
      <c r="O557" s="23"/>
      <c r="P557" s="23"/>
      <c r="Q557" s="23"/>
      <c r="R557" s="23"/>
    </row>
    <row r="558" spans="1:18" x14ac:dyDescent="0.2">
      <c r="A558" s="4">
        <v>46</v>
      </c>
      <c r="B558" s="4">
        <v>1</v>
      </c>
      <c r="C558" s="4">
        <v>33.44</v>
      </c>
      <c r="D558" s="4">
        <v>1</v>
      </c>
      <c r="E558" s="4">
        <v>0</v>
      </c>
      <c r="F558" s="4">
        <v>1</v>
      </c>
      <c r="G558" s="4">
        <v>8334.5895999999993</v>
      </c>
      <c r="I558" s="23"/>
      <c r="J558" s="23"/>
      <c r="K558" s="23"/>
      <c r="L558" s="23"/>
      <c r="M558" s="23"/>
      <c r="N558" s="23"/>
      <c r="O558" s="23"/>
      <c r="P558" s="23"/>
      <c r="Q558" s="23"/>
      <c r="R558" s="23"/>
    </row>
    <row r="559" spans="1:18" x14ac:dyDescent="0.2">
      <c r="A559" s="4">
        <v>34</v>
      </c>
      <c r="B559" s="4">
        <v>1</v>
      </c>
      <c r="C559" s="4">
        <v>34.21</v>
      </c>
      <c r="D559" s="4">
        <v>0</v>
      </c>
      <c r="E559" s="4">
        <v>0</v>
      </c>
      <c r="F559" s="4">
        <v>2</v>
      </c>
      <c r="G559" s="4">
        <v>3935.1799000000001</v>
      </c>
      <c r="I559" s="23"/>
      <c r="J559" s="23"/>
      <c r="K559" s="23"/>
      <c r="L559" s="23"/>
      <c r="M559" s="23"/>
      <c r="N559" s="23"/>
      <c r="O559" s="23"/>
      <c r="P559" s="23"/>
      <c r="Q559" s="23"/>
      <c r="R559" s="23"/>
    </row>
    <row r="560" spans="1:18" x14ac:dyDescent="0.2">
      <c r="A560" s="4">
        <v>35</v>
      </c>
      <c r="B560" s="4">
        <v>0</v>
      </c>
      <c r="C560" s="4">
        <v>34.104999999999997</v>
      </c>
      <c r="D560" s="4">
        <v>3</v>
      </c>
      <c r="E560" s="4">
        <v>1</v>
      </c>
      <c r="F560" s="4">
        <v>3</v>
      </c>
      <c r="G560" s="4">
        <v>39983.425949999997</v>
      </c>
      <c r="I560" s="23"/>
      <c r="J560" s="23"/>
      <c r="K560" s="23"/>
      <c r="L560" s="23"/>
      <c r="M560" s="23"/>
      <c r="N560" s="23"/>
      <c r="O560" s="23"/>
      <c r="P560" s="23"/>
      <c r="Q560" s="23"/>
      <c r="R560" s="23"/>
    </row>
    <row r="561" spans="1:18" x14ac:dyDescent="0.2">
      <c r="A561" s="4">
        <v>19</v>
      </c>
      <c r="B561" s="4">
        <v>1</v>
      </c>
      <c r="C561" s="4">
        <v>35.53</v>
      </c>
      <c r="D561" s="4">
        <v>0</v>
      </c>
      <c r="E561" s="4">
        <v>0</v>
      </c>
      <c r="F561" s="4">
        <v>3</v>
      </c>
      <c r="G561" s="4">
        <v>1646.4296999999999</v>
      </c>
      <c r="I561" s="23"/>
      <c r="J561" s="23"/>
      <c r="K561" s="23"/>
      <c r="L561" s="23"/>
      <c r="M561" s="23"/>
      <c r="N561" s="23"/>
      <c r="O561" s="23"/>
      <c r="P561" s="23"/>
      <c r="Q561" s="23"/>
      <c r="R561" s="23"/>
    </row>
    <row r="562" spans="1:18" x14ac:dyDescent="0.2">
      <c r="A562" s="4">
        <v>46</v>
      </c>
      <c r="B562" s="4">
        <v>0</v>
      </c>
      <c r="C562" s="4">
        <v>19.95</v>
      </c>
      <c r="D562" s="4">
        <v>2</v>
      </c>
      <c r="E562" s="4">
        <v>0</v>
      </c>
      <c r="F562" s="4">
        <v>3</v>
      </c>
      <c r="G562" s="4">
        <v>9193.8384999999998</v>
      </c>
      <c r="I562" s="23"/>
      <c r="J562" s="23"/>
      <c r="K562" s="23"/>
      <c r="L562" s="23"/>
      <c r="M562" s="23"/>
      <c r="N562" s="23"/>
      <c r="O562" s="23"/>
      <c r="P562" s="23"/>
      <c r="Q562" s="23"/>
      <c r="R562" s="23"/>
    </row>
    <row r="563" spans="1:18" x14ac:dyDescent="0.2">
      <c r="A563" s="4">
        <v>54</v>
      </c>
      <c r="B563" s="4">
        <v>0</v>
      </c>
      <c r="C563" s="4">
        <v>32.68</v>
      </c>
      <c r="D563" s="4">
        <v>0</v>
      </c>
      <c r="E563" s="4">
        <v>0</v>
      </c>
      <c r="F563" s="4">
        <v>1</v>
      </c>
      <c r="G563" s="4">
        <v>10923.933199999999</v>
      </c>
      <c r="I563" s="23"/>
      <c r="J563" s="23"/>
      <c r="K563" s="23"/>
      <c r="L563" s="23"/>
      <c r="M563" s="23"/>
      <c r="N563" s="23"/>
      <c r="O563" s="23"/>
      <c r="P563" s="23"/>
      <c r="Q563" s="23"/>
      <c r="R563" s="23"/>
    </row>
    <row r="564" spans="1:18" x14ac:dyDescent="0.2">
      <c r="A564" s="4">
        <v>27</v>
      </c>
      <c r="B564" s="4">
        <v>1</v>
      </c>
      <c r="C564" s="4">
        <v>30.5</v>
      </c>
      <c r="D564" s="4">
        <v>0</v>
      </c>
      <c r="E564" s="4">
        <v>0</v>
      </c>
      <c r="F564" s="4">
        <v>4</v>
      </c>
      <c r="G564" s="4">
        <v>2494.0219999999999</v>
      </c>
      <c r="I564" s="23"/>
      <c r="J564" s="23"/>
      <c r="K564" s="23"/>
      <c r="L564" s="23"/>
      <c r="M564" s="23"/>
      <c r="N564" s="23"/>
      <c r="O564" s="23"/>
      <c r="P564" s="23"/>
      <c r="Q564" s="23"/>
      <c r="R564" s="23"/>
    </row>
    <row r="565" spans="1:18" x14ac:dyDescent="0.2">
      <c r="A565" s="4">
        <v>50</v>
      </c>
      <c r="B565" s="4">
        <v>1</v>
      </c>
      <c r="C565" s="4">
        <v>44.77</v>
      </c>
      <c r="D565" s="4">
        <v>1</v>
      </c>
      <c r="E565" s="4">
        <v>0</v>
      </c>
      <c r="F565" s="4">
        <v>2</v>
      </c>
      <c r="G565" s="4">
        <v>9058.7302999999993</v>
      </c>
      <c r="I565" s="23"/>
      <c r="J565" s="23"/>
      <c r="K565" s="23"/>
      <c r="L565" s="23"/>
      <c r="M565" s="23"/>
      <c r="N565" s="23"/>
      <c r="O565" s="23"/>
      <c r="P565" s="23"/>
      <c r="Q565" s="23"/>
      <c r="R565" s="23"/>
    </row>
    <row r="566" spans="1:18" x14ac:dyDescent="0.2">
      <c r="A566" s="4">
        <v>18</v>
      </c>
      <c r="B566" s="4">
        <v>0</v>
      </c>
      <c r="C566" s="4">
        <v>32.119999999999997</v>
      </c>
      <c r="D566" s="4">
        <v>2</v>
      </c>
      <c r="E566" s="4">
        <v>0</v>
      </c>
      <c r="F566" s="4">
        <v>2</v>
      </c>
      <c r="G566" s="4">
        <v>2801.2588000000001</v>
      </c>
      <c r="I566" s="23"/>
      <c r="J566" s="23"/>
      <c r="K566" s="23"/>
      <c r="L566" s="23"/>
      <c r="M566" s="23"/>
      <c r="N566" s="23"/>
      <c r="O566" s="23"/>
      <c r="P566" s="23"/>
      <c r="Q566" s="23"/>
      <c r="R566" s="23"/>
    </row>
    <row r="567" spans="1:18" x14ac:dyDescent="0.2">
      <c r="A567" s="4">
        <v>19</v>
      </c>
      <c r="B567" s="4">
        <v>0</v>
      </c>
      <c r="C567" s="4">
        <v>30.495000000000001</v>
      </c>
      <c r="D567" s="4">
        <v>0</v>
      </c>
      <c r="E567" s="4">
        <v>0</v>
      </c>
      <c r="F567" s="4">
        <v>3</v>
      </c>
      <c r="G567" s="4">
        <v>2128.4310500000001</v>
      </c>
      <c r="I567" s="23"/>
      <c r="J567" s="23"/>
      <c r="K567" s="23"/>
      <c r="L567" s="23"/>
      <c r="M567" s="23"/>
      <c r="N567" s="23"/>
      <c r="O567" s="23"/>
      <c r="P567" s="23"/>
      <c r="Q567" s="23"/>
      <c r="R567" s="23"/>
    </row>
    <row r="568" spans="1:18" x14ac:dyDescent="0.2">
      <c r="A568" s="4">
        <v>38</v>
      </c>
      <c r="B568" s="4">
        <v>0</v>
      </c>
      <c r="C568" s="4">
        <v>40.564999999999998</v>
      </c>
      <c r="D568" s="4">
        <v>1</v>
      </c>
      <c r="E568" s="4">
        <v>0</v>
      </c>
      <c r="F568" s="4">
        <v>3</v>
      </c>
      <c r="G568" s="4">
        <v>6373.55735</v>
      </c>
      <c r="I568" s="23"/>
      <c r="J568" s="23"/>
      <c r="K568" s="23"/>
      <c r="L568" s="23"/>
      <c r="M568" s="23"/>
      <c r="N568" s="23"/>
      <c r="O568" s="23"/>
      <c r="P568" s="23"/>
      <c r="Q568" s="23"/>
      <c r="R568" s="23"/>
    </row>
    <row r="569" spans="1:18" x14ac:dyDescent="0.2">
      <c r="A569" s="4">
        <v>41</v>
      </c>
      <c r="B569" s="4">
        <v>1</v>
      </c>
      <c r="C569" s="4">
        <v>30.59</v>
      </c>
      <c r="D569" s="4">
        <v>2</v>
      </c>
      <c r="E569" s="4">
        <v>0</v>
      </c>
      <c r="F569" s="4">
        <v>3</v>
      </c>
      <c r="G569" s="4">
        <v>7256.7231000000002</v>
      </c>
      <c r="I569" s="23"/>
      <c r="J569" s="23"/>
      <c r="K569" s="23"/>
      <c r="L569" s="23"/>
      <c r="M569" s="23"/>
      <c r="N569" s="23"/>
      <c r="O569" s="23"/>
      <c r="P569" s="23"/>
      <c r="Q569" s="23"/>
      <c r="R569" s="23"/>
    </row>
    <row r="570" spans="1:18" x14ac:dyDescent="0.2">
      <c r="A570" s="4">
        <v>49</v>
      </c>
      <c r="B570" s="4">
        <v>0</v>
      </c>
      <c r="C570" s="4">
        <v>31.9</v>
      </c>
      <c r="D570" s="4">
        <v>5</v>
      </c>
      <c r="E570" s="4">
        <v>0</v>
      </c>
      <c r="F570" s="4">
        <v>4</v>
      </c>
      <c r="G570" s="4">
        <v>11552.904</v>
      </c>
      <c r="I570" s="23"/>
      <c r="J570" s="23"/>
      <c r="K570" s="23"/>
      <c r="L570" s="23"/>
      <c r="M570" s="23"/>
      <c r="N570" s="23"/>
      <c r="O570" s="23"/>
      <c r="P570" s="23"/>
      <c r="Q570" s="23"/>
      <c r="R570" s="23"/>
    </row>
    <row r="571" spans="1:18" x14ac:dyDescent="0.2">
      <c r="A571" s="4">
        <v>48</v>
      </c>
      <c r="B571" s="4">
        <v>1</v>
      </c>
      <c r="C571" s="4">
        <v>40.564999999999998</v>
      </c>
      <c r="D571" s="4">
        <v>2</v>
      </c>
      <c r="E571" s="4">
        <v>1</v>
      </c>
      <c r="F571" s="4">
        <v>3</v>
      </c>
      <c r="G571" s="4">
        <v>45702.022349999999</v>
      </c>
      <c r="I571" s="23"/>
      <c r="J571" s="23"/>
      <c r="K571" s="23"/>
      <c r="L571" s="23"/>
      <c r="M571" s="23"/>
      <c r="N571" s="23"/>
      <c r="O571" s="23"/>
      <c r="P571" s="23"/>
      <c r="Q571" s="23"/>
      <c r="R571" s="23"/>
    </row>
    <row r="572" spans="1:18" x14ac:dyDescent="0.2">
      <c r="A572" s="4">
        <v>31</v>
      </c>
      <c r="B572" s="4">
        <v>0</v>
      </c>
      <c r="C572" s="4">
        <v>29.1</v>
      </c>
      <c r="D572" s="4">
        <v>0</v>
      </c>
      <c r="E572" s="4">
        <v>0</v>
      </c>
      <c r="F572" s="4">
        <v>4</v>
      </c>
      <c r="G572" s="4">
        <v>3761.2919999999999</v>
      </c>
      <c r="I572" s="23"/>
      <c r="J572" s="23"/>
      <c r="K572" s="23"/>
      <c r="L572" s="23"/>
      <c r="M572" s="23"/>
      <c r="N572" s="23"/>
      <c r="O572" s="23"/>
      <c r="P572" s="23"/>
      <c r="Q572" s="23"/>
      <c r="R572" s="23"/>
    </row>
    <row r="573" spans="1:18" x14ac:dyDescent="0.2">
      <c r="A573" s="4">
        <v>18</v>
      </c>
      <c r="B573" s="4">
        <v>0</v>
      </c>
      <c r="C573" s="4">
        <v>37.29</v>
      </c>
      <c r="D573" s="4">
        <v>1</v>
      </c>
      <c r="E573" s="4">
        <v>0</v>
      </c>
      <c r="F573" s="4">
        <v>2</v>
      </c>
      <c r="G573" s="4">
        <v>2219.4450999999999</v>
      </c>
      <c r="I573" s="23"/>
      <c r="J573" s="23"/>
      <c r="K573" s="23"/>
      <c r="L573" s="23"/>
      <c r="M573" s="23"/>
      <c r="N573" s="23"/>
      <c r="O573" s="23"/>
      <c r="P573" s="23"/>
      <c r="Q573" s="23"/>
      <c r="R573" s="23"/>
    </row>
    <row r="574" spans="1:18" x14ac:dyDescent="0.2">
      <c r="A574" s="4">
        <v>30</v>
      </c>
      <c r="B574" s="4">
        <v>0</v>
      </c>
      <c r="C574" s="4">
        <v>43.12</v>
      </c>
      <c r="D574" s="4">
        <v>2</v>
      </c>
      <c r="E574" s="4">
        <v>0</v>
      </c>
      <c r="F574" s="4">
        <v>2</v>
      </c>
      <c r="G574" s="4">
        <v>4753.6368000000002</v>
      </c>
      <c r="I574" s="23"/>
      <c r="J574" s="23"/>
      <c r="K574" s="23"/>
      <c r="L574" s="23"/>
      <c r="M574" s="23"/>
      <c r="N574" s="23"/>
      <c r="O574" s="23"/>
      <c r="P574" s="23"/>
      <c r="Q574" s="23"/>
      <c r="R574" s="23"/>
    </row>
    <row r="575" spans="1:18" x14ac:dyDescent="0.2">
      <c r="A575" s="4">
        <v>62</v>
      </c>
      <c r="B575" s="4">
        <v>0</v>
      </c>
      <c r="C575" s="4">
        <v>36.86</v>
      </c>
      <c r="D575" s="4">
        <v>1</v>
      </c>
      <c r="E575" s="4">
        <v>0</v>
      </c>
      <c r="F575" s="4">
        <v>1</v>
      </c>
      <c r="G575" s="4">
        <v>31620.001059999999</v>
      </c>
      <c r="I575" s="23"/>
      <c r="J575" s="23"/>
      <c r="K575" s="23"/>
      <c r="L575" s="23"/>
      <c r="M575" s="23"/>
      <c r="N575" s="23"/>
      <c r="O575" s="23"/>
      <c r="P575" s="23"/>
      <c r="Q575" s="23"/>
      <c r="R575" s="23"/>
    </row>
    <row r="576" spans="1:18" x14ac:dyDescent="0.2">
      <c r="A576" s="4">
        <v>57</v>
      </c>
      <c r="B576" s="4">
        <v>0</v>
      </c>
      <c r="C576" s="4">
        <v>34.295000000000002</v>
      </c>
      <c r="D576" s="4">
        <v>2</v>
      </c>
      <c r="E576" s="4">
        <v>0</v>
      </c>
      <c r="F576" s="4">
        <v>1</v>
      </c>
      <c r="G576" s="4">
        <v>13224.057049999999</v>
      </c>
      <c r="I576" s="23"/>
      <c r="J576" s="23"/>
      <c r="K576" s="23"/>
      <c r="L576" s="23"/>
      <c r="M576" s="23"/>
      <c r="N576" s="23"/>
      <c r="O576" s="23"/>
      <c r="P576" s="23"/>
      <c r="Q576" s="23"/>
      <c r="R576" s="23"/>
    </row>
    <row r="577" spans="1:18" x14ac:dyDescent="0.2">
      <c r="A577" s="4">
        <v>58</v>
      </c>
      <c r="B577" s="4">
        <v>0</v>
      </c>
      <c r="C577" s="4">
        <v>27.17</v>
      </c>
      <c r="D577" s="4">
        <v>0</v>
      </c>
      <c r="E577" s="4">
        <v>0</v>
      </c>
      <c r="F577" s="4">
        <v>3</v>
      </c>
      <c r="G577" s="4">
        <v>12222.898300000001</v>
      </c>
      <c r="I577" s="23"/>
      <c r="J577" s="23"/>
      <c r="K577" s="23"/>
      <c r="L577" s="23"/>
      <c r="M577" s="23"/>
      <c r="N577" s="23"/>
      <c r="O577" s="23"/>
      <c r="P577" s="23"/>
      <c r="Q577" s="23"/>
      <c r="R577" s="23"/>
    </row>
    <row r="578" spans="1:18" x14ac:dyDescent="0.2">
      <c r="A578" s="4">
        <v>22</v>
      </c>
      <c r="B578" s="4">
        <v>1</v>
      </c>
      <c r="C578" s="4">
        <v>26.84</v>
      </c>
      <c r="D578" s="4">
        <v>0</v>
      </c>
      <c r="E578" s="4">
        <v>0</v>
      </c>
      <c r="F578" s="4">
        <v>2</v>
      </c>
      <c r="G578" s="4">
        <v>1664.9996000000001</v>
      </c>
      <c r="I578" s="23"/>
      <c r="J578" s="23"/>
      <c r="K578" s="23"/>
      <c r="L578" s="23"/>
      <c r="M578" s="23"/>
      <c r="N578" s="23"/>
      <c r="O578" s="23"/>
      <c r="P578" s="23"/>
      <c r="Q578" s="23"/>
      <c r="R578" s="23"/>
    </row>
    <row r="579" spans="1:18" x14ac:dyDescent="0.2">
      <c r="A579" s="4">
        <v>31</v>
      </c>
      <c r="B579" s="4">
        <v>0</v>
      </c>
      <c r="C579" s="4">
        <v>38.094999999999999</v>
      </c>
      <c r="D579" s="4">
        <v>1</v>
      </c>
      <c r="E579" s="4">
        <v>1</v>
      </c>
      <c r="F579" s="4">
        <v>1</v>
      </c>
      <c r="G579" s="4">
        <v>58571.074480000003</v>
      </c>
      <c r="I579" s="23"/>
      <c r="J579" s="23"/>
      <c r="K579" s="23"/>
      <c r="L579" s="23"/>
      <c r="M579" s="23"/>
      <c r="N579" s="23"/>
      <c r="O579" s="23"/>
      <c r="P579" s="23"/>
      <c r="Q579" s="23"/>
      <c r="R579" s="23"/>
    </row>
    <row r="580" spans="1:18" x14ac:dyDescent="0.2">
      <c r="A580" s="4">
        <v>52</v>
      </c>
      <c r="B580" s="4">
        <v>1</v>
      </c>
      <c r="C580" s="4">
        <v>30.2</v>
      </c>
      <c r="D580" s="4">
        <v>1</v>
      </c>
      <c r="E580" s="4">
        <v>0</v>
      </c>
      <c r="F580" s="4">
        <v>4</v>
      </c>
      <c r="G580" s="4">
        <v>9724.5300000000007</v>
      </c>
      <c r="I580" s="23"/>
      <c r="J580" s="23"/>
      <c r="K580" s="23"/>
      <c r="L580" s="23"/>
      <c r="M580" s="23"/>
      <c r="N580" s="23"/>
      <c r="O580" s="23"/>
      <c r="P580" s="23"/>
      <c r="Q580" s="23"/>
      <c r="R580" s="23"/>
    </row>
    <row r="581" spans="1:18" x14ac:dyDescent="0.2">
      <c r="A581" s="4">
        <v>25</v>
      </c>
      <c r="B581" s="4">
        <v>0</v>
      </c>
      <c r="C581" s="4">
        <v>23.465</v>
      </c>
      <c r="D581" s="4">
        <v>0</v>
      </c>
      <c r="E581" s="4">
        <v>0</v>
      </c>
      <c r="F581" s="4">
        <v>1</v>
      </c>
      <c r="G581" s="4">
        <v>3206.4913499999998</v>
      </c>
      <c r="I581" s="23"/>
      <c r="J581" s="23"/>
      <c r="K581" s="23"/>
      <c r="L581" s="23"/>
      <c r="M581" s="23"/>
      <c r="N581" s="23"/>
      <c r="O581" s="23"/>
      <c r="P581" s="23"/>
      <c r="Q581" s="23"/>
      <c r="R581" s="23"/>
    </row>
    <row r="582" spans="1:18" x14ac:dyDescent="0.2">
      <c r="A582" s="4">
        <v>59</v>
      </c>
      <c r="B582" s="4">
        <v>1</v>
      </c>
      <c r="C582" s="4">
        <v>25.46</v>
      </c>
      <c r="D582" s="4">
        <v>1</v>
      </c>
      <c r="E582" s="4">
        <v>0</v>
      </c>
      <c r="F582" s="4">
        <v>1</v>
      </c>
      <c r="G582" s="4">
        <v>12913.992399999999</v>
      </c>
      <c r="I582" s="23"/>
      <c r="J582" s="23"/>
      <c r="K582" s="23"/>
      <c r="L582" s="23"/>
      <c r="M582" s="23"/>
      <c r="N582" s="23"/>
      <c r="O582" s="23"/>
      <c r="P582" s="23"/>
      <c r="Q582" s="23"/>
      <c r="R582" s="23"/>
    </row>
    <row r="583" spans="1:18" x14ac:dyDescent="0.2">
      <c r="A583" s="4">
        <v>19</v>
      </c>
      <c r="B583" s="4">
        <v>1</v>
      </c>
      <c r="C583" s="4">
        <v>30.59</v>
      </c>
      <c r="D583" s="4">
        <v>0</v>
      </c>
      <c r="E583" s="4">
        <v>0</v>
      </c>
      <c r="F583" s="4">
        <v>3</v>
      </c>
      <c r="G583" s="4">
        <v>1639.5631000000001</v>
      </c>
      <c r="I583" s="23"/>
      <c r="J583" s="23"/>
      <c r="K583" s="23"/>
      <c r="L583" s="23"/>
      <c r="M583" s="23"/>
      <c r="N583" s="23"/>
      <c r="O583" s="23"/>
      <c r="P583" s="23"/>
      <c r="Q583" s="23"/>
      <c r="R583" s="23"/>
    </row>
    <row r="584" spans="1:18" x14ac:dyDescent="0.2">
      <c r="A584" s="4">
        <v>39</v>
      </c>
      <c r="B584" s="4">
        <v>1</v>
      </c>
      <c r="C584" s="4">
        <v>45.43</v>
      </c>
      <c r="D584" s="4">
        <v>2</v>
      </c>
      <c r="E584" s="4">
        <v>0</v>
      </c>
      <c r="F584" s="4">
        <v>2</v>
      </c>
      <c r="G584" s="4">
        <v>6356.2707</v>
      </c>
      <c r="I584" s="23"/>
      <c r="J584" s="23"/>
      <c r="K584" s="23"/>
      <c r="L584" s="23"/>
      <c r="M584" s="23"/>
      <c r="N584" s="23"/>
      <c r="O584" s="23"/>
      <c r="P584" s="23"/>
      <c r="Q584" s="23"/>
      <c r="R584" s="23"/>
    </row>
    <row r="585" spans="1:18" x14ac:dyDescent="0.2">
      <c r="A585" s="4">
        <v>32</v>
      </c>
      <c r="B585" s="4">
        <v>0</v>
      </c>
      <c r="C585" s="4">
        <v>23.65</v>
      </c>
      <c r="D585" s="4">
        <v>1</v>
      </c>
      <c r="E585" s="4">
        <v>0</v>
      </c>
      <c r="F585" s="4">
        <v>2</v>
      </c>
      <c r="G585" s="4">
        <v>17626.239509999999</v>
      </c>
      <c r="I585" s="23"/>
      <c r="J585" s="23"/>
      <c r="K585" s="23"/>
      <c r="L585" s="23"/>
      <c r="M585" s="23"/>
      <c r="N585" s="23"/>
      <c r="O585" s="23"/>
      <c r="P585" s="23"/>
      <c r="Q585" s="23"/>
      <c r="R585" s="23"/>
    </row>
    <row r="586" spans="1:18" x14ac:dyDescent="0.2">
      <c r="A586" s="4">
        <v>19</v>
      </c>
      <c r="B586" s="4">
        <v>1</v>
      </c>
      <c r="C586" s="4">
        <v>20.7</v>
      </c>
      <c r="D586" s="4">
        <v>0</v>
      </c>
      <c r="E586" s="4">
        <v>0</v>
      </c>
      <c r="F586" s="4">
        <v>4</v>
      </c>
      <c r="G586" s="4">
        <v>1242.816</v>
      </c>
      <c r="I586" s="23"/>
      <c r="J586" s="23"/>
      <c r="K586" s="23"/>
      <c r="L586" s="23"/>
      <c r="M586" s="23"/>
      <c r="N586" s="23"/>
      <c r="O586" s="23"/>
      <c r="P586" s="23"/>
      <c r="Q586" s="23"/>
      <c r="R586" s="23"/>
    </row>
    <row r="587" spans="1:18" x14ac:dyDescent="0.2">
      <c r="A587" s="4">
        <v>33</v>
      </c>
      <c r="B587" s="4">
        <v>0</v>
      </c>
      <c r="C587" s="4">
        <v>28.27</v>
      </c>
      <c r="D587" s="4">
        <v>1</v>
      </c>
      <c r="E587" s="4">
        <v>0</v>
      </c>
      <c r="F587" s="4">
        <v>2</v>
      </c>
      <c r="G587" s="4">
        <v>4779.6022999999996</v>
      </c>
      <c r="I587" s="23"/>
      <c r="J587" s="23"/>
      <c r="K587" s="23"/>
      <c r="L587" s="23"/>
      <c r="M587" s="23"/>
      <c r="N587" s="23"/>
      <c r="O587" s="23"/>
      <c r="P587" s="23"/>
      <c r="Q587" s="23"/>
      <c r="R587" s="23"/>
    </row>
    <row r="588" spans="1:18" x14ac:dyDescent="0.2">
      <c r="A588" s="4">
        <v>21</v>
      </c>
      <c r="B588" s="4">
        <v>1</v>
      </c>
      <c r="C588" s="4">
        <v>20.234999999999999</v>
      </c>
      <c r="D588" s="4">
        <v>3</v>
      </c>
      <c r="E588" s="4">
        <v>0</v>
      </c>
      <c r="F588" s="4">
        <v>1</v>
      </c>
      <c r="G588" s="4">
        <v>3861.2096499999998</v>
      </c>
      <c r="I588" s="23"/>
      <c r="J588" s="23"/>
      <c r="K588" s="23"/>
      <c r="L588" s="23"/>
      <c r="M588" s="23"/>
      <c r="N588" s="23"/>
      <c r="O588" s="23"/>
      <c r="P588" s="23"/>
      <c r="Q588" s="23"/>
      <c r="R588" s="23"/>
    </row>
    <row r="589" spans="1:18" x14ac:dyDescent="0.2">
      <c r="A589" s="4">
        <v>34</v>
      </c>
      <c r="B589" s="4">
        <v>0</v>
      </c>
      <c r="C589" s="4">
        <v>30.21</v>
      </c>
      <c r="D589" s="4">
        <v>1</v>
      </c>
      <c r="E589" s="4">
        <v>1</v>
      </c>
      <c r="F589" s="4">
        <v>3</v>
      </c>
      <c r="G589" s="4">
        <v>43943.876100000001</v>
      </c>
      <c r="I589" s="23"/>
      <c r="J589" s="23"/>
      <c r="K589" s="23"/>
      <c r="L589" s="23"/>
      <c r="M589" s="23"/>
      <c r="N589" s="23"/>
      <c r="O589" s="23"/>
      <c r="P589" s="23"/>
      <c r="Q589" s="23"/>
      <c r="R589" s="23"/>
    </row>
    <row r="590" spans="1:18" x14ac:dyDescent="0.2">
      <c r="A590" s="4">
        <v>61</v>
      </c>
      <c r="B590" s="4">
        <v>0</v>
      </c>
      <c r="C590" s="4">
        <v>35.909999999999997</v>
      </c>
      <c r="D590" s="4">
        <v>0</v>
      </c>
      <c r="E590" s="4">
        <v>0</v>
      </c>
      <c r="F590" s="4">
        <v>1</v>
      </c>
      <c r="G590" s="4">
        <v>13635.6379</v>
      </c>
      <c r="I590" s="23"/>
      <c r="J590" s="23"/>
      <c r="K590" s="23"/>
      <c r="L590" s="23"/>
      <c r="M590" s="23"/>
      <c r="N590" s="23"/>
      <c r="O590" s="23"/>
      <c r="P590" s="23"/>
      <c r="Q590" s="23"/>
      <c r="R590" s="23"/>
    </row>
    <row r="591" spans="1:18" x14ac:dyDescent="0.2">
      <c r="A591" s="4">
        <v>38</v>
      </c>
      <c r="B591" s="4">
        <v>0</v>
      </c>
      <c r="C591" s="4">
        <v>30.69</v>
      </c>
      <c r="D591" s="4">
        <v>1</v>
      </c>
      <c r="E591" s="4">
        <v>0</v>
      </c>
      <c r="F591" s="4">
        <v>2</v>
      </c>
      <c r="G591" s="4">
        <v>5976.8311000000003</v>
      </c>
      <c r="I591" s="23"/>
      <c r="J591" s="23"/>
      <c r="K591" s="23"/>
      <c r="L591" s="23"/>
      <c r="M591" s="23"/>
      <c r="N591" s="23"/>
      <c r="O591" s="23"/>
      <c r="P591" s="23"/>
      <c r="Q591" s="23"/>
      <c r="R591" s="23"/>
    </row>
    <row r="592" spans="1:18" x14ac:dyDescent="0.2">
      <c r="A592" s="4">
        <v>58</v>
      </c>
      <c r="B592" s="4">
        <v>0</v>
      </c>
      <c r="C592" s="4">
        <v>29</v>
      </c>
      <c r="D592" s="4">
        <v>0</v>
      </c>
      <c r="E592" s="4">
        <v>0</v>
      </c>
      <c r="F592" s="4">
        <v>4</v>
      </c>
      <c r="G592" s="4">
        <v>11842.441999999999</v>
      </c>
      <c r="I592" s="23"/>
      <c r="J592" s="23"/>
      <c r="K592" s="23"/>
      <c r="L592" s="23"/>
      <c r="M592" s="23"/>
      <c r="N592" s="23"/>
      <c r="O592" s="23"/>
      <c r="P592" s="23"/>
      <c r="Q592" s="23"/>
      <c r="R592" s="23"/>
    </row>
    <row r="593" spans="1:18" x14ac:dyDescent="0.2">
      <c r="A593" s="4">
        <v>47</v>
      </c>
      <c r="B593" s="4">
        <v>1</v>
      </c>
      <c r="C593" s="4">
        <v>19.57</v>
      </c>
      <c r="D593" s="4">
        <v>1</v>
      </c>
      <c r="E593" s="4">
        <v>0</v>
      </c>
      <c r="F593" s="4">
        <v>3</v>
      </c>
      <c r="G593" s="4">
        <v>8428.0692999999992</v>
      </c>
      <c r="I593" s="23"/>
      <c r="J593" s="23"/>
      <c r="K593" s="23"/>
      <c r="L593" s="23"/>
      <c r="M593" s="23"/>
      <c r="N593" s="23"/>
      <c r="O593" s="23"/>
      <c r="P593" s="23"/>
      <c r="Q593" s="23"/>
      <c r="R593" s="23"/>
    </row>
    <row r="594" spans="1:18" x14ac:dyDescent="0.2">
      <c r="A594" s="4">
        <v>20</v>
      </c>
      <c r="B594" s="4">
        <v>1</v>
      </c>
      <c r="C594" s="4">
        <v>31.13</v>
      </c>
      <c r="D594" s="4">
        <v>2</v>
      </c>
      <c r="E594" s="4">
        <v>0</v>
      </c>
      <c r="F594" s="4">
        <v>2</v>
      </c>
      <c r="G594" s="4">
        <v>2566.4706999999999</v>
      </c>
      <c r="I594" s="23"/>
      <c r="J594" s="23"/>
      <c r="K594" s="23"/>
      <c r="L594" s="23"/>
      <c r="M594" s="23"/>
      <c r="N594" s="23"/>
      <c r="O594" s="23"/>
      <c r="P594" s="23"/>
      <c r="Q594" s="23"/>
      <c r="R594" s="23"/>
    </row>
    <row r="595" spans="1:18" x14ac:dyDescent="0.2">
      <c r="A595" s="4">
        <v>21</v>
      </c>
      <c r="B595" s="4">
        <v>0</v>
      </c>
      <c r="C595" s="4">
        <v>21.85</v>
      </c>
      <c r="D595" s="4">
        <v>1</v>
      </c>
      <c r="E595" s="4">
        <v>1</v>
      </c>
      <c r="F595" s="4">
        <v>1</v>
      </c>
      <c r="G595" s="4">
        <v>15359.104499999999</v>
      </c>
      <c r="I595" s="23"/>
      <c r="J595" s="23"/>
      <c r="K595" s="23"/>
      <c r="L595" s="23"/>
      <c r="M595" s="23"/>
      <c r="N595" s="23"/>
      <c r="O595" s="23"/>
      <c r="P595" s="23"/>
      <c r="Q595" s="23"/>
      <c r="R595" s="23"/>
    </row>
    <row r="596" spans="1:18" x14ac:dyDescent="0.2">
      <c r="A596" s="4">
        <v>41</v>
      </c>
      <c r="B596" s="4">
        <v>1</v>
      </c>
      <c r="C596" s="4">
        <v>40.26</v>
      </c>
      <c r="D596" s="4">
        <v>0</v>
      </c>
      <c r="E596" s="4">
        <v>0</v>
      </c>
      <c r="F596" s="4">
        <v>2</v>
      </c>
      <c r="G596" s="4">
        <v>5709.1643999999997</v>
      </c>
      <c r="I596" s="23"/>
      <c r="J596" s="23"/>
      <c r="K596" s="23"/>
      <c r="L596" s="23"/>
      <c r="M596" s="23"/>
      <c r="N596" s="23"/>
      <c r="O596" s="23"/>
      <c r="P596" s="23"/>
      <c r="Q596" s="23"/>
      <c r="R596" s="23"/>
    </row>
    <row r="597" spans="1:18" x14ac:dyDescent="0.2">
      <c r="A597" s="4">
        <v>46</v>
      </c>
      <c r="B597" s="4">
        <v>0</v>
      </c>
      <c r="C597" s="4">
        <v>33.725000000000001</v>
      </c>
      <c r="D597" s="4">
        <v>1</v>
      </c>
      <c r="E597" s="4">
        <v>0</v>
      </c>
      <c r="F597" s="4">
        <v>1</v>
      </c>
      <c r="G597" s="4">
        <v>8823.9857499999998</v>
      </c>
      <c r="I597" s="23"/>
      <c r="J597" s="23"/>
      <c r="K597" s="23"/>
      <c r="L597" s="23"/>
      <c r="M597" s="23"/>
      <c r="N597" s="23"/>
      <c r="O597" s="23"/>
      <c r="P597" s="23"/>
      <c r="Q597" s="23"/>
      <c r="R597" s="23"/>
    </row>
    <row r="598" spans="1:18" x14ac:dyDescent="0.2">
      <c r="A598" s="4">
        <v>42</v>
      </c>
      <c r="B598" s="4">
        <v>0</v>
      </c>
      <c r="C598" s="4">
        <v>29.48</v>
      </c>
      <c r="D598" s="4">
        <v>2</v>
      </c>
      <c r="E598" s="4">
        <v>0</v>
      </c>
      <c r="F598" s="4">
        <v>2</v>
      </c>
      <c r="G598" s="4">
        <v>7640.3091999999997</v>
      </c>
      <c r="I598" s="23"/>
      <c r="J598" s="23"/>
      <c r="K598" s="23"/>
      <c r="L598" s="23"/>
      <c r="M598" s="23"/>
      <c r="N598" s="23"/>
      <c r="O598" s="23"/>
      <c r="P598" s="23"/>
      <c r="Q598" s="23"/>
      <c r="R598" s="23"/>
    </row>
    <row r="599" spans="1:18" x14ac:dyDescent="0.2">
      <c r="A599" s="4">
        <v>34</v>
      </c>
      <c r="B599" s="4">
        <v>0</v>
      </c>
      <c r="C599" s="4">
        <v>33.25</v>
      </c>
      <c r="D599" s="4">
        <v>1</v>
      </c>
      <c r="E599" s="4">
        <v>0</v>
      </c>
      <c r="F599" s="4">
        <v>1</v>
      </c>
      <c r="G599" s="4">
        <v>5594.8455000000004</v>
      </c>
      <c r="I599" s="23"/>
      <c r="J599" s="23"/>
      <c r="K599" s="23"/>
      <c r="L599" s="23"/>
      <c r="M599" s="23"/>
      <c r="N599" s="23"/>
      <c r="O599" s="23"/>
      <c r="P599" s="23"/>
      <c r="Q599" s="23"/>
      <c r="R599" s="23"/>
    </row>
    <row r="600" spans="1:18" x14ac:dyDescent="0.2">
      <c r="A600" s="4">
        <v>43</v>
      </c>
      <c r="B600" s="4">
        <v>1</v>
      </c>
      <c r="C600" s="4">
        <v>32.6</v>
      </c>
      <c r="D600" s="4">
        <v>2</v>
      </c>
      <c r="E600" s="4">
        <v>0</v>
      </c>
      <c r="F600" s="4">
        <v>4</v>
      </c>
      <c r="G600" s="4">
        <v>7441.5010000000002</v>
      </c>
      <c r="I600" s="23"/>
      <c r="J600" s="23"/>
      <c r="K600" s="23"/>
      <c r="L600" s="23"/>
      <c r="M600" s="23"/>
      <c r="N600" s="23"/>
      <c r="O600" s="23"/>
      <c r="P600" s="23"/>
      <c r="Q600" s="23"/>
      <c r="R600" s="23"/>
    </row>
    <row r="601" spans="1:18" x14ac:dyDescent="0.2">
      <c r="A601" s="4">
        <v>52</v>
      </c>
      <c r="B601" s="4">
        <v>0</v>
      </c>
      <c r="C601" s="4">
        <v>37.524999999999999</v>
      </c>
      <c r="D601" s="4">
        <v>2</v>
      </c>
      <c r="E601" s="4">
        <v>0</v>
      </c>
      <c r="F601" s="4">
        <v>3</v>
      </c>
      <c r="G601" s="4">
        <v>33471.971890000001</v>
      </c>
      <c r="I601" s="23"/>
      <c r="J601" s="23"/>
      <c r="K601" s="23"/>
      <c r="L601" s="23"/>
      <c r="M601" s="23"/>
      <c r="N601" s="23"/>
      <c r="O601" s="23"/>
      <c r="P601" s="23"/>
      <c r="Q601" s="23"/>
      <c r="R601" s="23"/>
    </row>
    <row r="602" spans="1:18" x14ac:dyDescent="0.2">
      <c r="A602" s="4">
        <v>18</v>
      </c>
      <c r="B602" s="4">
        <v>0</v>
      </c>
      <c r="C602" s="4">
        <v>39.159999999999997</v>
      </c>
      <c r="D602" s="4">
        <v>0</v>
      </c>
      <c r="E602" s="4">
        <v>0</v>
      </c>
      <c r="F602" s="4">
        <v>2</v>
      </c>
      <c r="G602" s="4">
        <v>1633.0444</v>
      </c>
      <c r="I602" s="23"/>
      <c r="J602" s="23"/>
      <c r="K602" s="23"/>
      <c r="L602" s="23"/>
      <c r="M602" s="23"/>
      <c r="N602" s="23"/>
      <c r="O602" s="23"/>
      <c r="P602" s="23"/>
      <c r="Q602" s="23"/>
      <c r="R602" s="23"/>
    </row>
    <row r="603" spans="1:18" x14ac:dyDescent="0.2">
      <c r="A603" s="4">
        <v>51</v>
      </c>
      <c r="B603" s="4">
        <v>1</v>
      </c>
      <c r="C603" s="4">
        <v>31.635000000000002</v>
      </c>
      <c r="D603" s="4">
        <v>0</v>
      </c>
      <c r="E603" s="4">
        <v>0</v>
      </c>
      <c r="F603" s="4">
        <v>3</v>
      </c>
      <c r="G603" s="4">
        <v>9174.1356500000002</v>
      </c>
      <c r="I603" s="23"/>
      <c r="J603" s="23"/>
      <c r="K603" s="23"/>
      <c r="L603" s="23"/>
      <c r="M603" s="23"/>
      <c r="N603" s="23"/>
      <c r="O603" s="23"/>
      <c r="P603" s="23"/>
      <c r="Q603" s="23"/>
      <c r="R603" s="23"/>
    </row>
    <row r="604" spans="1:18" x14ac:dyDescent="0.2">
      <c r="A604" s="4">
        <v>56</v>
      </c>
      <c r="B604" s="4">
        <v>0</v>
      </c>
      <c r="C604" s="4">
        <v>25.3</v>
      </c>
      <c r="D604" s="4">
        <v>0</v>
      </c>
      <c r="E604" s="4">
        <v>0</v>
      </c>
      <c r="F604" s="4">
        <v>4</v>
      </c>
      <c r="G604" s="4">
        <v>11070.535</v>
      </c>
      <c r="I604" s="23"/>
      <c r="J604" s="23"/>
      <c r="K604" s="23"/>
      <c r="L604" s="23"/>
      <c r="M604" s="23"/>
      <c r="N604" s="23"/>
      <c r="O604" s="23"/>
      <c r="P604" s="23"/>
      <c r="Q604" s="23"/>
      <c r="R604" s="23"/>
    </row>
    <row r="605" spans="1:18" x14ac:dyDescent="0.2">
      <c r="A605" s="4">
        <v>64</v>
      </c>
      <c r="B605" s="4">
        <v>0</v>
      </c>
      <c r="C605" s="4">
        <v>39.049999999999997</v>
      </c>
      <c r="D605" s="4">
        <v>3</v>
      </c>
      <c r="E605" s="4">
        <v>0</v>
      </c>
      <c r="F605" s="4">
        <v>2</v>
      </c>
      <c r="G605" s="4">
        <v>16085.127500000001</v>
      </c>
      <c r="I605" s="23"/>
      <c r="J605" s="23"/>
      <c r="K605" s="23"/>
      <c r="L605" s="23"/>
      <c r="M605" s="23"/>
      <c r="N605" s="23"/>
      <c r="O605" s="23"/>
      <c r="P605" s="23"/>
      <c r="Q605" s="23"/>
      <c r="R605" s="23"/>
    </row>
    <row r="606" spans="1:18" x14ac:dyDescent="0.2">
      <c r="A606" s="4">
        <v>19</v>
      </c>
      <c r="B606" s="4">
        <v>0</v>
      </c>
      <c r="C606" s="4">
        <v>28.31</v>
      </c>
      <c r="D606" s="4">
        <v>0</v>
      </c>
      <c r="E606" s="4">
        <v>1</v>
      </c>
      <c r="F606" s="4">
        <v>3</v>
      </c>
      <c r="G606" s="4">
        <v>17468.983899999999</v>
      </c>
      <c r="I606" s="23"/>
      <c r="J606" s="23"/>
      <c r="K606" s="23"/>
      <c r="L606" s="23"/>
      <c r="M606" s="23"/>
      <c r="N606" s="23"/>
      <c r="O606" s="23"/>
      <c r="P606" s="23"/>
      <c r="Q606" s="23"/>
      <c r="R606" s="23"/>
    </row>
    <row r="607" spans="1:18" x14ac:dyDescent="0.2">
      <c r="A607" s="4">
        <v>51</v>
      </c>
      <c r="B607" s="4">
        <v>0</v>
      </c>
      <c r="C607" s="4">
        <v>34.1</v>
      </c>
      <c r="D607" s="4">
        <v>0</v>
      </c>
      <c r="E607" s="4">
        <v>0</v>
      </c>
      <c r="F607" s="4">
        <v>2</v>
      </c>
      <c r="G607" s="4">
        <v>9283.5619999999999</v>
      </c>
      <c r="I607" s="23"/>
      <c r="J607" s="23"/>
      <c r="K607" s="23"/>
      <c r="L607" s="23"/>
      <c r="M607" s="23"/>
      <c r="N607" s="23"/>
      <c r="O607" s="23"/>
      <c r="P607" s="23"/>
      <c r="Q607" s="23"/>
      <c r="R607" s="23"/>
    </row>
    <row r="608" spans="1:18" x14ac:dyDescent="0.2">
      <c r="A608" s="4">
        <v>27</v>
      </c>
      <c r="B608" s="4">
        <v>0</v>
      </c>
      <c r="C608" s="4">
        <v>25.175000000000001</v>
      </c>
      <c r="D608" s="4">
        <v>0</v>
      </c>
      <c r="E608" s="4">
        <v>0</v>
      </c>
      <c r="F608" s="4">
        <v>1</v>
      </c>
      <c r="G608" s="4">
        <v>3558.6202499999999</v>
      </c>
      <c r="I608" s="23"/>
      <c r="J608" s="23"/>
      <c r="K608" s="23"/>
      <c r="L608" s="23"/>
      <c r="M608" s="23"/>
      <c r="N608" s="23"/>
      <c r="O608" s="23"/>
      <c r="P608" s="23"/>
      <c r="Q608" s="23"/>
      <c r="R608" s="23"/>
    </row>
    <row r="609" spans="1:18" x14ac:dyDescent="0.2">
      <c r="A609" s="4">
        <v>59</v>
      </c>
      <c r="B609" s="4">
        <v>0</v>
      </c>
      <c r="C609" s="4">
        <v>23.655000000000001</v>
      </c>
      <c r="D609" s="4">
        <v>0</v>
      </c>
      <c r="E609" s="4">
        <v>1</v>
      </c>
      <c r="F609" s="4">
        <v>3</v>
      </c>
      <c r="G609" s="4">
        <v>25678.778450000002</v>
      </c>
      <c r="I609" s="23"/>
      <c r="J609" s="23"/>
      <c r="K609" s="23"/>
      <c r="L609" s="23"/>
      <c r="M609" s="23"/>
      <c r="N609" s="23"/>
      <c r="O609" s="23"/>
      <c r="P609" s="23"/>
      <c r="Q609" s="23"/>
      <c r="R609" s="23"/>
    </row>
    <row r="610" spans="1:18" x14ac:dyDescent="0.2">
      <c r="A610" s="4">
        <v>28</v>
      </c>
      <c r="B610" s="4">
        <v>1</v>
      </c>
      <c r="C610" s="4">
        <v>26.98</v>
      </c>
      <c r="D610" s="4">
        <v>2</v>
      </c>
      <c r="E610" s="4">
        <v>0</v>
      </c>
      <c r="F610" s="4">
        <v>1</v>
      </c>
      <c r="G610" s="4">
        <v>4435.0941999999995</v>
      </c>
      <c r="I610" s="23"/>
      <c r="J610" s="23"/>
      <c r="K610" s="23"/>
      <c r="L610" s="23"/>
      <c r="M610" s="23"/>
      <c r="N610" s="23"/>
      <c r="O610" s="23"/>
      <c r="P610" s="23"/>
      <c r="Q610" s="23"/>
      <c r="R610" s="23"/>
    </row>
    <row r="611" spans="1:18" x14ac:dyDescent="0.2">
      <c r="A611" s="4">
        <v>30</v>
      </c>
      <c r="B611" s="4">
        <v>1</v>
      </c>
      <c r="C611" s="4">
        <v>37.799999999999997</v>
      </c>
      <c r="D611" s="4">
        <v>2</v>
      </c>
      <c r="E611" s="4">
        <v>1</v>
      </c>
      <c r="F611" s="4">
        <v>4</v>
      </c>
      <c r="G611" s="4">
        <v>39241.442000000003</v>
      </c>
      <c r="I611" s="23"/>
      <c r="J611" s="23"/>
      <c r="K611" s="23"/>
      <c r="L611" s="23"/>
      <c r="M611" s="23"/>
      <c r="N611" s="23"/>
      <c r="O611" s="23"/>
      <c r="P611" s="23"/>
      <c r="Q611" s="23"/>
      <c r="R611" s="23"/>
    </row>
    <row r="612" spans="1:18" x14ac:dyDescent="0.2">
      <c r="A612" s="4">
        <v>47</v>
      </c>
      <c r="B612" s="4">
        <v>0</v>
      </c>
      <c r="C612" s="4">
        <v>29.37</v>
      </c>
      <c r="D612" s="4">
        <v>1</v>
      </c>
      <c r="E612" s="4">
        <v>0</v>
      </c>
      <c r="F612" s="4">
        <v>2</v>
      </c>
      <c r="G612" s="4">
        <v>8547.6913000000004</v>
      </c>
      <c r="I612" s="23"/>
      <c r="J612" s="23"/>
      <c r="K612" s="23"/>
      <c r="L612" s="23"/>
      <c r="M612" s="23"/>
      <c r="N612" s="23"/>
      <c r="O612" s="23"/>
      <c r="P612" s="23"/>
      <c r="Q612" s="23"/>
      <c r="R612" s="23"/>
    </row>
    <row r="613" spans="1:18" x14ac:dyDescent="0.2">
      <c r="A613" s="4">
        <v>38</v>
      </c>
      <c r="B613" s="4">
        <v>0</v>
      </c>
      <c r="C613" s="4">
        <v>34.799999999999997</v>
      </c>
      <c r="D613" s="4">
        <v>2</v>
      </c>
      <c r="E613" s="4">
        <v>0</v>
      </c>
      <c r="F613" s="4">
        <v>4</v>
      </c>
      <c r="G613" s="4">
        <v>6571.5439999999999</v>
      </c>
      <c r="I613" s="23"/>
      <c r="J613" s="23"/>
      <c r="K613" s="23"/>
      <c r="L613" s="23"/>
      <c r="M613" s="23"/>
      <c r="N613" s="23"/>
      <c r="O613" s="23"/>
      <c r="P613" s="23"/>
      <c r="Q613" s="23"/>
      <c r="R613" s="23"/>
    </row>
    <row r="614" spans="1:18" x14ac:dyDescent="0.2">
      <c r="A614" s="4">
        <v>18</v>
      </c>
      <c r="B614" s="4">
        <v>0</v>
      </c>
      <c r="C614" s="4">
        <v>33.155000000000001</v>
      </c>
      <c r="D614" s="4">
        <v>0</v>
      </c>
      <c r="E614" s="4">
        <v>0</v>
      </c>
      <c r="F614" s="4">
        <v>1</v>
      </c>
      <c r="G614" s="4">
        <v>2207.6974500000001</v>
      </c>
      <c r="I614" s="23"/>
      <c r="J614" s="23"/>
      <c r="K614" s="23"/>
      <c r="L614" s="23"/>
      <c r="M614" s="23"/>
      <c r="N614" s="23"/>
      <c r="O614" s="23"/>
      <c r="P614" s="23"/>
      <c r="Q614" s="23"/>
      <c r="R614" s="23"/>
    </row>
    <row r="615" spans="1:18" x14ac:dyDescent="0.2">
      <c r="A615" s="4">
        <v>34</v>
      </c>
      <c r="B615" s="4">
        <v>0</v>
      </c>
      <c r="C615" s="4">
        <v>19</v>
      </c>
      <c r="D615" s="4">
        <v>3</v>
      </c>
      <c r="E615" s="4">
        <v>0</v>
      </c>
      <c r="F615" s="4">
        <v>1</v>
      </c>
      <c r="G615" s="4">
        <v>6753.0379999999996</v>
      </c>
      <c r="I615" s="23"/>
      <c r="J615" s="23"/>
      <c r="K615" s="23"/>
      <c r="L615" s="23"/>
      <c r="M615" s="23"/>
      <c r="N615" s="23"/>
      <c r="O615" s="23"/>
      <c r="P615" s="23"/>
      <c r="Q615" s="23"/>
      <c r="R615" s="23"/>
    </row>
    <row r="616" spans="1:18" x14ac:dyDescent="0.2">
      <c r="A616" s="4">
        <v>20</v>
      </c>
      <c r="B616" s="4">
        <v>0</v>
      </c>
      <c r="C616" s="4">
        <v>33</v>
      </c>
      <c r="D616" s="4">
        <v>0</v>
      </c>
      <c r="E616" s="4">
        <v>0</v>
      </c>
      <c r="F616" s="4">
        <v>2</v>
      </c>
      <c r="G616" s="4">
        <v>1880.07</v>
      </c>
      <c r="I616" s="23"/>
      <c r="J616" s="23"/>
      <c r="K616" s="23"/>
      <c r="L616" s="23"/>
      <c r="M616" s="23"/>
      <c r="N616" s="23"/>
      <c r="O616" s="23"/>
      <c r="P616" s="23"/>
      <c r="Q616" s="23"/>
      <c r="R616" s="23"/>
    </row>
    <row r="617" spans="1:18" x14ac:dyDescent="0.2">
      <c r="A617" s="4">
        <v>47</v>
      </c>
      <c r="B617" s="4">
        <v>0</v>
      </c>
      <c r="C617" s="4">
        <v>36.630000000000003</v>
      </c>
      <c r="D617" s="4">
        <v>1</v>
      </c>
      <c r="E617" s="4">
        <v>1</v>
      </c>
      <c r="F617" s="4">
        <v>2</v>
      </c>
      <c r="G617" s="4">
        <v>42969.852700000003</v>
      </c>
      <c r="I617" s="23"/>
      <c r="J617" s="23"/>
      <c r="K617" s="23"/>
      <c r="L617" s="23"/>
      <c r="M617" s="23"/>
      <c r="N617" s="23"/>
      <c r="O617" s="23"/>
      <c r="P617" s="23"/>
      <c r="Q617" s="23"/>
      <c r="R617" s="23"/>
    </row>
    <row r="618" spans="1:18" x14ac:dyDescent="0.2">
      <c r="A618" s="4">
        <v>56</v>
      </c>
      <c r="B618" s="4">
        <v>0</v>
      </c>
      <c r="C618" s="4">
        <v>28.594999999999999</v>
      </c>
      <c r="D618" s="4">
        <v>0</v>
      </c>
      <c r="E618" s="4">
        <v>0</v>
      </c>
      <c r="F618" s="4">
        <v>1</v>
      </c>
      <c r="G618" s="4">
        <v>11658.11505</v>
      </c>
      <c r="I618" s="23"/>
      <c r="J618" s="23"/>
      <c r="K618" s="23"/>
      <c r="L618" s="23"/>
      <c r="M618" s="23"/>
      <c r="N618" s="23"/>
      <c r="O618" s="23"/>
      <c r="P618" s="23"/>
      <c r="Q618" s="23"/>
      <c r="R618" s="23"/>
    </row>
    <row r="619" spans="1:18" x14ac:dyDescent="0.2">
      <c r="A619" s="4">
        <v>49</v>
      </c>
      <c r="B619" s="4">
        <v>1</v>
      </c>
      <c r="C619" s="4">
        <v>25.6</v>
      </c>
      <c r="D619" s="4">
        <v>2</v>
      </c>
      <c r="E619" s="4">
        <v>1</v>
      </c>
      <c r="F619" s="4">
        <v>4</v>
      </c>
      <c r="G619" s="4">
        <v>23306.546999999999</v>
      </c>
      <c r="I619" s="23"/>
      <c r="J619" s="23"/>
      <c r="K619" s="23"/>
      <c r="L619" s="23"/>
      <c r="M619" s="23"/>
      <c r="N619" s="23"/>
      <c r="O619" s="23"/>
      <c r="P619" s="23"/>
      <c r="Q619" s="23"/>
      <c r="R619" s="23"/>
    </row>
    <row r="620" spans="1:18" x14ac:dyDescent="0.2">
      <c r="A620" s="4">
        <v>19</v>
      </c>
      <c r="B620" s="4">
        <v>0</v>
      </c>
      <c r="C620" s="4">
        <v>33.11</v>
      </c>
      <c r="D620" s="4">
        <v>0</v>
      </c>
      <c r="E620" s="4">
        <v>1</v>
      </c>
      <c r="F620" s="4">
        <v>2</v>
      </c>
      <c r="G620" s="4">
        <v>34439.855900000002</v>
      </c>
      <c r="I620" s="23"/>
      <c r="J620" s="23"/>
      <c r="K620" s="23"/>
      <c r="L620" s="23"/>
      <c r="M620" s="23"/>
      <c r="N620" s="23"/>
      <c r="O620" s="23"/>
      <c r="P620" s="23"/>
      <c r="Q620" s="23"/>
      <c r="R620" s="23"/>
    </row>
    <row r="621" spans="1:18" x14ac:dyDescent="0.2">
      <c r="A621" s="4">
        <v>55</v>
      </c>
      <c r="B621" s="4">
        <v>0</v>
      </c>
      <c r="C621" s="4">
        <v>37.1</v>
      </c>
      <c r="D621" s="4">
        <v>0</v>
      </c>
      <c r="E621" s="4">
        <v>0</v>
      </c>
      <c r="F621" s="4">
        <v>4</v>
      </c>
      <c r="G621" s="4">
        <v>10713.644</v>
      </c>
      <c r="I621" s="23"/>
      <c r="J621" s="23"/>
      <c r="K621" s="23"/>
      <c r="L621" s="23"/>
      <c r="M621" s="23"/>
      <c r="N621" s="23"/>
      <c r="O621" s="23"/>
      <c r="P621" s="23"/>
      <c r="Q621" s="23"/>
      <c r="R621" s="23"/>
    </row>
    <row r="622" spans="1:18" x14ac:dyDescent="0.2">
      <c r="A622" s="4">
        <v>30</v>
      </c>
      <c r="B622" s="4">
        <v>1</v>
      </c>
      <c r="C622" s="4">
        <v>31.4</v>
      </c>
      <c r="D622" s="4">
        <v>1</v>
      </c>
      <c r="E622" s="4">
        <v>0</v>
      </c>
      <c r="F622" s="4">
        <v>4</v>
      </c>
      <c r="G622" s="4">
        <v>3659.346</v>
      </c>
      <c r="I622" s="23"/>
      <c r="J622" s="23"/>
      <c r="K622" s="23"/>
      <c r="L622" s="23"/>
      <c r="M622" s="23"/>
      <c r="N622" s="23"/>
      <c r="O622" s="23"/>
      <c r="P622" s="23"/>
      <c r="Q622" s="23"/>
      <c r="R622" s="23"/>
    </row>
    <row r="623" spans="1:18" x14ac:dyDescent="0.2">
      <c r="A623" s="4">
        <v>37</v>
      </c>
      <c r="B623" s="4">
        <v>1</v>
      </c>
      <c r="C623" s="4">
        <v>34.1</v>
      </c>
      <c r="D623" s="4">
        <v>4</v>
      </c>
      <c r="E623" s="4">
        <v>1</v>
      </c>
      <c r="F623" s="4">
        <v>4</v>
      </c>
      <c r="G623" s="4">
        <v>40182.245999999999</v>
      </c>
      <c r="I623" s="23"/>
      <c r="J623" s="23"/>
      <c r="K623" s="23"/>
      <c r="L623" s="23"/>
      <c r="M623" s="23"/>
      <c r="N623" s="23"/>
      <c r="O623" s="23"/>
      <c r="P623" s="23"/>
      <c r="Q623" s="23"/>
      <c r="R623" s="23"/>
    </row>
    <row r="624" spans="1:18" x14ac:dyDescent="0.2">
      <c r="A624" s="4">
        <v>49</v>
      </c>
      <c r="B624" s="4">
        <v>0</v>
      </c>
      <c r="C624" s="4">
        <v>21.3</v>
      </c>
      <c r="D624" s="4">
        <v>1</v>
      </c>
      <c r="E624" s="4">
        <v>0</v>
      </c>
      <c r="F624" s="4">
        <v>4</v>
      </c>
      <c r="G624" s="4">
        <v>9182.17</v>
      </c>
      <c r="I624" s="23"/>
      <c r="J624" s="23"/>
      <c r="K624" s="23"/>
      <c r="L624" s="23"/>
      <c r="M624" s="23"/>
      <c r="N624" s="23"/>
      <c r="O624" s="23"/>
      <c r="P624" s="23"/>
      <c r="Q624" s="23"/>
      <c r="R624" s="23"/>
    </row>
    <row r="625" spans="1:18" x14ac:dyDescent="0.2">
      <c r="A625" s="4">
        <v>18</v>
      </c>
      <c r="B625" s="4">
        <v>1</v>
      </c>
      <c r="C625" s="4">
        <v>33.534999999999997</v>
      </c>
      <c r="D625" s="4">
        <v>0</v>
      </c>
      <c r="E625" s="4">
        <v>1</v>
      </c>
      <c r="F625" s="4">
        <v>1</v>
      </c>
      <c r="G625" s="4">
        <v>34617.840649999998</v>
      </c>
      <c r="I625" s="23"/>
      <c r="J625" s="23"/>
      <c r="K625" s="23"/>
      <c r="L625" s="23"/>
      <c r="M625" s="23"/>
      <c r="N625" s="23"/>
      <c r="O625" s="23"/>
      <c r="P625" s="23"/>
      <c r="Q625" s="23"/>
      <c r="R625" s="23"/>
    </row>
    <row r="626" spans="1:18" x14ac:dyDescent="0.2">
      <c r="A626" s="4">
        <v>59</v>
      </c>
      <c r="B626" s="4">
        <v>1</v>
      </c>
      <c r="C626" s="4">
        <v>28.785</v>
      </c>
      <c r="D626" s="4">
        <v>0</v>
      </c>
      <c r="E626" s="4">
        <v>0</v>
      </c>
      <c r="F626" s="4">
        <v>3</v>
      </c>
      <c r="G626" s="4">
        <v>12129.614149999999</v>
      </c>
      <c r="I626" s="23"/>
      <c r="J626" s="23"/>
      <c r="K626" s="23"/>
      <c r="L626" s="23"/>
      <c r="M626" s="23"/>
      <c r="N626" s="23"/>
      <c r="O626" s="23"/>
      <c r="P626" s="23"/>
      <c r="Q626" s="23"/>
      <c r="R626" s="23"/>
    </row>
    <row r="627" spans="1:18" x14ac:dyDescent="0.2">
      <c r="A627" s="4">
        <v>29</v>
      </c>
      <c r="B627" s="4">
        <v>0</v>
      </c>
      <c r="C627" s="4">
        <v>26.03</v>
      </c>
      <c r="D627" s="4">
        <v>0</v>
      </c>
      <c r="E627" s="4">
        <v>0</v>
      </c>
      <c r="F627" s="4">
        <v>3</v>
      </c>
      <c r="G627" s="4">
        <v>3736.4647</v>
      </c>
      <c r="I627" s="23"/>
      <c r="J627" s="23"/>
      <c r="K627" s="23"/>
      <c r="L627" s="23"/>
      <c r="M627" s="23"/>
      <c r="N627" s="23"/>
      <c r="O627" s="23"/>
      <c r="P627" s="23"/>
      <c r="Q627" s="23"/>
      <c r="R627" s="23"/>
    </row>
    <row r="628" spans="1:18" x14ac:dyDescent="0.2">
      <c r="A628" s="4">
        <v>36</v>
      </c>
      <c r="B628" s="4">
        <v>1</v>
      </c>
      <c r="C628" s="4">
        <v>28.88</v>
      </c>
      <c r="D628" s="4">
        <v>3</v>
      </c>
      <c r="E628" s="4">
        <v>0</v>
      </c>
      <c r="F628" s="4">
        <v>1</v>
      </c>
      <c r="G628" s="4">
        <v>6748.5911999999998</v>
      </c>
      <c r="I628" s="23"/>
      <c r="J628" s="23"/>
      <c r="K628" s="23"/>
      <c r="L628" s="23"/>
      <c r="M628" s="23"/>
      <c r="N628" s="23"/>
      <c r="O628" s="23"/>
      <c r="P628" s="23"/>
      <c r="Q628" s="23"/>
      <c r="R628" s="23"/>
    </row>
    <row r="629" spans="1:18" x14ac:dyDescent="0.2">
      <c r="A629" s="4">
        <v>33</v>
      </c>
      <c r="B629" s="4">
        <v>1</v>
      </c>
      <c r="C629" s="4">
        <v>42.46</v>
      </c>
      <c r="D629" s="4">
        <v>1</v>
      </c>
      <c r="E629" s="4">
        <v>0</v>
      </c>
      <c r="F629" s="4">
        <v>2</v>
      </c>
      <c r="G629" s="4">
        <v>11326.71487</v>
      </c>
      <c r="I629" s="23"/>
      <c r="J629" s="23"/>
      <c r="K629" s="23"/>
      <c r="L629" s="23"/>
      <c r="M629" s="23"/>
      <c r="N629" s="23"/>
      <c r="O629" s="23"/>
      <c r="P629" s="23"/>
      <c r="Q629" s="23"/>
      <c r="R629" s="23"/>
    </row>
    <row r="630" spans="1:18" x14ac:dyDescent="0.2">
      <c r="A630" s="4">
        <v>58</v>
      </c>
      <c r="B630" s="4">
        <v>1</v>
      </c>
      <c r="C630" s="4">
        <v>38</v>
      </c>
      <c r="D630" s="4">
        <v>0</v>
      </c>
      <c r="E630" s="4">
        <v>0</v>
      </c>
      <c r="F630" s="4">
        <v>4</v>
      </c>
      <c r="G630" s="4">
        <v>11365.951999999999</v>
      </c>
      <c r="I630" s="23"/>
      <c r="J630" s="23"/>
      <c r="K630" s="23"/>
      <c r="L630" s="23"/>
      <c r="M630" s="23"/>
      <c r="N630" s="23"/>
      <c r="O630" s="23"/>
      <c r="P630" s="23"/>
      <c r="Q630" s="23"/>
      <c r="R630" s="23"/>
    </row>
    <row r="631" spans="1:18" x14ac:dyDescent="0.2">
      <c r="A631" s="4">
        <v>44</v>
      </c>
      <c r="B631" s="4">
        <v>0</v>
      </c>
      <c r="C631" s="4">
        <v>38.950000000000003</v>
      </c>
      <c r="D631" s="4">
        <v>0</v>
      </c>
      <c r="E631" s="4">
        <v>1</v>
      </c>
      <c r="F631" s="4">
        <v>3</v>
      </c>
      <c r="G631" s="4">
        <v>42983.458500000001</v>
      </c>
      <c r="I631" s="23"/>
      <c r="J631" s="23"/>
      <c r="K631" s="23"/>
      <c r="L631" s="23"/>
      <c r="M631" s="23"/>
      <c r="N631" s="23"/>
      <c r="O631" s="23"/>
      <c r="P631" s="23"/>
      <c r="Q631" s="23"/>
      <c r="R631" s="23"/>
    </row>
    <row r="632" spans="1:18" x14ac:dyDescent="0.2">
      <c r="A632" s="4">
        <v>53</v>
      </c>
      <c r="B632" s="4">
        <v>1</v>
      </c>
      <c r="C632" s="4">
        <v>36.1</v>
      </c>
      <c r="D632" s="4">
        <v>1</v>
      </c>
      <c r="E632" s="4">
        <v>0</v>
      </c>
      <c r="F632" s="4">
        <v>4</v>
      </c>
      <c r="G632" s="4">
        <v>10085.846</v>
      </c>
      <c r="I632" s="23"/>
      <c r="J632" s="23"/>
      <c r="K632" s="23"/>
      <c r="L632" s="23"/>
      <c r="M632" s="23"/>
      <c r="N632" s="23"/>
      <c r="O632" s="23"/>
      <c r="P632" s="23"/>
      <c r="Q632" s="23"/>
      <c r="R632" s="23"/>
    </row>
    <row r="633" spans="1:18" x14ac:dyDescent="0.2">
      <c r="A633" s="4">
        <v>24</v>
      </c>
      <c r="B633" s="4">
        <v>1</v>
      </c>
      <c r="C633" s="4">
        <v>29.3</v>
      </c>
      <c r="D633" s="4">
        <v>0</v>
      </c>
      <c r="E633" s="4">
        <v>0</v>
      </c>
      <c r="F633" s="4">
        <v>4</v>
      </c>
      <c r="G633" s="4">
        <v>1977.8150000000001</v>
      </c>
      <c r="I633" s="23"/>
      <c r="J633" s="23"/>
      <c r="K633" s="23"/>
      <c r="L633" s="23"/>
      <c r="M633" s="23"/>
      <c r="N633" s="23"/>
      <c r="O633" s="23"/>
      <c r="P633" s="23"/>
      <c r="Q633" s="23"/>
      <c r="R633" s="23"/>
    </row>
    <row r="634" spans="1:18" x14ac:dyDescent="0.2">
      <c r="A634" s="4">
        <v>29</v>
      </c>
      <c r="B634" s="4">
        <v>0</v>
      </c>
      <c r="C634" s="4">
        <v>35.53</v>
      </c>
      <c r="D634" s="4">
        <v>0</v>
      </c>
      <c r="E634" s="4">
        <v>0</v>
      </c>
      <c r="F634" s="4">
        <v>2</v>
      </c>
      <c r="G634" s="4">
        <v>3366.6696999999999</v>
      </c>
      <c r="I634" s="23"/>
      <c r="J634" s="23"/>
      <c r="K634" s="23"/>
      <c r="L634" s="23"/>
      <c r="M634" s="23"/>
      <c r="N634" s="23"/>
      <c r="O634" s="23"/>
      <c r="P634" s="23"/>
      <c r="Q634" s="23"/>
      <c r="R634" s="23"/>
    </row>
    <row r="635" spans="1:18" x14ac:dyDescent="0.2">
      <c r="A635" s="4">
        <v>40</v>
      </c>
      <c r="B635" s="4">
        <v>1</v>
      </c>
      <c r="C635" s="4">
        <v>22.704999999999998</v>
      </c>
      <c r="D635" s="4">
        <v>2</v>
      </c>
      <c r="E635" s="4">
        <v>0</v>
      </c>
      <c r="F635" s="4">
        <v>1</v>
      </c>
      <c r="G635" s="4">
        <v>7173.35995</v>
      </c>
      <c r="I635" s="23"/>
      <c r="J635" s="23"/>
      <c r="K635" s="23"/>
      <c r="L635" s="23"/>
      <c r="M635" s="23"/>
      <c r="N635" s="23"/>
      <c r="O635" s="23"/>
      <c r="P635" s="23"/>
      <c r="Q635" s="23"/>
      <c r="R635" s="23"/>
    </row>
    <row r="636" spans="1:18" x14ac:dyDescent="0.2">
      <c r="A636" s="4">
        <v>51</v>
      </c>
      <c r="B636" s="4">
        <v>1</v>
      </c>
      <c r="C636" s="4">
        <v>39.700000000000003</v>
      </c>
      <c r="D636" s="4">
        <v>1</v>
      </c>
      <c r="E636" s="4">
        <v>0</v>
      </c>
      <c r="F636" s="4">
        <v>4</v>
      </c>
      <c r="G636" s="4">
        <v>9391.3459999999995</v>
      </c>
      <c r="I636" s="23"/>
      <c r="J636" s="23"/>
      <c r="K636" s="23"/>
      <c r="L636" s="23"/>
      <c r="M636" s="23"/>
      <c r="N636" s="23"/>
      <c r="O636" s="23"/>
      <c r="P636" s="23"/>
      <c r="Q636" s="23"/>
      <c r="R636" s="23"/>
    </row>
    <row r="637" spans="1:18" x14ac:dyDescent="0.2">
      <c r="A637" s="4">
        <v>64</v>
      </c>
      <c r="B637" s="4">
        <v>1</v>
      </c>
      <c r="C637" s="4">
        <v>38.19</v>
      </c>
      <c r="D637" s="4">
        <v>0</v>
      </c>
      <c r="E637" s="4">
        <v>0</v>
      </c>
      <c r="F637" s="4">
        <v>1</v>
      </c>
      <c r="G637" s="4">
        <v>14410.9321</v>
      </c>
      <c r="I637" s="23"/>
      <c r="J637" s="23"/>
      <c r="K637" s="23"/>
      <c r="L637" s="23"/>
      <c r="M637" s="23"/>
      <c r="N637" s="23"/>
      <c r="O637" s="23"/>
      <c r="P637" s="23"/>
      <c r="Q637" s="23"/>
      <c r="R637" s="23"/>
    </row>
    <row r="638" spans="1:18" x14ac:dyDescent="0.2">
      <c r="A638" s="4">
        <v>19</v>
      </c>
      <c r="B638" s="4">
        <v>0</v>
      </c>
      <c r="C638" s="4">
        <v>24.51</v>
      </c>
      <c r="D638" s="4">
        <v>1</v>
      </c>
      <c r="E638" s="4">
        <v>0</v>
      </c>
      <c r="F638" s="4">
        <v>3</v>
      </c>
      <c r="G638" s="4">
        <v>2709.1118999999999</v>
      </c>
      <c r="I638" s="23"/>
      <c r="J638" s="23"/>
      <c r="K638" s="23"/>
      <c r="L638" s="23"/>
      <c r="M638" s="23"/>
      <c r="N638" s="23"/>
      <c r="O638" s="23"/>
      <c r="P638" s="23"/>
      <c r="Q638" s="23"/>
      <c r="R638" s="23"/>
    </row>
    <row r="639" spans="1:18" x14ac:dyDescent="0.2">
      <c r="A639" s="4">
        <v>35</v>
      </c>
      <c r="B639" s="4">
        <v>0</v>
      </c>
      <c r="C639" s="4">
        <v>38.094999999999999</v>
      </c>
      <c r="D639" s="4">
        <v>2</v>
      </c>
      <c r="E639" s="4">
        <v>0</v>
      </c>
      <c r="F639" s="4">
        <v>1</v>
      </c>
      <c r="G639" s="4">
        <v>24915.046259999999</v>
      </c>
      <c r="I639" s="23"/>
      <c r="J639" s="23"/>
      <c r="K639" s="23"/>
      <c r="L639" s="23"/>
      <c r="M639" s="23"/>
      <c r="N639" s="23"/>
      <c r="O639" s="23"/>
      <c r="P639" s="23"/>
      <c r="Q639" s="23"/>
      <c r="R639" s="23"/>
    </row>
    <row r="640" spans="1:18" x14ac:dyDescent="0.2">
      <c r="A640" s="4">
        <v>39</v>
      </c>
      <c r="B640" s="4">
        <v>1</v>
      </c>
      <c r="C640" s="4">
        <v>26.41</v>
      </c>
      <c r="D640" s="4">
        <v>0</v>
      </c>
      <c r="E640" s="4">
        <v>1</v>
      </c>
      <c r="F640" s="4">
        <v>1</v>
      </c>
      <c r="G640" s="4">
        <v>20149.322899999999</v>
      </c>
      <c r="I640" s="23"/>
      <c r="J640" s="23"/>
      <c r="K640" s="23"/>
      <c r="L640" s="23"/>
      <c r="M640" s="23"/>
      <c r="N640" s="23"/>
      <c r="O640" s="23"/>
      <c r="P640" s="23"/>
      <c r="Q640" s="23"/>
      <c r="R640" s="23"/>
    </row>
    <row r="641" spans="1:18" x14ac:dyDescent="0.2">
      <c r="A641" s="4">
        <v>56</v>
      </c>
      <c r="B641" s="4">
        <v>1</v>
      </c>
      <c r="C641" s="4">
        <v>33.659999999999997</v>
      </c>
      <c r="D641" s="4">
        <v>4</v>
      </c>
      <c r="E641" s="4">
        <v>0</v>
      </c>
      <c r="F641" s="4">
        <v>2</v>
      </c>
      <c r="G641" s="4">
        <v>12949.1554</v>
      </c>
      <c r="I641" s="23"/>
      <c r="J641" s="23"/>
      <c r="K641" s="23"/>
      <c r="L641" s="23"/>
      <c r="M641" s="23"/>
      <c r="N641" s="23"/>
      <c r="O641" s="23"/>
      <c r="P641" s="23"/>
      <c r="Q641" s="23"/>
      <c r="R641" s="23"/>
    </row>
    <row r="642" spans="1:18" x14ac:dyDescent="0.2">
      <c r="A642" s="4">
        <v>33</v>
      </c>
      <c r="B642" s="4">
        <v>1</v>
      </c>
      <c r="C642" s="4">
        <v>42.4</v>
      </c>
      <c r="D642" s="4">
        <v>5</v>
      </c>
      <c r="E642" s="4">
        <v>0</v>
      </c>
      <c r="F642" s="4">
        <v>4</v>
      </c>
      <c r="G642" s="4">
        <v>6666.2430000000004</v>
      </c>
      <c r="I642" s="23"/>
      <c r="J642" s="23"/>
      <c r="K642" s="23"/>
      <c r="L642" s="23"/>
      <c r="M642" s="23"/>
      <c r="N642" s="23"/>
      <c r="O642" s="23"/>
      <c r="P642" s="23"/>
      <c r="Q642" s="23"/>
      <c r="R642" s="23"/>
    </row>
    <row r="643" spans="1:18" x14ac:dyDescent="0.2">
      <c r="A643" s="4">
        <v>42</v>
      </c>
      <c r="B643" s="4">
        <v>1</v>
      </c>
      <c r="C643" s="4">
        <v>28.31</v>
      </c>
      <c r="D643" s="4">
        <v>3</v>
      </c>
      <c r="E643" s="4">
        <v>1</v>
      </c>
      <c r="F643" s="4">
        <v>3</v>
      </c>
      <c r="G643" s="4">
        <v>32787.458590000002</v>
      </c>
      <c r="I643" s="23"/>
      <c r="J643" s="23"/>
      <c r="K643" s="23"/>
      <c r="L643" s="23"/>
      <c r="M643" s="23"/>
      <c r="N643" s="23"/>
      <c r="O643" s="23"/>
      <c r="P643" s="23"/>
      <c r="Q643" s="23"/>
      <c r="R643" s="23"/>
    </row>
    <row r="644" spans="1:18" x14ac:dyDescent="0.2">
      <c r="A644" s="4">
        <v>61</v>
      </c>
      <c r="B644" s="4">
        <v>1</v>
      </c>
      <c r="C644" s="4">
        <v>33.914999999999999</v>
      </c>
      <c r="D644" s="4">
        <v>0</v>
      </c>
      <c r="E644" s="4">
        <v>0</v>
      </c>
      <c r="F644" s="4">
        <v>1</v>
      </c>
      <c r="G644" s="4">
        <v>13143.86485</v>
      </c>
      <c r="I644" s="23"/>
      <c r="J644" s="23"/>
      <c r="K644" s="23"/>
      <c r="L644" s="23"/>
      <c r="M644" s="23"/>
      <c r="N644" s="23"/>
      <c r="O644" s="23"/>
      <c r="P644" s="23"/>
      <c r="Q644" s="23"/>
      <c r="R644" s="23"/>
    </row>
    <row r="645" spans="1:18" x14ac:dyDescent="0.2">
      <c r="A645" s="4">
        <v>23</v>
      </c>
      <c r="B645" s="4">
        <v>0</v>
      </c>
      <c r="C645" s="4">
        <v>34.96</v>
      </c>
      <c r="D645" s="4">
        <v>3</v>
      </c>
      <c r="E645" s="4">
        <v>0</v>
      </c>
      <c r="F645" s="4">
        <v>3</v>
      </c>
      <c r="G645" s="4">
        <v>4466.6214</v>
      </c>
      <c r="I645" s="23"/>
      <c r="J645" s="23"/>
      <c r="K645" s="23"/>
      <c r="L645" s="23"/>
      <c r="M645" s="23"/>
      <c r="N645" s="23"/>
      <c r="O645" s="23"/>
      <c r="P645" s="23"/>
      <c r="Q645" s="23"/>
      <c r="R645" s="23"/>
    </row>
    <row r="646" spans="1:18" x14ac:dyDescent="0.2">
      <c r="A646" s="4">
        <v>43</v>
      </c>
      <c r="B646" s="4">
        <v>1</v>
      </c>
      <c r="C646" s="4">
        <v>35.31</v>
      </c>
      <c r="D646" s="4">
        <v>2</v>
      </c>
      <c r="E646" s="4">
        <v>0</v>
      </c>
      <c r="F646" s="4">
        <v>2</v>
      </c>
      <c r="G646" s="4">
        <v>18806.145469999999</v>
      </c>
      <c r="I646" s="23"/>
      <c r="J646" s="23"/>
      <c r="K646" s="23"/>
      <c r="L646" s="23"/>
      <c r="M646" s="23"/>
      <c r="N646" s="23"/>
      <c r="O646" s="23"/>
      <c r="P646" s="23"/>
      <c r="Q646" s="23"/>
      <c r="R646" s="23"/>
    </row>
    <row r="647" spans="1:18" x14ac:dyDescent="0.2">
      <c r="A647" s="4">
        <v>48</v>
      </c>
      <c r="B647" s="4">
        <v>1</v>
      </c>
      <c r="C647" s="4">
        <v>30.78</v>
      </c>
      <c r="D647" s="4">
        <v>3</v>
      </c>
      <c r="E647" s="4">
        <v>0</v>
      </c>
      <c r="F647" s="4">
        <v>1</v>
      </c>
      <c r="G647" s="4">
        <v>10141.136200000001</v>
      </c>
      <c r="I647" s="23"/>
      <c r="J647" s="23"/>
      <c r="K647" s="23"/>
      <c r="L647" s="23"/>
      <c r="M647" s="23"/>
      <c r="N647" s="23"/>
      <c r="O647" s="23"/>
      <c r="P647" s="23"/>
      <c r="Q647" s="23"/>
      <c r="R647" s="23"/>
    </row>
    <row r="648" spans="1:18" x14ac:dyDescent="0.2">
      <c r="A648" s="4">
        <v>39</v>
      </c>
      <c r="B648" s="4">
        <v>1</v>
      </c>
      <c r="C648" s="4">
        <v>26.22</v>
      </c>
      <c r="D648" s="4">
        <v>1</v>
      </c>
      <c r="E648" s="4">
        <v>0</v>
      </c>
      <c r="F648" s="4">
        <v>3</v>
      </c>
      <c r="G648" s="4">
        <v>6123.5688</v>
      </c>
      <c r="I648" s="23"/>
      <c r="J648" s="23"/>
      <c r="K648" s="23"/>
      <c r="L648" s="23"/>
      <c r="M648" s="23"/>
      <c r="N648" s="23"/>
      <c r="O648" s="23"/>
      <c r="P648" s="23"/>
      <c r="Q648" s="23"/>
      <c r="R648" s="23"/>
    </row>
    <row r="649" spans="1:18" x14ac:dyDescent="0.2">
      <c r="A649" s="4">
        <v>40</v>
      </c>
      <c r="B649" s="4">
        <v>0</v>
      </c>
      <c r="C649" s="4">
        <v>23.37</v>
      </c>
      <c r="D649" s="4">
        <v>3</v>
      </c>
      <c r="E649" s="4">
        <v>0</v>
      </c>
      <c r="F649" s="4">
        <v>1</v>
      </c>
      <c r="G649" s="4">
        <v>8252.2842999999993</v>
      </c>
      <c r="I649" s="23"/>
      <c r="J649" s="23"/>
      <c r="K649" s="23"/>
      <c r="L649" s="23"/>
      <c r="M649" s="23"/>
      <c r="N649" s="23"/>
      <c r="O649" s="23"/>
      <c r="P649" s="23"/>
      <c r="Q649" s="23"/>
      <c r="R649" s="23"/>
    </row>
    <row r="650" spans="1:18" x14ac:dyDescent="0.2">
      <c r="A650" s="4">
        <v>18</v>
      </c>
      <c r="B650" s="4">
        <v>1</v>
      </c>
      <c r="C650" s="4">
        <v>28.5</v>
      </c>
      <c r="D650" s="4">
        <v>0</v>
      </c>
      <c r="E650" s="4">
        <v>0</v>
      </c>
      <c r="F650" s="4">
        <v>1</v>
      </c>
      <c r="G650" s="4">
        <v>1712.2270000000001</v>
      </c>
      <c r="I650" s="23"/>
      <c r="J650" s="23"/>
      <c r="K650" s="23"/>
      <c r="L650" s="23"/>
      <c r="M650" s="23"/>
      <c r="N650" s="23"/>
      <c r="O650" s="23"/>
      <c r="P650" s="23"/>
      <c r="Q650" s="23"/>
      <c r="R650" s="23"/>
    </row>
    <row r="651" spans="1:18" x14ac:dyDescent="0.2">
      <c r="A651" s="4">
        <v>58</v>
      </c>
      <c r="B651" s="4">
        <v>0</v>
      </c>
      <c r="C651" s="4">
        <v>32.965000000000003</v>
      </c>
      <c r="D651" s="4">
        <v>0</v>
      </c>
      <c r="E651" s="4">
        <v>0</v>
      </c>
      <c r="F651" s="4">
        <v>1</v>
      </c>
      <c r="G651" s="4">
        <v>12430.95335</v>
      </c>
      <c r="I651" s="23"/>
      <c r="J651" s="23"/>
      <c r="K651" s="23"/>
      <c r="L651" s="23"/>
      <c r="M651" s="23"/>
      <c r="N651" s="23"/>
      <c r="O651" s="23"/>
      <c r="P651" s="23"/>
      <c r="Q651" s="23"/>
      <c r="R651" s="23"/>
    </row>
    <row r="652" spans="1:18" x14ac:dyDescent="0.2">
      <c r="A652" s="4">
        <v>49</v>
      </c>
      <c r="B652" s="4">
        <v>0</v>
      </c>
      <c r="C652" s="4">
        <v>42.68</v>
      </c>
      <c r="D652" s="4">
        <v>2</v>
      </c>
      <c r="E652" s="4">
        <v>0</v>
      </c>
      <c r="F652" s="4">
        <v>2</v>
      </c>
      <c r="G652" s="4">
        <v>9800.8881999999994</v>
      </c>
      <c r="I652" s="23"/>
      <c r="J652" s="23"/>
      <c r="K652" s="23"/>
      <c r="L652" s="23"/>
      <c r="M652" s="23"/>
      <c r="N652" s="23"/>
      <c r="O652" s="23"/>
      <c r="P652" s="23"/>
      <c r="Q652" s="23"/>
      <c r="R652" s="23"/>
    </row>
    <row r="653" spans="1:18" x14ac:dyDescent="0.2">
      <c r="A653" s="4">
        <v>53</v>
      </c>
      <c r="B653" s="4">
        <v>0</v>
      </c>
      <c r="C653" s="4">
        <v>39.6</v>
      </c>
      <c r="D653" s="4">
        <v>1</v>
      </c>
      <c r="E653" s="4">
        <v>0</v>
      </c>
      <c r="F653" s="4">
        <v>2</v>
      </c>
      <c r="G653" s="4">
        <v>10579.710999999999</v>
      </c>
      <c r="I653" s="23"/>
      <c r="J653" s="23"/>
      <c r="K653" s="23"/>
      <c r="L653" s="23"/>
      <c r="M653" s="23"/>
      <c r="N653" s="23"/>
      <c r="O653" s="23"/>
      <c r="P653" s="23"/>
      <c r="Q653" s="23"/>
      <c r="R653" s="23"/>
    </row>
    <row r="654" spans="1:18" x14ac:dyDescent="0.2">
      <c r="A654" s="4">
        <v>48</v>
      </c>
      <c r="B654" s="4">
        <v>0</v>
      </c>
      <c r="C654" s="4">
        <v>31.13</v>
      </c>
      <c r="D654" s="4">
        <v>0</v>
      </c>
      <c r="E654" s="4">
        <v>0</v>
      </c>
      <c r="F654" s="4">
        <v>2</v>
      </c>
      <c r="G654" s="4">
        <v>8280.6226999999999</v>
      </c>
      <c r="I654" s="23"/>
      <c r="J654" s="23"/>
      <c r="K654" s="23"/>
      <c r="L654" s="23"/>
      <c r="M654" s="23"/>
      <c r="N654" s="23"/>
      <c r="O654" s="23"/>
      <c r="P654" s="23"/>
      <c r="Q654" s="23"/>
      <c r="R654" s="23"/>
    </row>
    <row r="655" spans="1:18" x14ac:dyDescent="0.2">
      <c r="A655" s="4">
        <v>45</v>
      </c>
      <c r="B655" s="4">
        <v>0</v>
      </c>
      <c r="C655" s="4">
        <v>36.299999999999997</v>
      </c>
      <c r="D655" s="4">
        <v>2</v>
      </c>
      <c r="E655" s="4">
        <v>0</v>
      </c>
      <c r="F655" s="4">
        <v>2</v>
      </c>
      <c r="G655" s="4">
        <v>8527.5319999999992</v>
      </c>
      <c r="I655" s="23"/>
      <c r="J655" s="23"/>
      <c r="K655" s="23"/>
      <c r="L655" s="23"/>
      <c r="M655" s="23"/>
      <c r="N655" s="23"/>
      <c r="O655" s="23"/>
      <c r="P655" s="23"/>
      <c r="Q655" s="23"/>
      <c r="R655" s="23"/>
    </row>
    <row r="656" spans="1:18" x14ac:dyDescent="0.2">
      <c r="A656" s="4">
        <v>59</v>
      </c>
      <c r="B656" s="4">
        <v>0</v>
      </c>
      <c r="C656" s="4">
        <v>35.200000000000003</v>
      </c>
      <c r="D656" s="4">
        <v>0</v>
      </c>
      <c r="E656" s="4">
        <v>0</v>
      </c>
      <c r="F656" s="4">
        <v>2</v>
      </c>
      <c r="G656" s="4">
        <v>12244.531000000001</v>
      </c>
      <c r="I656" s="23"/>
      <c r="J656" s="23"/>
      <c r="K656" s="23"/>
      <c r="L656" s="23"/>
      <c r="M656" s="23"/>
      <c r="N656" s="23"/>
      <c r="O656" s="23"/>
      <c r="P656" s="23"/>
      <c r="Q656" s="23"/>
      <c r="R656" s="23"/>
    </row>
    <row r="657" spans="1:18" x14ac:dyDescent="0.2">
      <c r="A657" s="4">
        <v>52</v>
      </c>
      <c r="B657" s="4">
        <v>0</v>
      </c>
      <c r="C657" s="4">
        <v>25.3</v>
      </c>
      <c r="D657" s="4">
        <v>2</v>
      </c>
      <c r="E657" s="4">
        <v>1</v>
      </c>
      <c r="F657" s="4">
        <v>2</v>
      </c>
      <c r="G657" s="4">
        <v>24667.419000000002</v>
      </c>
      <c r="I657" s="23"/>
      <c r="J657" s="23"/>
      <c r="K657" s="23"/>
      <c r="L657" s="23"/>
      <c r="M657" s="23"/>
      <c r="N657" s="23"/>
      <c r="O657" s="23"/>
      <c r="P657" s="23"/>
      <c r="Q657" s="23"/>
      <c r="R657" s="23"/>
    </row>
    <row r="658" spans="1:18" x14ac:dyDescent="0.2">
      <c r="A658" s="4">
        <v>26</v>
      </c>
      <c r="B658" s="4">
        <v>0</v>
      </c>
      <c r="C658" s="4">
        <v>42.4</v>
      </c>
      <c r="D658" s="4">
        <v>1</v>
      </c>
      <c r="E658" s="4">
        <v>0</v>
      </c>
      <c r="F658" s="4">
        <v>4</v>
      </c>
      <c r="G658" s="4">
        <v>3410.3240000000001</v>
      </c>
      <c r="I658" s="23"/>
      <c r="J658" s="23"/>
      <c r="K658" s="23"/>
      <c r="L658" s="23"/>
      <c r="M658" s="23"/>
      <c r="N658" s="23"/>
      <c r="O658" s="23"/>
      <c r="P658" s="23"/>
      <c r="Q658" s="23"/>
      <c r="R658" s="23"/>
    </row>
    <row r="659" spans="1:18" x14ac:dyDescent="0.2">
      <c r="A659" s="4">
        <v>27</v>
      </c>
      <c r="B659" s="4">
        <v>1</v>
      </c>
      <c r="C659" s="4">
        <v>33.155000000000001</v>
      </c>
      <c r="D659" s="4">
        <v>2</v>
      </c>
      <c r="E659" s="4">
        <v>0</v>
      </c>
      <c r="F659" s="4">
        <v>3</v>
      </c>
      <c r="G659" s="4">
        <v>4058.71245</v>
      </c>
      <c r="I659" s="23"/>
      <c r="J659" s="23"/>
      <c r="K659" s="23"/>
      <c r="L659" s="23"/>
      <c r="M659" s="23"/>
      <c r="N659" s="23"/>
      <c r="O659" s="23"/>
      <c r="P659" s="23"/>
      <c r="Q659" s="23"/>
      <c r="R659" s="23"/>
    </row>
    <row r="660" spans="1:18" x14ac:dyDescent="0.2">
      <c r="A660" s="4">
        <v>48</v>
      </c>
      <c r="B660" s="4">
        <v>0</v>
      </c>
      <c r="C660" s="4">
        <v>35.909999999999997</v>
      </c>
      <c r="D660" s="4">
        <v>1</v>
      </c>
      <c r="E660" s="4">
        <v>0</v>
      </c>
      <c r="F660" s="4">
        <v>1</v>
      </c>
      <c r="G660" s="4">
        <v>26392.260289999998</v>
      </c>
      <c r="I660" s="23"/>
      <c r="J660" s="23"/>
      <c r="K660" s="23"/>
      <c r="L660" s="23"/>
      <c r="M660" s="23"/>
      <c r="N660" s="23"/>
      <c r="O660" s="23"/>
      <c r="P660" s="23"/>
      <c r="Q660" s="23"/>
      <c r="R660" s="23"/>
    </row>
    <row r="661" spans="1:18" x14ac:dyDescent="0.2">
      <c r="A661" s="4">
        <v>57</v>
      </c>
      <c r="B661" s="4">
        <v>0</v>
      </c>
      <c r="C661" s="4">
        <v>28.785</v>
      </c>
      <c r="D661" s="4">
        <v>4</v>
      </c>
      <c r="E661" s="4">
        <v>0</v>
      </c>
      <c r="F661" s="4">
        <v>1</v>
      </c>
      <c r="G661" s="4">
        <v>14394.398150000001</v>
      </c>
      <c r="I661" s="23"/>
      <c r="J661" s="23"/>
      <c r="K661" s="23"/>
      <c r="L661" s="23"/>
      <c r="M661" s="23"/>
      <c r="N661" s="23"/>
      <c r="O661" s="23"/>
      <c r="P661" s="23"/>
      <c r="Q661" s="23"/>
      <c r="R661" s="23"/>
    </row>
    <row r="662" spans="1:18" x14ac:dyDescent="0.2">
      <c r="A662" s="4">
        <v>37</v>
      </c>
      <c r="B662" s="4">
        <v>1</v>
      </c>
      <c r="C662" s="4">
        <v>46.53</v>
      </c>
      <c r="D662" s="4">
        <v>3</v>
      </c>
      <c r="E662" s="4">
        <v>0</v>
      </c>
      <c r="F662" s="4">
        <v>2</v>
      </c>
      <c r="G662" s="4">
        <v>6435.6237000000001</v>
      </c>
      <c r="I662" s="23"/>
      <c r="J662" s="23"/>
      <c r="K662" s="23"/>
      <c r="L662" s="23"/>
      <c r="M662" s="23"/>
      <c r="N662" s="23"/>
      <c r="O662" s="23"/>
      <c r="P662" s="23"/>
      <c r="Q662" s="23"/>
      <c r="R662" s="23"/>
    </row>
    <row r="663" spans="1:18" x14ac:dyDescent="0.2">
      <c r="A663" s="4">
        <v>57</v>
      </c>
      <c r="B663" s="4">
        <v>0</v>
      </c>
      <c r="C663" s="4">
        <v>23.98</v>
      </c>
      <c r="D663" s="4">
        <v>1</v>
      </c>
      <c r="E663" s="4">
        <v>0</v>
      </c>
      <c r="F663" s="4">
        <v>2</v>
      </c>
      <c r="G663" s="4">
        <v>22192.437109999999</v>
      </c>
      <c r="I663" s="23"/>
      <c r="J663" s="23"/>
      <c r="K663" s="23"/>
      <c r="L663" s="23"/>
      <c r="M663" s="23"/>
      <c r="N663" s="23"/>
      <c r="O663" s="23"/>
      <c r="P663" s="23"/>
      <c r="Q663" s="23"/>
      <c r="R663" s="23"/>
    </row>
    <row r="664" spans="1:18" x14ac:dyDescent="0.2">
      <c r="A664" s="4">
        <v>32</v>
      </c>
      <c r="B664" s="4">
        <v>0</v>
      </c>
      <c r="C664" s="4">
        <v>31.54</v>
      </c>
      <c r="D664" s="4">
        <v>1</v>
      </c>
      <c r="E664" s="4">
        <v>0</v>
      </c>
      <c r="F664" s="4">
        <v>1</v>
      </c>
      <c r="G664" s="4">
        <v>5148.5526</v>
      </c>
      <c r="I664" s="23"/>
      <c r="J664" s="23"/>
      <c r="K664" s="23"/>
      <c r="L664" s="23"/>
      <c r="M664" s="23"/>
      <c r="N664" s="23"/>
      <c r="O664" s="23"/>
      <c r="P664" s="23"/>
      <c r="Q664" s="23"/>
      <c r="R664" s="23"/>
    </row>
    <row r="665" spans="1:18" x14ac:dyDescent="0.2">
      <c r="A665" s="4">
        <v>18</v>
      </c>
      <c r="B665" s="4">
        <v>1</v>
      </c>
      <c r="C665" s="4">
        <v>33.659999999999997</v>
      </c>
      <c r="D665" s="4">
        <v>0</v>
      </c>
      <c r="E665" s="4">
        <v>0</v>
      </c>
      <c r="F665" s="4">
        <v>2</v>
      </c>
      <c r="G665" s="4">
        <v>1136.3994</v>
      </c>
      <c r="I665" s="23"/>
      <c r="J665" s="23"/>
      <c r="K665" s="23"/>
      <c r="L665" s="23"/>
      <c r="M665" s="23"/>
      <c r="N665" s="23"/>
      <c r="O665" s="23"/>
      <c r="P665" s="23"/>
      <c r="Q665" s="23"/>
      <c r="R665" s="23"/>
    </row>
    <row r="666" spans="1:18" x14ac:dyDescent="0.2">
      <c r="A666" s="4">
        <v>64</v>
      </c>
      <c r="B666" s="4">
        <v>0</v>
      </c>
      <c r="C666" s="4">
        <v>22.99</v>
      </c>
      <c r="D666" s="4">
        <v>0</v>
      </c>
      <c r="E666" s="4">
        <v>1</v>
      </c>
      <c r="F666" s="4">
        <v>2</v>
      </c>
      <c r="G666" s="4">
        <v>27037.914100000002</v>
      </c>
      <c r="I666" s="23"/>
      <c r="J666" s="23"/>
      <c r="K666" s="23"/>
      <c r="L666" s="23"/>
      <c r="M666" s="23"/>
      <c r="N666" s="23"/>
      <c r="O666" s="23"/>
      <c r="P666" s="23"/>
      <c r="Q666" s="23"/>
      <c r="R666" s="23"/>
    </row>
    <row r="667" spans="1:18" x14ac:dyDescent="0.2">
      <c r="A667" s="4">
        <v>43</v>
      </c>
      <c r="B667" s="4">
        <v>1</v>
      </c>
      <c r="C667" s="4">
        <v>38.06</v>
      </c>
      <c r="D667" s="4">
        <v>2</v>
      </c>
      <c r="E667" s="4">
        <v>1</v>
      </c>
      <c r="F667" s="4">
        <v>2</v>
      </c>
      <c r="G667" s="4">
        <v>42560.430399999997</v>
      </c>
      <c r="I667" s="23"/>
      <c r="J667" s="23"/>
      <c r="K667" s="23"/>
      <c r="L667" s="23"/>
      <c r="M667" s="23"/>
      <c r="N667" s="23"/>
      <c r="O667" s="23"/>
      <c r="P667" s="23"/>
      <c r="Q667" s="23"/>
      <c r="R667" s="23"/>
    </row>
    <row r="668" spans="1:18" x14ac:dyDescent="0.2">
      <c r="A668" s="4">
        <v>49</v>
      </c>
      <c r="B668" s="4">
        <v>1</v>
      </c>
      <c r="C668" s="4">
        <v>28.7</v>
      </c>
      <c r="D668" s="4">
        <v>1</v>
      </c>
      <c r="E668" s="4">
        <v>0</v>
      </c>
      <c r="F668" s="4">
        <v>4</v>
      </c>
      <c r="G668" s="4">
        <v>8703.4560000000001</v>
      </c>
      <c r="I668" s="23"/>
      <c r="J668" s="23"/>
      <c r="K668" s="23"/>
      <c r="L668" s="23"/>
      <c r="M668" s="23"/>
      <c r="N668" s="23"/>
      <c r="O668" s="23"/>
      <c r="P668" s="23"/>
      <c r="Q668" s="23"/>
      <c r="R668" s="23"/>
    </row>
    <row r="669" spans="1:18" x14ac:dyDescent="0.2">
      <c r="A669" s="4">
        <v>40</v>
      </c>
      <c r="B669" s="4">
        <v>0</v>
      </c>
      <c r="C669" s="4">
        <v>32.774999999999999</v>
      </c>
      <c r="D669" s="4">
        <v>2</v>
      </c>
      <c r="E669" s="4">
        <v>1</v>
      </c>
      <c r="F669" s="4">
        <v>3</v>
      </c>
      <c r="G669" s="4">
        <v>40003.332249999999</v>
      </c>
      <c r="I669" s="23"/>
      <c r="J669" s="23"/>
      <c r="K669" s="23"/>
      <c r="L669" s="23"/>
      <c r="M669" s="23"/>
      <c r="N669" s="23"/>
      <c r="O669" s="23"/>
      <c r="P669" s="23"/>
      <c r="Q669" s="23"/>
      <c r="R669" s="23"/>
    </row>
    <row r="670" spans="1:18" x14ac:dyDescent="0.2">
      <c r="A670" s="4">
        <v>62</v>
      </c>
      <c r="B670" s="4">
        <v>1</v>
      </c>
      <c r="C670" s="4">
        <v>32.015000000000001</v>
      </c>
      <c r="D670" s="4">
        <v>0</v>
      </c>
      <c r="E670" s="4">
        <v>1</v>
      </c>
      <c r="F670" s="4">
        <v>1</v>
      </c>
      <c r="G670" s="4">
        <v>45710.207849999999</v>
      </c>
      <c r="I670" s="23"/>
      <c r="J670" s="23"/>
      <c r="K670" s="23"/>
      <c r="L670" s="23"/>
      <c r="M670" s="23"/>
      <c r="N670" s="23"/>
      <c r="O670" s="23"/>
      <c r="P670" s="23"/>
      <c r="Q670" s="23"/>
      <c r="R670" s="23"/>
    </row>
    <row r="671" spans="1:18" x14ac:dyDescent="0.2">
      <c r="A671" s="4">
        <v>40</v>
      </c>
      <c r="B671" s="4">
        <v>0</v>
      </c>
      <c r="C671" s="4">
        <v>29.81</v>
      </c>
      <c r="D671" s="4">
        <v>1</v>
      </c>
      <c r="E671" s="4">
        <v>0</v>
      </c>
      <c r="F671" s="4">
        <v>2</v>
      </c>
      <c r="G671" s="4">
        <v>6500.2358999999997</v>
      </c>
      <c r="I671" s="23"/>
      <c r="J671" s="23"/>
      <c r="K671" s="23"/>
      <c r="L671" s="23"/>
      <c r="M671" s="23"/>
      <c r="N671" s="23"/>
      <c r="O671" s="23"/>
      <c r="P671" s="23"/>
      <c r="Q671" s="23"/>
      <c r="R671" s="23"/>
    </row>
    <row r="672" spans="1:18" x14ac:dyDescent="0.2">
      <c r="A672" s="4">
        <v>30</v>
      </c>
      <c r="B672" s="4">
        <v>1</v>
      </c>
      <c r="C672" s="4">
        <v>31.57</v>
      </c>
      <c r="D672" s="4">
        <v>3</v>
      </c>
      <c r="E672" s="4">
        <v>0</v>
      </c>
      <c r="F672" s="4">
        <v>2</v>
      </c>
      <c r="G672" s="4">
        <v>4837.5823</v>
      </c>
      <c r="I672" s="23"/>
      <c r="J672" s="23"/>
      <c r="K672" s="23"/>
      <c r="L672" s="23"/>
      <c r="M672" s="23"/>
      <c r="N672" s="23"/>
      <c r="O672" s="23"/>
      <c r="P672" s="23"/>
      <c r="Q672" s="23"/>
      <c r="R672" s="23"/>
    </row>
    <row r="673" spans="1:18" x14ac:dyDescent="0.2">
      <c r="A673" s="4">
        <v>29</v>
      </c>
      <c r="B673" s="4">
        <v>0</v>
      </c>
      <c r="C673" s="4">
        <v>31.16</v>
      </c>
      <c r="D673" s="4">
        <v>0</v>
      </c>
      <c r="E673" s="4">
        <v>0</v>
      </c>
      <c r="F673" s="4">
        <v>1</v>
      </c>
      <c r="G673" s="4">
        <v>3943.5954000000002</v>
      </c>
      <c r="I673" s="23"/>
      <c r="J673" s="23"/>
      <c r="K673" s="23"/>
      <c r="L673" s="23"/>
      <c r="M673" s="23"/>
      <c r="N673" s="23"/>
      <c r="O673" s="23"/>
      <c r="P673" s="23"/>
      <c r="Q673" s="23"/>
      <c r="R673" s="23"/>
    </row>
    <row r="674" spans="1:18" x14ac:dyDescent="0.2">
      <c r="A674" s="4">
        <v>36</v>
      </c>
      <c r="B674" s="4">
        <v>1</v>
      </c>
      <c r="C674" s="4">
        <v>29.7</v>
      </c>
      <c r="D674" s="4">
        <v>0</v>
      </c>
      <c r="E674" s="4">
        <v>0</v>
      </c>
      <c r="F674" s="4">
        <v>2</v>
      </c>
      <c r="G674" s="4">
        <v>4399.7309999999998</v>
      </c>
      <c r="I674" s="23"/>
      <c r="J674" s="23"/>
      <c r="K674" s="23"/>
      <c r="L674" s="23"/>
      <c r="M674" s="23"/>
      <c r="N674" s="23"/>
      <c r="O674" s="23"/>
      <c r="P674" s="23"/>
      <c r="Q674" s="23"/>
      <c r="R674" s="23"/>
    </row>
    <row r="675" spans="1:18" x14ac:dyDescent="0.2">
      <c r="A675" s="4">
        <v>41</v>
      </c>
      <c r="B675" s="4">
        <v>0</v>
      </c>
      <c r="C675" s="4">
        <v>31.02</v>
      </c>
      <c r="D675" s="4">
        <v>0</v>
      </c>
      <c r="E675" s="4">
        <v>0</v>
      </c>
      <c r="F675" s="4">
        <v>2</v>
      </c>
      <c r="G675" s="4">
        <v>6185.3208000000004</v>
      </c>
      <c r="I675" s="23"/>
      <c r="J675" s="23"/>
      <c r="K675" s="23"/>
      <c r="L675" s="23"/>
      <c r="M675" s="23"/>
      <c r="N675" s="23"/>
      <c r="O675" s="23"/>
      <c r="P675" s="23"/>
      <c r="Q675" s="23"/>
      <c r="R675" s="23"/>
    </row>
    <row r="676" spans="1:18" x14ac:dyDescent="0.2">
      <c r="A676" s="4">
        <v>44</v>
      </c>
      <c r="B676" s="4">
        <v>0</v>
      </c>
      <c r="C676" s="4">
        <v>43.89</v>
      </c>
      <c r="D676" s="4">
        <v>2</v>
      </c>
      <c r="E676" s="4">
        <v>1</v>
      </c>
      <c r="F676" s="4">
        <v>2</v>
      </c>
      <c r="G676" s="4">
        <v>46200.985099999998</v>
      </c>
      <c r="I676" s="23"/>
      <c r="J676" s="23"/>
      <c r="K676" s="23"/>
      <c r="L676" s="23"/>
      <c r="M676" s="23"/>
      <c r="N676" s="23"/>
      <c r="O676" s="23"/>
      <c r="P676" s="23"/>
      <c r="Q676" s="23"/>
      <c r="R676" s="23"/>
    </row>
    <row r="677" spans="1:18" x14ac:dyDescent="0.2">
      <c r="A677" s="4">
        <v>45</v>
      </c>
      <c r="B677" s="4">
        <v>1</v>
      </c>
      <c r="C677" s="4">
        <v>21.375</v>
      </c>
      <c r="D677" s="4">
        <v>0</v>
      </c>
      <c r="E677" s="4">
        <v>0</v>
      </c>
      <c r="F677" s="4">
        <v>3</v>
      </c>
      <c r="G677" s="4">
        <v>7222.7862500000001</v>
      </c>
      <c r="I677" s="23"/>
      <c r="J677" s="23"/>
      <c r="K677" s="23"/>
      <c r="L677" s="23"/>
      <c r="M677" s="23"/>
      <c r="N677" s="23"/>
      <c r="O677" s="23"/>
      <c r="P677" s="23"/>
      <c r="Q677" s="23"/>
      <c r="R677" s="23"/>
    </row>
    <row r="678" spans="1:18" x14ac:dyDescent="0.2">
      <c r="A678" s="4">
        <v>55</v>
      </c>
      <c r="B678" s="4">
        <v>0</v>
      </c>
      <c r="C678" s="4">
        <v>40.81</v>
      </c>
      <c r="D678" s="4">
        <v>3</v>
      </c>
      <c r="E678" s="4">
        <v>0</v>
      </c>
      <c r="F678" s="4">
        <v>2</v>
      </c>
      <c r="G678" s="4">
        <v>12485.8009</v>
      </c>
      <c r="I678" s="23"/>
      <c r="J678" s="23"/>
      <c r="K678" s="23"/>
      <c r="L678" s="23"/>
      <c r="M678" s="23"/>
      <c r="N678" s="23"/>
      <c r="O678" s="23"/>
      <c r="P678" s="23"/>
      <c r="Q678" s="23"/>
      <c r="R678" s="23"/>
    </row>
    <row r="679" spans="1:18" x14ac:dyDescent="0.2">
      <c r="A679" s="4">
        <v>60</v>
      </c>
      <c r="B679" s="4">
        <v>1</v>
      </c>
      <c r="C679" s="4">
        <v>31.35</v>
      </c>
      <c r="D679" s="4">
        <v>3</v>
      </c>
      <c r="E679" s="4">
        <v>1</v>
      </c>
      <c r="F679" s="4">
        <v>3</v>
      </c>
      <c r="G679" s="4">
        <v>46130.5265</v>
      </c>
      <c r="I679" s="23"/>
      <c r="J679" s="23"/>
      <c r="K679" s="23"/>
      <c r="L679" s="23"/>
      <c r="M679" s="23"/>
      <c r="N679" s="23"/>
      <c r="O679" s="23"/>
      <c r="P679" s="23"/>
      <c r="Q679" s="23"/>
      <c r="R679" s="23"/>
    </row>
    <row r="680" spans="1:18" x14ac:dyDescent="0.2">
      <c r="A680" s="4">
        <v>56</v>
      </c>
      <c r="B680" s="4">
        <v>1</v>
      </c>
      <c r="C680" s="4">
        <v>36.1</v>
      </c>
      <c r="D680" s="4">
        <v>3</v>
      </c>
      <c r="E680" s="4">
        <v>0</v>
      </c>
      <c r="F680" s="4">
        <v>4</v>
      </c>
      <c r="G680" s="4">
        <v>12363.547</v>
      </c>
      <c r="I680" s="23"/>
      <c r="J680" s="23"/>
      <c r="K680" s="23"/>
      <c r="L680" s="23"/>
      <c r="M680" s="23"/>
      <c r="N680" s="23"/>
      <c r="O680" s="23"/>
      <c r="P680" s="23"/>
      <c r="Q680" s="23"/>
      <c r="R680" s="23"/>
    </row>
    <row r="681" spans="1:18" x14ac:dyDescent="0.2">
      <c r="A681" s="4">
        <v>49</v>
      </c>
      <c r="B681" s="4">
        <v>0</v>
      </c>
      <c r="C681" s="4">
        <v>23.18</v>
      </c>
      <c r="D681" s="4">
        <v>2</v>
      </c>
      <c r="E681" s="4">
        <v>0</v>
      </c>
      <c r="F681" s="4">
        <v>3</v>
      </c>
      <c r="G681" s="4">
        <v>10156.7832</v>
      </c>
      <c r="I681" s="23"/>
      <c r="J681" s="23"/>
      <c r="K681" s="23"/>
      <c r="L681" s="23"/>
      <c r="M681" s="23"/>
      <c r="N681" s="23"/>
      <c r="O681" s="23"/>
      <c r="P681" s="23"/>
      <c r="Q681" s="23"/>
      <c r="R681" s="23"/>
    </row>
    <row r="682" spans="1:18" x14ac:dyDescent="0.2">
      <c r="A682" s="4">
        <v>21</v>
      </c>
      <c r="B682" s="4">
        <v>0</v>
      </c>
      <c r="C682" s="4">
        <v>17.399999999999999</v>
      </c>
      <c r="D682" s="4">
        <v>1</v>
      </c>
      <c r="E682" s="4">
        <v>0</v>
      </c>
      <c r="F682" s="4">
        <v>4</v>
      </c>
      <c r="G682" s="4">
        <v>2585.2689999999998</v>
      </c>
      <c r="I682" s="23"/>
      <c r="J682" s="23"/>
      <c r="K682" s="23"/>
      <c r="L682" s="23"/>
      <c r="M682" s="23"/>
      <c r="N682" s="23"/>
      <c r="O682" s="23"/>
      <c r="P682" s="23"/>
      <c r="Q682" s="23"/>
      <c r="R682" s="23"/>
    </row>
    <row r="683" spans="1:18" x14ac:dyDescent="0.2">
      <c r="A683" s="4">
        <v>19</v>
      </c>
      <c r="B683" s="4">
        <v>1</v>
      </c>
      <c r="C683" s="4">
        <v>20.3</v>
      </c>
      <c r="D683" s="4">
        <v>0</v>
      </c>
      <c r="E683" s="4">
        <v>0</v>
      </c>
      <c r="F683" s="4">
        <v>4</v>
      </c>
      <c r="G683" s="4">
        <v>1242.26</v>
      </c>
      <c r="I683" s="23"/>
      <c r="J683" s="23"/>
      <c r="K683" s="23"/>
      <c r="L683" s="23"/>
      <c r="M683" s="23"/>
      <c r="N683" s="23"/>
      <c r="O683" s="23"/>
      <c r="P683" s="23"/>
      <c r="Q683" s="23"/>
      <c r="R683" s="23"/>
    </row>
    <row r="684" spans="1:18" x14ac:dyDescent="0.2">
      <c r="A684" s="4">
        <v>39</v>
      </c>
      <c r="B684" s="4">
        <v>1</v>
      </c>
      <c r="C684" s="4">
        <v>35.299999999999997</v>
      </c>
      <c r="D684" s="4">
        <v>2</v>
      </c>
      <c r="E684" s="4">
        <v>1</v>
      </c>
      <c r="F684" s="4">
        <v>4</v>
      </c>
      <c r="G684" s="4">
        <v>40103.89</v>
      </c>
      <c r="I684" s="23"/>
      <c r="J684" s="23"/>
      <c r="K684" s="23"/>
      <c r="L684" s="23"/>
      <c r="M684" s="23"/>
      <c r="N684" s="23"/>
      <c r="O684" s="23"/>
      <c r="P684" s="23"/>
      <c r="Q684" s="23"/>
      <c r="R684" s="23"/>
    </row>
    <row r="685" spans="1:18" x14ac:dyDescent="0.2">
      <c r="A685" s="4">
        <v>53</v>
      </c>
      <c r="B685" s="4">
        <v>1</v>
      </c>
      <c r="C685" s="4">
        <v>24.32</v>
      </c>
      <c r="D685" s="4">
        <v>0</v>
      </c>
      <c r="E685" s="4">
        <v>0</v>
      </c>
      <c r="F685" s="4">
        <v>3</v>
      </c>
      <c r="G685" s="4">
        <v>9863.4717999999993</v>
      </c>
      <c r="I685" s="23"/>
      <c r="J685" s="23"/>
      <c r="K685" s="23"/>
      <c r="L685" s="23"/>
      <c r="M685" s="23"/>
      <c r="N685" s="23"/>
      <c r="O685" s="23"/>
      <c r="P685" s="23"/>
      <c r="Q685" s="23"/>
      <c r="R685" s="23"/>
    </row>
    <row r="686" spans="1:18" x14ac:dyDescent="0.2">
      <c r="A686" s="4">
        <v>33</v>
      </c>
      <c r="B686" s="4">
        <v>0</v>
      </c>
      <c r="C686" s="4">
        <v>18.5</v>
      </c>
      <c r="D686" s="4">
        <v>1</v>
      </c>
      <c r="E686" s="4">
        <v>0</v>
      </c>
      <c r="F686" s="4">
        <v>4</v>
      </c>
      <c r="G686" s="4">
        <v>4766.0219999999999</v>
      </c>
      <c r="I686" s="23"/>
      <c r="J686" s="23"/>
      <c r="K686" s="23"/>
      <c r="L686" s="23"/>
      <c r="M686" s="23"/>
      <c r="N686" s="23"/>
      <c r="O686" s="23"/>
      <c r="P686" s="23"/>
      <c r="Q686" s="23"/>
      <c r="R686" s="23"/>
    </row>
    <row r="687" spans="1:18" x14ac:dyDescent="0.2">
      <c r="A687" s="4">
        <v>53</v>
      </c>
      <c r="B687" s="4">
        <v>1</v>
      </c>
      <c r="C687" s="4">
        <v>26.41</v>
      </c>
      <c r="D687" s="4">
        <v>2</v>
      </c>
      <c r="E687" s="4">
        <v>0</v>
      </c>
      <c r="F687" s="4">
        <v>1</v>
      </c>
      <c r="G687" s="4">
        <v>11244.376899999999</v>
      </c>
      <c r="I687" s="23"/>
      <c r="J687" s="23"/>
      <c r="K687" s="23"/>
      <c r="L687" s="23"/>
      <c r="M687" s="23"/>
      <c r="N687" s="23"/>
      <c r="O687" s="23"/>
      <c r="P687" s="23"/>
      <c r="Q687" s="23"/>
      <c r="R687" s="23"/>
    </row>
    <row r="688" spans="1:18" x14ac:dyDescent="0.2">
      <c r="A688" s="4">
        <v>42</v>
      </c>
      <c r="B688" s="4">
        <v>1</v>
      </c>
      <c r="C688" s="4">
        <v>26.125</v>
      </c>
      <c r="D688" s="4">
        <v>2</v>
      </c>
      <c r="E688" s="4">
        <v>0</v>
      </c>
      <c r="F688" s="4">
        <v>1</v>
      </c>
      <c r="G688" s="4">
        <v>7729.6457499999997</v>
      </c>
      <c r="I688" s="23"/>
      <c r="J688" s="23"/>
      <c r="K688" s="23"/>
      <c r="L688" s="23"/>
      <c r="M688" s="23"/>
      <c r="N688" s="23"/>
      <c r="O688" s="23"/>
      <c r="P688" s="23"/>
      <c r="Q688" s="23"/>
      <c r="R688" s="23"/>
    </row>
    <row r="689" spans="1:18" x14ac:dyDescent="0.2">
      <c r="A689" s="4">
        <v>40</v>
      </c>
      <c r="B689" s="4">
        <v>1</v>
      </c>
      <c r="C689" s="4">
        <v>41.69</v>
      </c>
      <c r="D689" s="4">
        <v>0</v>
      </c>
      <c r="E689" s="4">
        <v>0</v>
      </c>
      <c r="F689" s="4">
        <v>2</v>
      </c>
      <c r="G689" s="4">
        <v>5438.7491</v>
      </c>
      <c r="I689" s="23"/>
      <c r="J689" s="23"/>
      <c r="K689" s="23"/>
      <c r="L689" s="23"/>
      <c r="M689" s="23"/>
      <c r="N689" s="23"/>
      <c r="O689" s="23"/>
      <c r="P689" s="23"/>
      <c r="Q689" s="23"/>
      <c r="R689" s="23"/>
    </row>
    <row r="690" spans="1:18" x14ac:dyDescent="0.2">
      <c r="A690" s="4">
        <v>47</v>
      </c>
      <c r="B690" s="4">
        <v>0</v>
      </c>
      <c r="C690" s="4">
        <v>24.1</v>
      </c>
      <c r="D690" s="4">
        <v>1</v>
      </c>
      <c r="E690" s="4">
        <v>0</v>
      </c>
      <c r="F690" s="4">
        <v>4</v>
      </c>
      <c r="G690" s="4">
        <v>26236.579969999999</v>
      </c>
      <c r="I690" s="23"/>
      <c r="J690" s="23"/>
      <c r="K690" s="23"/>
      <c r="L690" s="23"/>
      <c r="M690" s="23"/>
      <c r="N690" s="23"/>
      <c r="O690" s="23"/>
      <c r="P690" s="23"/>
      <c r="Q690" s="23"/>
      <c r="R690" s="23"/>
    </row>
    <row r="691" spans="1:18" x14ac:dyDescent="0.2">
      <c r="A691" s="4">
        <v>27</v>
      </c>
      <c r="B691" s="4">
        <v>1</v>
      </c>
      <c r="C691" s="4">
        <v>31.13</v>
      </c>
      <c r="D691" s="4">
        <v>1</v>
      </c>
      <c r="E691" s="4">
        <v>1</v>
      </c>
      <c r="F691" s="4">
        <v>2</v>
      </c>
      <c r="G691" s="4">
        <v>34806.467700000001</v>
      </c>
      <c r="I691" s="23"/>
      <c r="J691" s="23"/>
      <c r="K691" s="23"/>
      <c r="L691" s="23"/>
      <c r="M691" s="23"/>
      <c r="N691" s="23"/>
      <c r="O691" s="23"/>
      <c r="P691" s="23"/>
      <c r="Q691" s="23"/>
      <c r="R691" s="23"/>
    </row>
    <row r="692" spans="1:18" x14ac:dyDescent="0.2">
      <c r="A692" s="4">
        <v>21</v>
      </c>
      <c r="B692" s="4">
        <v>1</v>
      </c>
      <c r="C692" s="4">
        <v>27.36</v>
      </c>
      <c r="D692" s="4">
        <v>0</v>
      </c>
      <c r="E692" s="4">
        <v>0</v>
      </c>
      <c r="F692" s="4">
        <v>1</v>
      </c>
      <c r="G692" s="4">
        <v>2104.1134000000002</v>
      </c>
      <c r="I692" s="23"/>
      <c r="J692" s="23"/>
      <c r="K692" s="23"/>
      <c r="L692" s="23"/>
      <c r="M692" s="23"/>
      <c r="N692" s="23"/>
      <c r="O692" s="23"/>
      <c r="P692" s="23"/>
      <c r="Q692" s="23"/>
      <c r="R692" s="23"/>
    </row>
    <row r="693" spans="1:18" x14ac:dyDescent="0.2">
      <c r="A693" s="4">
        <v>47</v>
      </c>
      <c r="B693" s="4">
        <v>1</v>
      </c>
      <c r="C693" s="4">
        <v>36.200000000000003</v>
      </c>
      <c r="D693" s="4">
        <v>1</v>
      </c>
      <c r="E693" s="4">
        <v>0</v>
      </c>
      <c r="F693" s="4">
        <v>4</v>
      </c>
      <c r="G693" s="4">
        <v>8068.1850000000004</v>
      </c>
      <c r="I693" s="23"/>
      <c r="J693" s="23"/>
      <c r="K693" s="23"/>
      <c r="L693" s="23"/>
      <c r="M693" s="23"/>
      <c r="N693" s="23"/>
      <c r="O693" s="23"/>
      <c r="P693" s="23"/>
      <c r="Q693" s="23"/>
      <c r="R693" s="23"/>
    </row>
    <row r="694" spans="1:18" x14ac:dyDescent="0.2">
      <c r="A694" s="4">
        <v>20</v>
      </c>
      <c r="B694" s="4">
        <v>1</v>
      </c>
      <c r="C694" s="4">
        <v>32.395000000000003</v>
      </c>
      <c r="D694" s="4">
        <v>1</v>
      </c>
      <c r="E694" s="4">
        <v>0</v>
      </c>
      <c r="F694" s="4">
        <v>3</v>
      </c>
      <c r="G694" s="4">
        <v>2362.2290499999999</v>
      </c>
      <c r="I694" s="23"/>
      <c r="J694" s="23"/>
      <c r="K694" s="23"/>
      <c r="L694" s="23"/>
      <c r="M694" s="23"/>
      <c r="N694" s="23"/>
      <c r="O694" s="23"/>
      <c r="P694" s="23"/>
      <c r="Q694" s="23"/>
      <c r="R694" s="23"/>
    </row>
    <row r="695" spans="1:18" x14ac:dyDescent="0.2">
      <c r="A695" s="4">
        <v>24</v>
      </c>
      <c r="B695" s="4">
        <v>1</v>
      </c>
      <c r="C695" s="4">
        <v>23.655000000000001</v>
      </c>
      <c r="D695" s="4">
        <v>0</v>
      </c>
      <c r="E695" s="4">
        <v>0</v>
      </c>
      <c r="F695" s="4">
        <v>3</v>
      </c>
      <c r="G695" s="4">
        <v>2352.9684499999998</v>
      </c>
      <c r="I695" s="23"/>
      <c r="J695" s="23"/>
      <c r="K695" s="23"/>
      <c r="L695" s="23"/>
      <c r="M695" s="23"/>
      <c r="N695" s="23"/>
      <c r="O695" s="23"/>
      <c r="P695" s="23"/>
      <c r="Q695" s="23"/>
      <c r="R695" s="23"/>
    </row>
    <row r="696" spans="1:18" x14ac:dyDescent="0.2">
      <c r="A696" s="4">
        <v>27</v>
      </c>
      <c r="B696" s="4">
        <v>0</v>
      </c>
      <c r="C696" s="4">
        <v>34.799999999999997</v>
      </c>
      <c r="D696" s="4">
        <v>1</v>
      </c>
      <c r="E696" s="4">
        <v>0</v>
      </c>
      <c r="F696" s="4">
        <v>4</v>
      </c>
      <c r="G696" s="4">
        <v>3577.9989999999998</v>
      </c>
      <c r="I696" s="23"/>
      <c r="J696" s="23"/>
      <c r="K696" s="23"/>
      <c r="L696" s="23"/>
      <c r="M696" s="23"/>
      <c r="N696" s="23"/>
      <c r="O696" s="23"/>
      <c r="P696" s="23"/>
      <c r="Q696" s="23"/>
      <c r="R696" s="23"/>
    </row>
    <row r="697" spans="1:18" x14ac:dyDescent="0.2">
      <c r="A697" s="4">
        <v>26</v>
      </c>
      <c r="B697" s="4">
        <v>0</v>
      </c>
      <c r="C697" s="4">
        <v>40.185000000000002</v>
      </c>
      <c r="D697" s="4">
        <v>0</v>
      </c>
      <c r="E697" s="4">
        <v>0</v>
      </c>
      <c r="F697" s="4">
        <v>3</v>
      </c>
      <c r="G697" s="4">
        <v>3201.2451500000002</v>
      </c>
      <c r="I697" s="23"/>
      <c r="J697" s="23"/>
      <c r="K697" s="23"/>
      <c r="L697" s="23"/>
      <c r="M697" s="23"/>
      <c r="N697" s="23"/>
      <c r="O697" s="23"/>
      <c r="P697" s="23"/>
      <c r="Q697" s="23"/>
      <c r="R697" s="23"/>
    </row>
    <row r="698" spans="1:18" x14ac:dyDescent="0.2">
      <c r="A698" s="4">
        <v>53</v>
      </c>
      <c r="B698" s="4">
        <v>0</v>
      </c>
      <c r="C698" s="4">
        <v>32.299999999999997</v>
      </c>
      <c r="D698" s="4">
        <v>2</v>
      </c>
      <c r="E698" s="4">
        <v>0</v>
      </c>
      <c r="F698" s="4">
        <v>1</v>
      </c>
      <c r="G698" s="4">
        <v>29186.482360000002</v>
      </c>
      <c r="I698" s="23"/>
      <c r="J698" s="23"/>
      <c r="K698" s="23"/>
      <c r="L698" s="23"/>
      <c r="M698" s="23"/>
      <c r="N698" s="23"/>
      <c r="O698" s="23"/>
      <c r="P698" s="23"/>
      <c r="Q698" s="23"/>
      <c r="R698" s="23"/>
    </row>
    <row r="699" spans="1:18" x14ac:dyDescent="0.2">
      <c r="A699" s="4">
        <v>41</v>
      </c>
      <c r="B699" s="4">
        <v>1</v>
      </c>
      <c r="C699" s="4">
        <v>35.75</v>
      </c>
      <c r="D699" s="4">
        <v>1</v>
      </c>
      <c r="E699" s="4">
        <v>1</v>
      </c>
      <c r="F699" s="4">
        <v>2</v>
      </c>
      <c r="G699" s="4">
        <v>40273.645499999999</v>
      </c>
      <c r="I699" s="23"/>
      <c r="J699" s="23"/>
      <c r="K699" s="23"/>
      <c r="L699" s="23"/>
      <c r="M699" s="23"/>
      <c r="N699" s="23"/>
      <c r="O699" s="23"/>
      <c r="P699" s="23"/>
      <c r="Q699" s="23"/>
      <c r="R699" s="23"/>
    </row>
    <row r="700" spans="1:18" x14ac:dyDescent="0.2">
      <c r="A700" s="4">
        <v>56</v>
      </c>
      <c r="B700" s="4">
        <v>1</v>
      </c>
      <c r="C700" s="4">
        <v>33.725000000000001</v>
      </c>
      <c r="D700" s="4">
        <v>0</v>
      </c>
      <c r="E700" s="4">
        <v>0</v>
      </c>
      <c r="F700" s="4">
        <v>3</v>
      </c>
      <c r="G700" s="4">
        <v>10976.24575</v>
      </c>
      <c r="I700" s="23"/>
      <c r="J700" s="23"/>
      <c r="K700" s="23"/>
      <c r="L700" s="23"/>
      <c r="M700" s="23"/>
      <c r="N700" s="23"/>
      <c r="O700" s="23"/>
      <c r="P700" s="23"/>
      <c r="Q700" s="23"/>
      <c r="R700" s="23"/>
    </row>
    <row r="701" spans="1:18" x14ac:dyDescent="0.2">
      <c r="A701" s="4">
        <v>23</v>
      </c>
      <c r="B701" s="4">
        <v>0</v>
      </c>
      <c r="C701" s="4">
        <v>39.270000000000003</v>
      </c>
      <c r="D701" s="4">
        <v>2</v>
      </c>
      <c r="E701" s="4">
        <v>0</v>
      </c>
      <c r="F701" s="4">
        <v>2</v>
      </c>
      <c r="G701" s="4">
        <v>3500.6122999999998</v>
      </c>
      <c r="I701" s="23"/>
      <c r="J701" s="23"/>
      <c r="K701" s="23"/>
      <c r="L701" s="23"/>
      <c r="M701" s="23"/>
      <c r="N701" s="23"/>
      <c r="O701" s="23"/>
      <c r="P701" s="23"/>
      <c r="Q701" s="23"/>
      <c r="R701" s="23"/>
    </row>
    <row r="702" spans="1:18" x14ac:dyDescent="0.2">
      <c r="A702" s="4">
        <v>21</v>
      </c>
      <c r="B702" s="4">
        <v>0</v>
      </c>
      <c r="C702" s="4">
        <v>34.869999999999997</v>
      </c>
      <c r="D702" s="4">
        <v>0</v>
      </c>
      <c r="E702" s="4">
        <v>0</v>
      </c>
      <c r="F702" s="4">
        <v>2</v>
      </c>
      <c r="G702" s="4">
        <v>2020.5523000000001</v>
      </c>
      <c r="I702" s="23"/>
      <c r="J702" s="23"/>
      <c r="K702" s="23"/>
      <c r="L702" s="23"/>
      <c r="M702" s="23"/>
      <c r="N702" s="23"/>
      <c r="O702" s="23"/>
      <c r="P702" s="23"/>
      <c r="Q702" s="23"/>
      <c r="R702" s="23"/>
    </row>
    <row r="703" spans="1:18" x14ac:dyDescent="0.2">
      <c r="A703" s="4">
        <v>50</v>
      </c>
      <c r="B703" s="4">
        <v>0</v>
      </c>
      <c r="C703" s="4">
        <v>44.744999999999997</v>
      </c>
      <c r="D703" s="4">
        <v>0</v>
      </c>
      <c r="E703" s="4">
        <v>0</v>
      </c>
      <c r="F703" s="4">
        <v>1</v>
      </c>
      <c r="G703" s="4">
        <v>9541.6955500000004</v>
      </c>
      <c r="I703" s="23"/>
      <c r="J703" s="23"/>
      <c r="K703" s="23"/>
      <c r="L703" s="23"/>
      <c r="M703" s="23"/>
      <c r="N703" s="23"/>
      <c r="O703" s="23"/>
      <c r="P703" s="23"/>
      <c r="Q703" s="23"/>
      <c r="R703" s="23"/>
    </row>
    <row r="704" spans="1:18" x14ac:dyDescent="0.2">
      <c r="A704" s="4">
        <v>53</v>
      </c>
      <c r="B704" s="4">
        <v>1</v>
      </c>
      <c r="C704" s="4">
        <v>41.47</v>
      </c>
      <c r="D704" s="4">
        <v>0</v>
      </c>
      <c r="E704" s="4">
        <v>0</v>
      </c>
      <c r="F704" s="4">
        <v>2</v>
      </c>
      <c r="G704" s="4">
        <v>9504.3102999999992</v>
      </c>
      <c r="I704" s="23"/>
      <c r="J704" s="23"/>
      <c r="K704" s="23"/>
      <c r="L704" s="23"/>
      <c r="M704" s="23"/>
      <c r="N704" s="23"/>
      <c r="O704" s="23"/>
      <c r="P704" s="23"/>
      <c r="Q704" s="23"/>
      <c r="R704" s="23"/>
    </row>
    <row r="705" spans="1:18" x14ac:dyDescent="0.2">
      <c r="A705" s="4">
        <v>34</v>
      </c>
      <c r="B705" s="4">
        <v>0</v>
      </c>
      <c r="C705" s="4">
        <v>26.41</v>
      </c>
      <c r="D705" s="4">
        <v>1</v>
      </c>
      <c r="E705" s="4">
        <v>0</v>
      </c>
      <c r="F705" s="4">
        <v>3</v>
      </c>
      <c r="G705" s="4">
        <v>5385.3379000000004</v>
      </c>
      <c r="I705" s="23"/>
      <c r="J705" s="23"/>
      <c r="K705" s="23"/>
      <c r="L705" s="23"/>
      <c r="M705" s="23"/>
      <c r="N705" s="23"/>
      <c r="O705" s="23"/>
      <c r="P705" s="23"/>
      <c r="Q705" s="23"/>
      <c r="R705" s="23"/>
    </row>
    <row r="706" spans="1:18" x14ac:dyDescent="0.2">
      <c r="A706" s="4">
        <v>47</v>
      </c>
      <c r="B706" s="4">
        <v>0</v>
      </c>
      <c r="C706" s="4">
        <v>29.545000000000002</v>
      </c>
      <c r="D706" s="4">
        <v>1</v>
      </c>
      <c r="E706" s="4">
        <v>0</v>
      </c>
      <c r="F706" s="4">
        <v>3</v>
      </c>
      <c r="G706" s="4">
        <v>8930.9345499999999</v>
      </c>
      <c r="I706" s="23"/>
      <c r="J706" s="23"/>
      <c r="K706" s="23"/>
      <c r="L706" s="23"/>
      <c r="M706" s="23"/>
      <c r="N706" s="23"/>
      <c r="O706" s="23"/>
      <c r="P706" s="23"/>
      <c r="Q706" s="23"/>
      <c r="R706" s="23"/>
    </row>
    <row r="707" spans="1:18" x14ac:dyDescent="0.2">
      <c r="A707" s="4">
        <v>33</v>
      </c>
      <c r="B707" s="4">
        <v>0</v>
      </c>
      <c r="C707" s="4">
        <v>32.9</v>
      </c>
      <c r="D707" s="4">
        <v>2</v>
      </c>
      <c r="E707" s="4">
        <v>0</v>
      </c>
      <c r="F707" s="4">
        <v>4</v>
      </c>
      <c r="G707" s="4">
        <v>5375.0379999999996</v>
      </c>
      <c r="I707" s="23"/>
      <c r="J707" s="23"/>
      <c r="K707" s="23"/>
      <c r="L707" s="23"/>
      <c r="M707" s="23"/>
      <c r="N707" s="23"/>
      <c r="O707" s="23"/>
      <c r="P707" s="23"/>
      <c r="Q707" s="23"/>
      <c r="R707" s="23"/>
    </row>
    <row r="708" spans="1:18" x14ac:dyDescent="0.2">
      <c r="A708" s="4">
        <v>51</v>
      </c>
      <c r="B708" s="4">
        <v>0</v>
      </c>
      <c r="C708" s="4">
        <v>38.06</v>
      </c>
      <c r="D708" s="4">
        <v>0</v>
      </c>
      <c r="E708" s="4">
        <v>1</v>
      </c>
      <c r="F708" s="4">
        <v>2</v>
      </c>
      <c r="G708" s="4">
        <v>44400.4064</v>
      </c>
      <c r="I708" s="23"/>
      <c r="J708" s="23"/>
      <c r="K708" s="23"/>
      <c r="L708" s="23"/>
      <c r="M708" s="23"/>
      <c r="N708" s="23"/>
      <c r="O708" s="23"/>
      <c r="P708" s="23"/>
      <c r="Q708" s="23"/>
      <c r="R708" s="23"/>
    </row>
    <row r="709" spans="1:18" x14ac:dyDescent="0.2">
      <c r="A709" s="4">
        <v>49</v>
      </c>
      <c r="B709" s="4">
        <v>1</v>
      </c>
      <c r="C709" s="4">
        <v>28.69</v>
      </c>
      <c r="D709" s="4">
        <v>3</v>
      </c>
      <c r="E709" s="4">
        <v>0</v>
      </c>
      <c r="F709" s="4">
        <v>3</v>
      </c>
      <c r="G709" s="4">
        <v>10264.4421</v>
      </c>
      <c r="I709" s="23"/>
      <c r="J709" s="23"/>
      <c r="K709" s="23"/>
      <c r="L709" s="23"/>
      <c r="M709" s="23"/>
      <c r="N709" s="23"/>
      <c r="O709" s="23"/>
      <c r="P709" s="23"/>
      <c r="Q709" s="23"/>
      <c r="R709" s="23"/>
    </row>
    <row r="710" spans="1:18" x14ac:dyDescent="0.2">
      <c r="A710" s="4">
        <v>31</v>
      </c>
      <c r="B710" s="4">
        <v>0</v>
      </c>
      <c r="C710" s="4">
        <v>30.495000000000001</v>
      </c>
      <c r="D710" s="4">
        <v>3</v>
      </c>
      <c r="E710" s="4">
        <v>0</v>
      </c>
      <c r="F710" s="4">
        <v>1</v>
      </c>
      <c r="G710" s="4">
        <v>6113.2310500000003</v>
      </c>
      <c r="I710" s="23"/>
      <c r="J710" s="23"/>
      <c r="K710" s="23"/>
      <c r="L710" s="23"/>
      <c r="M710" s="23"/>
      <c r="N710" s="23"/>
      <c r="O710" s="23"/>
      <c r="P710" s="23"/>
      <c r="Q710" s="23"/>
      <c r="R710" s="23"/>
    </row>
    <row r="711" spans="1:18" x14ac:dyDescent="0.2">
      <c r="A711" s="4">
        <v>36</v>
      </c>
      <c r="B711" s="4">
        <v>0</v>
      </c>
      <c r="C711" s="4">
        <v>27.74</v>
      </c>
      <c r="D711" s="4">
        <v>0</v>
      </c>
      <c r="E711" s="4">
        <v>0</v>
      </c>
      <c r="F711" s="4">
        <v>1</v>
      </c>
      <c r="G711" s="4">
        <v>5469.0065999999997</v>
      </c>
      <c r="I711" s="23"/>
      <c r="J711" s="23"/>
      <c r="K711" s="23"/>
      <c r="L711" s="23"/>
      <c r="M711" s="23"/>
      <c r="N711" s="23"/>
      <c r="O711" s="23"/>
      <c r="P711" s="23"/>
      <c r="Q711" s="23"/>
      <c r="R711" s="23"/>
    </row>
    <row r="712" spans="1:18" x14ac:dyDescent="0.2">
      <c r="A712" s="4">
        <v>18</v>
      </c>
      <c r="B712" s="4">
        <v>1</v>
      </c>
      <c r="C712" s="4">
        <v>35.200000000000003</v>
      </c>
      <c r="D712" s="4">
        <v>1</v>
      </c>
      <c r="E712" s="4">
        <v>0</v>
      </c>
      <c r="F712" s="4">
        <v>2</v>
      </c>
      <c r="G712" s="4">
        <v>1727.54</v>
      </c>
      <c r="I712" s="23"/>
      <c r="J712" s="23"/>
      <c r="K712" s="23"/>
      <c r="L712" s="23"/>
      <c r="M712" s="23"/>
      <c r="N712" s="23"/>
      <c r="O712" s="23"/>
      <c r="P712" s="23"/>
      <c r="Q712" s="23"/>
      <c r="R712" s="23"/>
    </row>
    <row r="713" spans="1:18" x14ac:dyDescent="0.2">
      <c r="A713" s="4">
        <v>50</v>
      </c>
      <c r="B713" s="4">
        <v>0</v>
      </c>
      <c r="C713" s="4">
        <v>23.54</v>
      </c>
      <c r="D713" s="4">
        <v>2</v>
      </c>
      <c r="E713" s="4">
        <v>0</v>
      </c>
      <c r="F713" s="4">
        <v>2</v>
      </c>
      <c r="G713" s="4">
        <v>10107.220600000001</v>
      </c>
      <c r="I713" s="23"/>
      <c r="J713" s="23"/>
      <c r="K713" s="23"/>
      <c r="L713" s="23"/>
      <c r="M713" s="23"/>
      <c r="N713" s="23"/>
      <c r="O713" s="23"/>
      <c r="P713" s="23"/>
      <c r="Q713" s="23"/>
      <c r="R713" s="23"/>
    </row>
    <row r="714" spans="1:18" x14ac:dyDescent="0.2">
      <c r="A714" s="4">
        <v>43</v>
      </c>
      <c r="B714" s="4">
        <v>0</v>
      </c>
      <c r="C714" s="4">
        <v>30.684999999999999</v>
      </c>
      <c r="D714" s="4">
        <v>2</v>
      </c>
      <c r="E714" s="4">
        <v>0</v>
      </c>
      <c r="F714" s="4">
        <v>3</v>
      </c>
      <c r="G714" s="4">
        <v>8310.8391499999998</v>
      </c>
      <c r="I714" s="23"/>
      <c r="J714" s="23"/>
      <c r="K714" s="23"/>
      <c r="L714" s="23"/>
      <c r="M714" s="23"/>
      <c r="N714" s="23"/>
      <c r="O714" s="23"/>
      <c r="P714" s="23"/>
      <c r="Q714" s="23"/>
      <c r="R714" s="23"/>
    </row>
    <row r="715" spans="1:18" x14ac:dyDescent="0.2">
      <c r="A715" s="4">
        <v>20</v>
      </c>
      <c r="B715" s="4">
        <v>1</v>
      </c>
      <c r="C715" s="4">
        <v>40.47</v>
      </c>
      <c r="D715" s="4">
        <v>0</v>
      </c>
      <c r="E715" s="4">
        <v>0</v>
      </c>
      <c r="F715" s="4">
        <v>1</v>
      </c>
      <c r="G715" s="4">
        <v>1984.4532999999999</v>
      </c>
      <c r="I715" s="23"/>
      <c r="J715" s="23"/>
      <c r="K715" s="23"/>
      <c r="L715" s="23"/>
      <c r="M715" s="23"/>
      <c r="N715" s="23"/>
      <c r="O715" s="23"/>
      <c r="P715" s="23"/>
      <c r="Q715" s="23"/>
      <c r="R715" s="23"/>
    </row>
    <row r="716" spans="1:18" x14ac:dyDescent="0.2">
      <c r="A716" s="4">
        <v>24</v>
      </c>
      <c r="B716" s="4">
        <v>0</v>
      </c>
      <c r="C716" s="4">
        <v>22.6</v>
      </c>
      <c r="D716" s="4">
        <v>0</v>
      </c>
      <c r="E716" s="4">
        <v>0</v>
      </c>
      <c r="F716" s="4">
        <v>4</v>
      </c>
      <c r="G716" s="4">
        <v>2457.502</v>
      </c>
      <c r="I716" s="23"/>
      <c r="J716" s="23"/>
      <c r="K716" s="23"/>
      <c r="L716" s="23"/>
      <c r="M716" s="23"/>
      <c r="N716" s="23"/>
      <c r="O716" s="23"/>
      <c r="P716" s="23"/>
      <c r="Q716" s="23"/>
      <c r="R716" s="23"/>
    </row>
    <row r="717" spans="1:18" x14ac:dyDescent="0.2">
      <c r="A717" s="4">
        <v>60</v>
      </c>
      <c r="B717" s="4">
        <v>1</v>
      </c>
      <c r="C717" s="4">
        <v>28.9</v>
      </c>
      <c r="D717" s="4">
        <v>0</v>
      </c>
      <c r="E717" s="4">
        <v>0</v>
      </c>
      <c r="F717" s="4">
        <v>4</v>
      </c>
      <c r="G717" s="4">
        <v>12146.971</v>
      </c>
      <c r="I717" s="23"/>
      <c r="J717" s="23"/>
      <c r="K717" s="23"/>
      <c r="L717" s="23"/>
      <c r="M717" s="23"/>
      <c r="N717" s="23"/>
      <c r="O717" s="23"/>
      <c r="P717" s="23"/>
      <c r="Q717" s="23"/>
      <c r="R717" s="23"/>
    </row>
    <row r="718" spans="1:18" x14ac:dyDescent="0.2">
      <c r="A718" s="4">
        <v>49</v>
      </c>
      <c r="B718" s="4">
        <v>0</v>
      </c>
      <c r="C718" s="4">
        <v>22.61</v>
      </c>
      <c r="D718" s="4">
        <v>1</v>
      </c>
      <c r="E718" s="4">
        <v>0</v>
      </c>
      <c r="F718" s="4">
        <v>3</v>
      </c>
      <c r="G718" s="4">
        <v>9566.9909000000007</v>
      </c>
      <c r="I718" s="23"/>
      <c r="J718" s="23"/>
      <c r="K718" s="23"/>
      <c r="L718" s="23"/>
      <c r="M718" s="23"/>
      <c r="N718" s="23"/>
      <c r="O718" s="23"/>
      <c r="P718" s="23"/>
      <c r="Q718" s="23"/>
      <c r="R718" s="23"/>
    </row>
    <row r="719" spans="1:18" x14ac:dyDescent="0.2">
      <c r="A719" s="4">
        <v>60</v>
      </c>
      <c r="B719" s="4">
        <v>1</v>
      </c>
      <c r="C719" s="4">
        <v>24.32</v>
      </c>
      <c r="D719" s="4">
        <v>1</v>
      </c>
      <c r="E719" s="4">
        <v>0</v>
      </c>
      <c r="F719" s="4">
        <v>3</v>
      </c>
      <c r="G719" s="4">
        <v>13112.604799999999</v>
      </c>
      <c r="I719" s="23"/>
      <c r="J719" s="23"/>
      <c r="K719" s="23"/>
      <c r="L719" s="23"/>
      <c r="M719" s="23"/>
      <c r="N719" s="23"/>
      <c r="O719" s="23"/>
      <c r="P719" s="23"/>
      <c r="Q719" s="23"/>
      <c r="R719" s="23"/>
    </row>
    <row r="720" spans="1:18" x14ac:dyDescent="0.2">
      <c r="A720" s="4">
        <v>51</v>
      </c>
      <c r="B720" s="4">
        <v>0</v>
      </c>
      <c r="C720" s="4">
        <v>36.67</v>
      </c>
      <c r="D720" s="4">
        <v>2</v>
      </c>
      <c r="E720" s="4">
        <v>0</v>
      </c>
      <c r="F720" s="4">
        <v>3</v>
      </c>
      <c r="G720" s="4">
        <v>10848.1343</v>
      </c>
      <c r="I720" s="23"/>
      <c r="J720" s="23"/>
      <c r="K720" s="23"/>
      <c r="L720" s="23"/>
      <c r="M720" s="23"/>
      <c r="N720" s="23"/>
      <c r="O720" s="23"/>
      <c r="P720" s="23"/>
      <c r="Q720" s="23"/>
      <c r="R720" s="23"/>
    </row>
    <row r="721" spans="1:18" x14ac:dyDescent="0.2">
      <c r="A721" s="4">
        <v>58</v>
      </c>
      <c r="B721" s="4">
        <v>0</v>
      </c>
      <c r="C721" s="4">
        <v>33.44</v>
      </c>
      <c r="D721" s="4">
        <v>0</v>
      </c>
      <c r="E721" s="4">
        <v>0</v>
      </c>
      <c r="F721" s="4">
        <v>3</v>
      </c>
      <c r="G721" s="4">
        <v>12231.613600000001</v>
      </c>
      <c r="I721" s="23"/>
      <c r="J721" s="23"/>
      <c r="K721" s="23"/>
      <c r="L721" s="23"/>
      <c r="M721" s="23"/>
      <c r="N721" s="23"/>
      <c r="O721" s="23"/>
      <c r="P721" s="23"/>
      <c r="Q721" s="23"/>
      <c r="R721" s="23"/>
    </row>
    <row r="722" spans="1:18" x14ac:dyDescent="0.2">
      <c r="A722" s="4">
        <v>51</v>
      </c>
      <c r="B722" s="4">
        <v>0</v>
      </c>
      <c r="C722" s="4">
        <v>40.659999999999997</v>
      </c>
      <c r="D722" s="4">
        <v>0</v>
      </c>
      <c r="E722" s="4">
        <v>0</v>
      </c>
      <c r="F722" s="4">
        <v>1</v>
      </c>
      <c r="G722" s="4">
        <v>9875.6803999999993</v>
      </c>
      <c r="I722" s="23"/>
      <c r="J722" s="23"/>
      <c r="K722" s="23"/>
      <c r="L722" s="23"/>
      <c r="M722" s="23"/>
      <c r="N722" s="23"/>
      <c r="O722" s="23"/>
      <c r="P722" s="23"/>
      <c r="Q722" s="23"/>
      <c r="R722" s="23"/>
    </row>
    <row r="723" spans="1:18" x14ac:dyDescent="0.2">
      <c r="A723" s="4">
        <v>53</v>
      </c>
      <c r="B723" s="4">
        <v>1</v>
      </c>
      <c r="C723" s="4">
        <v>36.6</v>
      </c>
      <c r="D723" s="4">
        <v>3</v>
      </c>
      <c r="E723" s="4">
        <v>0</v>
      </c>
      <c r="F723" s="4">
        <v>4</v>
      </c>
      <c r="G723" s="4">
        <v>11264.540999999999</v>
      </c>
      <c r="I723" s="23"/>
      <c r="J723" s="23"/>
      <c r="K723" s="23"/>
      <c r="L723" s="23"/>
      <c r="M723" s="23"/>
      <c r="N723" s="23"/>
      <c r="O723" s="23"/>
      <c r="P723" s="23"/>
      <c r="Q723" s="23"/>
      <c r="R723" s="23"/>
    </row>
    <row r="724" spans="1:18" x14ac:dyDescent="0.2">
      <c r="A724" s="4">
        <v>62</v>
      </c>
      <c r="B724" s="4">
        <v>1</v>
      </c>
      <c r="C724" s="4">
        <v>37.4</v>
      </c>
      <c r="D724" s="4">
        <v>0</v>
      </c>
      <c r="E724" s="4">
        <v>0</v>
      </c>
      <c r="F724" s="4">
        <v>4</v>
      </c>
      <c r="G724" s="4">
        <v>12979.358</v>
      </c>
      <c r="I724" s="23"/>
      <c r="J724" s="23"/>
      <c r="K724" s="23"/>
      <c r="L724" s="23"/>
      <c r="M724" s="23"/>
      <c r="N724" s="23"/>
      <c r="O724" s="23"/>
      <c r="P724" s="23"/>
      <c r="Q724" s="23"/>
      <c r="R724" s="23"/>
    </row>
    <row r="725" spans="1:18" x14ac:dyDescent="0.2">
      <c r="A725" s="4">
        <v>19</v>
      </c>
      <c r="B725" s="4">
        <v>1</v>
      </c>
      <c r="C725" s="4">
        <v>35.4</v>
      </c>
      <c r="D725" s="4">
        <v>0</v>
      </c>
      <c r="E725" s="4">
        <v>0</v>
      </c>
      <c r="F725" s="4">
        <v>4</v>
      </c>
      <c r="G725" s="4">
        <v>1263.249</v>
      </c>
      <c r="I725" s="23"/>
      <c r="J725" s="23"/>
      <c r="K725" s="23"/>
      <c r="L725" s="23"/>
      <c r="M725" s="23"/>
      <c r="N725" s="23"/>
      <c r="O725" s="23"/>
      <c r="P725" s="23"/>
      <c r="Q725" s="23"/>
      <c r="R725" s="23"/>
    </row>
    <row r="726" spans="1:18" x14ac:dyDescent="0.2">
      <c r="A726" s="4">
        <v>50</v>
      </c>
      <c r="B726" s="4">
        <v>0</v>
      </c>
      <c r="C726" s="4">
        <v>27.074999999999999</v>
      </c>
      <c r="D726" s="4">
        <v>1</v>
      </c>
      <c r="E726" s="4">
        <v>0</v>
      </c>
      <c r="F726" s="4">
        <v>1</v>
      </c>
      <c r="G726" s="4">
        <v>10106.134249999999</v>
      </c>
      <c r="I726" s="23"/>
      <c r="J726" s="23"/>
      <c r="K726" s="23"/>
      <c r="L726" s="23"/>
      <c r="M726" s="23"/>
      <c r="N726" s="23"/>
      <c r="O726" s="23"/>
      <c r="P726" s="23"/>
      <c r="Q726" s="23"/>
      <c r="R726" s="23"/>
    </row>
    <row r="727" spans="1:18" x14ac:dyDescent="0.2">
      <c r="A727" s="4">
        <v>30</v>
      </c>
      <c r="B727" s="4">
        <v>0</v>
      </c>
      <c r="C727" s="4">
        <v>39.049999999999997</v>
      </c>
      <c r="D727" s="4">
        <v>3</v>
      </c>
      <c r="E727" s="4">
        <v>1</v>
      </c>
      <c r="F727" s="4">
        <v>2</v>
      </c>
      <c r="G727" s="4">
        <v>40932.429499999998</v>
      </c>
      <c r="I727" s="23"/>
      <c r="J727" s="23"/>
      <c r="K727" s="23"/>
      <c r="L727" s="23"/>
      <c r="M727" s="23"/>
      <c r="N727" s="23"/>
      <c r="O727" s="23"/>
      <c r="P727" s="23"/>
      <c r="Q727" s="23"/>
      <c r="R727" s="23"/>
    </row>
    <row r="728" spans="1:18" x14ac:dyDescent="0.2">
      <c r="A728" s="4">
        <v>41</v>
      </c>
      <c r="B728" s="4">
        <v>1</v>
      </c>
      <c r="C728" s="4">
        <v>28.405000000000001</v>
      </c>
      <c r="D728" s="4">
        <v>1</v>
      </c>
      <c r="E728" s="4">
        <v>0</v>
      </c>
      <c r="F728" s="4">
        <v>3</v>
      </c>
      <c r="G728" s="4">
        <v>6664.68595</v>
      </c>
      <c r="I728" s="23"/>
      <c r="J728" s="23"/>
      <c r="K728" s="23"/>
      <c r="L728" s="23"/>
      <c r="M728" s="23"/>
      <c r="N728" s="23"/>
      <c r="O728" s="23"/>
      <c r="P728" s="23"/>
      <c r="Q728" s="23"/>
      <c r="R728" s="23"/>
    </row>
    <row r="729" spans="1:18" x14ac:dyDescent="0.2">
      <c r="A729" s="4">
        <v>29</v>
      </c>
      <c r="B729" s="4">
        <v>0</v>
      </c>
      <c r="C729" s="4">
        <v>21.754999999999999</v>
      </c>
      <c r="D729" s="4">
        <v>1</v>
      </c>
      <c r="E729" s="4">
        <v>1</v>
      </c>
      <c r="F729" s="4">
        <v>1</v>
      </c>
      <c r="G729" s="4">
        <v>16657.71745</v>
      </c>
      <c r="I729" s="23"/>
      <c r="J729" s="23"/>
      <c r="K729" s="23"/>
      <c r="L729" s="23"/>
      <c r="M729" s="23"/>
      <c r="N729" s="23"/>
      <c r="O729" s="23"/>
      <c r="P729" s="23"/>
      <c r="Q729" s="23"/>
      <c r="R729" s="23"/>
    </row>
    <row r="730" spans="1:18" x14ac:dyDescent="0.2">
      <c r="A730" s="4">
        <v>18</v>
      </c>
      <c r="B730" s="4">
        <v>0</v>
      </c>
      <c r="C730" s="4">
        <v>40.28</v>
      </c>
      <c r="D730" s="4">
        <v>0</v>
      </c>
      <c r="E730" s="4">
        <v>0</v>
      </c>
      <c r="F730" s="4">
        <v>1</v>
      </c>
      <c r="G730" s="4">
        <v>2217.6012000000001</v>
      </c>
      <c r="I730" s="23"/>
      <c r="J730" s="23"/>
      <c r="K730" s="23"/>
      <c r="L730" s="23"/>
      <c r="M730" s="23"/>
      <c r="N730" s="23"/>
      <c r="O730" s="23"/>
      <c r="P730" s="23"/>
      <c r="Q730" s="23"/>
      <c r="R730" s="23"/>
    </row>
    <row r="731" spans="1:18" x14ac:dyDescent="0.2">
      <c r="A731" s="4">
        <v>41</v>
      </c>
      <c r="B731" s="4">
        <v>0</v>
      </c>
      <c r="C731" s="4">
        <v>36.08</v>
      </c>
      <c r="D731" s="4">
        <v>1</v>
      </c>
      <c r="E731" s="4">
        <v>0</v>
      </c>
      <c r="F731" s="4">
        <v>2</v>
      </c>
      <c r="G731" s="4">
        <v>6781.3541999999998</v>
      </c>
      <c r="I731" s="23"/>
      <c r="J731" s="23"/>
      <c r="K731" s="23"/>
      <c r="L731" s="23"/>
      <c r="M731" s="23"/>
      <c r="N731" s="23"/>
      <c r="O731" s="23"/>
      <c r="P731" s="23"/>
      <c r="Q731" s="23"/>
      <c r="R731" s="23"/>
    </row>
    <row r="732" spans="1:18" x14ac:dyDescent="0.2">
      <c r="A732" s="4">
        <v>35</v>
      </c>
      <c r="B732" s="4">
        <v>1</v>
      </c>
      <c r="C732" s="4">
        <v>24.42</v>
      </c>
      <c r="D732" s="4">
        <v>3</v>
      </c>
      <c r="E732" s="4">
        <v>1</v>
      </c>
      <c r="F732" s="4">
        <v>2</v>
      </c>
      <c r="G732" s="4">
        <v>19361.998800000001</v>
      </c>
      <c r="I732" s="23"/>
      <c r="J732" s="23"/>
      <c r="K732" s="23"/>
      <c r="L732" s="23"/>
      <c r="M732" s="23"/>
      <c r="N732" s="23"/>
      <c r="O732" s="23"/>
      <c r="P732" s="23"/>
      <c r="Q732" s="23"/>
      <c r="R732" s="23"/>
    </row>
    <row r="733" spans="1:18" x14ac:dyDescent="0.2">
      <c r="A733" s="4">
        <v>53</v>
      </c>
      <c r="B733" s="4">
        <v>1</v>
      </c>
      <c r="C733" s="4">
        <v>21.4</v>
      </c>
      <c r="D733" s="4">
        <v>1</v>
      </c>
      <c r="E733" s="4">
        <v>0</v>
      </c>
      <c r="F733" s="4">
        <v>4</v>
      </c>
      <c r="G733" s="4">
        <v>10065.413</v>
      </c>
      <c r="I733" s="23"/>
      <c r="J733" s="23"/>
      <c r="K733" s="23"/>
      <c r="L733" s="23"/>
      <c r="M733" s="23"/>
      <c r="N733" s="23"/>
      <c r="O733" s="23"/>
      <c r="P733" s="23"/>
      <c r="Q733" s="23"/>
      <c r="R733" s="23"/>
    </row>
    <row r="734" spans="1:18" x14ac:dyDescent="0.2">
      <c r="A734" s="4">
        <v>24</v>
      </c>
      <c r="B734" s="4">
        <v>0</v>
      </c>
      <c r="C734" s="4">
        <v>30.1</v>
      </c>
      <c r="D734" s="4">
        <v>3</v>
      </c>
      <c r="E734" s="4">
        <v>0</v>
      </c>
      <c r="F734" s="4">
        <v>4</v>
      </c>
      <c r="G734" s="4">
        <v>4234.9269999999997</v>
      </c>
      <c r="I734" s="23"/>
      <c r="J734" s="23"/>
      <c r="K734" s="23"/>
      <c r="L734" s="23"/>
      <c r="M734" s="23"/>
      <c r="N734" s="23"/>
      <c r="O734" s="23"/>
      <c r="P734" s="23"/>
      <c r="Q734" s="23"/>
      <c r="R734" s="23"/>
    </row>
    <row r="735" spans="1:18" x14ac:dyDescent="0.2">
      <c r="A735" s="4">
        <v>48</v>
      </c>
      <c r="B735" s="4">
        <v>0</v>
      </c>
      <c r="C735" s="4">
        <v>27.265000000000001</v>
      </c>
      <c r="D735" s="4">
        <v>1</v>
      </c>
      <c r="E735" s="4">
        <v>0</v>
      </c>
      <c r="F735" s="4">
        <v>1</v>
      </c>
      <c r="G735" s="4">
        <v>9447.2503500000003</v>
      </c>
      <c r="I735" s="23"/>
      <c r="J735" s="23"/>
      <c r="K735" s="23"/>
      <c r="L735" s="23"/>
      <c r="M735" s="23"/>
      <c r="N735" s="23"/>
      <c r="O735" s="23"/>
      <c r="P735" s="23"/>
      <c r="Q735" s="23"/>
      <c r="R735" s="23"/>
    </row>
    <row r="736" spans="1:18" x14ac:dyDescent="0.2">
      <c r="A736" s="4">
        <v>59</v>
      </c>
      <c r="B736" s="4">
        <v>0</v>
      </c>
      <c r="C736" s="4">
        <v>32.1</v>
      </c>
      <c r="D736" s="4">
        <v>3</v>
      </c>
      <c r="E736" s="4">
        <v>0</v>
      </c>
      <c r="F736" s="4">
        <v>4</v>
      </c>
      <c r="G736" s="4">
        <v>14007.222</v>
      </c>
      <c r="I736" s="23"/>
      <c r="J736" s="23"/>
      <c r="K736" s="23"/>
      <c r="L736" s="23"/>
      <c r="M736" s="23"/>
      <c r="N736" s="23"/>
      <c r="O736" s="23"/>
      <c r="P736" s="23"/>
      <c r="Q736" s="23"/>
      <c r="R736" s="23"/>
    </row>
    <row r="737" spans="1:18" x14ac:dyDescent="0.2">
      <c r="A737" s="4">
        <v>49</v>
      </c>
      <c r="B737" s="4">
        <v>0</v>
      </c>
      <c r="C737" s="4">
        <v>34.770000000000003</v>
      </c>
      <c r="D737" s="4">
        <v>1</v>
      </c>
      <c r="E737" s="4">
        <v>0</v>
      </c>
      <c r="F737" s="4">
        <v>3</v>
      </c>
      <c r="G737" s="4">
        <v>9583.8932999999997</v>
      </c>
      <c r="I737" s="23"/>
      <c r="J737" s="23"/>
      <c r="K737" s="23"/>
      <c r="L737" s="23"/>
      <c r="M737" s="23"/>
      <c r="N737" s="23"/>
      <c r="O737" s="23"/>
      <c r="P737" s="23"/>
      <c r="Q737" s="23"/>
      <c r="R737" s="23"/>
    </row>
    <row r="738" spans="1:18" x14ac:dyDescent="0.2">
      <c r="A738" s="4">
        <v>37</v>
      </c>
      <c r="B738" s="4">
        <v>0</v>
      </c>
      <c r="C738" s="4">
        <v>38.39</v>
      </c>
      <c r="D738" s="4">
        <v>0</v>
      </c>
      <c r="E738" s="4">
        <v>1</v>
      </c>
      <c r="F738" s="4">
        <v>2</v>
      </c>
      <c r="G738" s="4">
        <v>40419.019099999998</v>
      </c>
      <c r="I738" s="23"/>
      <c r="J738" s="23"/>
      <c r="K738" s="23"/>
      <c r="L738" s="23"/>
      <c r="M738" s="23"/>
      <c r="N738" s="23"/>
      <c r="O738" s="23"/>
      <c r="P738" s="23"/>
      <c r="Q738" s="23"/>
      <c r="R738" s="23"/>
    </row>
    <row r="739" spans="1:18" x14ac:dyDescent="0.2">
      <c r="A739" s="4">
        <v>26</v>
      </c>
      <c r="B739" s="4">
        <v>1</v>
      </c>
      <c r="C739" s="4">
        <v>23.7</v>
      </c>
      <c r="D739" s="4">
        <v>2</v>
      </c>
      <c r="E739" s="4">
        <v>0</v>
      </c>
      <c r="F739" s="4">
        <v>4</v>
      </c>
      <c r="G739" s="4">
        <v>3484.3310000000001</v>
      </c>
      <c r="I739" s="23"/>
      <c r="J739" s="23"/>
      <c r="K739" s="23"/>
      <c r="L739" s="23"/>
      <c r="M739" s="23"/>
      <c r="N739" s="23"/>
      <c r="O739" s="23"/>
      <c r="P739" s="23"/>
      <c r="Q739" s="23"/>
      <c r="R739" s="23"/>
    </row>
    <row r="740" spans="1:18" x14ac:dyDescent="0.2">
      <c r="A740" s="4">
        <v>23</v>
      </c>
      <c r="B740" s="4">
        <v>1</v>
      </c>
      <c r="C740" s="4">
        <v>31.73</v>
      </c>
      <c r="D740" s="4">
        <v>3</v>
      </c>
      <c r="E740" s="4">
        <v>1</v>
      </c>
      <c r="F740" s="4">
        <v>1</v>
      </c>
      <c r="G740" s="4">
        <v>36189.101699999999</v>
      </c>
      <c r="I740" s="23"/>
      <c r="J740" s="23"/>
      <c r="K740" s="23"/>
      <c r="L740" s="23"/>
      <c r="M740" s="23"/>
      <c r="N740" s="23"/>
      <c r="O740" s="23"/>
      <c r="P740" s="23"/>
      <c r="Q740" s="23"/>
      <c r="R740" s="23"/>
    </row>
    <row r="741" spans="1:18" x14ac:dyDescent="0.2">
      <c r="A741" s="4">
        <v>29</v>
      </c>
      <c r="B741" s="4">
        <v>1</v>
      </c>
      <c r="C741" s="4">
        <v>35.5</v>
      </c>
      <c r="D741" s="4">
        <v>2</v>
      </c>
      <c r="E741" s="4">
        <v>1</v>
      </c>
      <c r="F741" s="4">
        <v>4</v>
      </c>
      <c r="G741" s="4">
        <v>44585.455869999998</v>
      </c>
      <c r="I741" s="23"/>
      <c r="J741" s="23"/>
      <c r="K741" s="23"/>
      <c r="L741" s="23"/>
      <c r="M741" s="23"/>
      <c r="N741" s="23"/>
      <c r="O741" s="23"/>
      <c r="P741" s="23"/>
      <c r="Q741" s="23"/>
      <c r="R741" s="23"/>
    </row>
    <row r="742" spans="1:18" x14ac:dyDescent="0.2">
      <c r="A742" s="4">
        <v>45</v>
      </c>
      <c r="B742" s="4">
        <v>1</v>
      </c>
      <c r="C742" s="4">
        <v>24.035</v>
      </c>
      <c r="D742" s="4">
        <v>2</v>
      </c>
      <c r="E742" s="4">
        <v>0</v>
      </c>
      <c r="F742" s="4">
        <v>1</v>
      </c>
      <c r="G742" s="4">
        <v>8604.4836500000001</v>
      </c>
      <c r="I742" s="23"/>
      <c r="J742" s="23"/>
      <c r="K742" s="23"/>
      <c r="L742" s="23"/>
      <c r="M742" s="23"/>
      <c r="N742" s="23"/>
      <c r="O742" s="23"/>
      <c r="P742" s="23"/>
      <c r="Q742" s="23"/>
      <c r="R742" s="23"/>
    </row>
    <row r="743" spans="1:18" x14ac:dyDescent="0.2">
      <c r="A743" s="4">
        <v>27</v>
      </c>
      <c r="B743" s="4">
        <v>1</v>
      </c>
      <c r="C743" s="4">
        <v>29.15</v>
      </c>
      <c r="D743" s="4">
        <v>0</v>
      </c>
      <c r="E743" s="4">
        <v>1</v>
      </c>
      <c r="F743" s="4">
        <v>2</v>
      </c>
      <c r="G743" s="4">
        <v>18246.495500000001</v>
      </c>
      <c r="I743" s="23"/>
      <c r="J743" s="23"/>
      <c r="K743" s="23"/>
      <c r="L743" s="23"/>
      <c r="M743" s="23"/>
      <c r="N743" s="23"/>
      <c r="O743" s="23"/>
      <c r="P743" s="23"/>
      <c r="Q743" s="23"/>
      <c r="R743" s="23"/>
    </row>
    <row r="744" spans="1:18" x14ac:dyDescent="0.2">
      <c r="A744" s="4">
        <v>53</v>
      </c>
      <c r="B744" s="4">
        <v>1</v>
      </c>
      <c r="C744" s="4">
        <v>34.104999999999997</v>
      </c>
      <c r="D744" s="4">
        <v>0</v>
      </c>
      <c r="E744" s="4">
        <v>1</v>
      </c>
      <c r="F744" s="4">
        <v>1</v>
      </c>
      <c r="G744" s="4">
        <v>43254.417950000003</v>
      </c>
      <c r="I744" s="23"/>
      <c r="J744" s="23"/>
      <c r="K744" s="23"/>
      <c r="L744" s="23"/>
      <c r="M744" s="23"/>
      <c r="N744" s="23"/>
      <c r="O744" s="23"/>
      <c r="P744" s="23"/>
      <c r="Q744" s="23"/>
      <c r="R744" s="23"/>
    </row>
    <row r="745" spans="1:18" x14ac:dyDescent="0.2">
      <c r="A745" s="4">
        <v>31</v>
      </c>
      <c r="B745" s="4">
        <v>0</v>
      </c>
      <c r="C745" s="4">
        <v>26.62</v>
      </c>
      <c r="D745" s="4">
        <v>0</v>
      </c>
      <c r="E745" s="4">
        <v>0</v>
      </c>
      <c r="F745" s="4">
        <v>2</v>
      </c>
      <c r="G745" s="4">
        <v>3757.8447999999999</v>
      </c>
      <c r="I745" s="23"/>
      <c r="J745" s="23"/>
      <c r="K745" s="23"/>
      <c r="L745" s="23"/>
      <c r="M745" s="23"/>
      <c r="N745" s="23"/>
      <c r="O745" s="23"/>
      <c r="P745" s="23"/>
      <c r="Q745" s="23"/>
      <c r="R745" s="23"/>
    </row>
    <row r="746" spans="1:18" x14ac:dyDescent="0.2">
      <c r="A746" s="4">
        <v>50</v>
      </c>
      <c r="B746" s="4">
        <v>1</v>
      </c>
      <c r="C746" s="4">
        <v>26.41</v>
      </c>
      <c r="D746" s="4">
        <v>0</v>
      </c>
      <c r="E746" s="4">
        <v>0</v>
      </c>
      <c r="F746" s="4">
        <v>3</v>
      </c>
      <c r="G746" s="4">
        <v>8827.2098999999998</v>
      </c>
      <c r="I746" s="23"/>
      <c r="J746" s="23"/>
      <c r="K746" s="23"/>
      <c r="L746" s="23"/>
      <c r="M746" s="23"/>
      <c r="N746" s="23"/>
      <c r="O746" s="23"/>
      <c r="P746" s="23"/>
      <c r="Q746" s="23"/>
      <c r="R746" s="23"/>
    </row>
    <row r="747" spans="1:18" x14ac:dyDescent="0.2">
      <c r="A747" s="4">
        <v>50</v>
      </c>
      <c r="B747" s="4">
        <v>0</v>
      </c>
      <c r="C747" s="4">
        <v>30.114999999999998</v>
      </c>
      <c r="D747" s="4">
        <v>1</v>
      </c>
      <c r="E747" s="4">
        <v>0</v>
      </c>
      <c r="F747" s="4">
        <v>3</v>
      </c>
      <c r="G747" s="4">
        <v>9910.3598500000007</v>
      </c>
      <c r="I747" s="23"/>
      <c r="J747" s="23"/>
      <c r="K747" s="23"/>
      <c r="L747" s="23"/>
      <c r="M747" s="23"/>
      <c r="N747" s="23"/>
      <c r="O747" s="23"/>
      <c r="P747" s="23"/>
      <c r="Q747" s="23"/>
      <c r="R747" s="23"/>
    </row>
    <row r="748" spans="1:18" x14ac:dyDescent="0.2">
      <c r="A748" s="4">
        <v>34</v>
      </c>
      <c r="B748" s="4">
        <v>1</v>
      </c>
      <c r="C748" s="4">
        <v>27</v>
      </c>
      <c r="D748" s="4">
        <v>2</v>
      </c>
      <c r="E748" s="4">
        <v>0</v>
      </c>
      <c r="F748" s="4">
        <v>4</v>
      </c>
      <c r="G748" s="4">
        <v>11737.848840000001</v>
      </c>
      <c r="I748" s="23"/>
      <c r="J748" s="23"/>
      <c r="K748" s="23"/>
      <c r="L748" s="23"/>
      <c r="M748" s="23"/>
      <c r="N748" s="23"/>
      <c r="O748" s="23"/>
      <c r="P748" s="23"/>
      <c r="Q748" s="23"/>
      <c r="R748" s="23"/>
    </row>
    <row r="749" spans="1:18" x14ac:dyDescent="0.2">
      <c r="A749" s="4">
        <v>19</v>
      </c>
      <c r="B749" s="4">
        <v>1</v>
      </c>
      <c r="C749" s="4">
        <v>21.754999999999999</v>
      </c>
      <c r="D749" s="4">
        <v>0</v>
      </c>
      <c r="E749" s="4">
        <v>0</v>
      </c>
      <c r="F749" s="4">
        <v>3</v>
      </c>
      <c r="G749" s="4">
        <v>1627.2824499999999</v>
      </c>
      <c r="I749" s="23"/>
      <c r="J749" s="23"/>
      <c r="K749" s="23"/>
      <c r="L749" s="23"/>
      <c r="M749" s="23"/>
      <c r="N749" s="23"/>
      <c r="O749" s="23"/>
      <c r="P749" s="23"/>
      <c r="Q749" s="23"/>
      <c r="R749" s="23"/>
    </row>
    <row r="750" spans="1:18" x14ac:dyDescent="0.2">
      <c r="A750" s="4">
        <v>47</v>
      </c>
      <c r="B750" s="4">
        <v>0</v>
      </c>
      <c r="C750" s="4">
        <v>36</v>
      </c>
      <c r="D750" s="4">
        <v>1</v>
      </c>
      <c r="E750" s="4">
        <v>0</v>
      </c>
      <c r="F750" s="4">
        <v>4</v>
      </c>
      <c r="G750" s="4">
        <v>8556.9069999999992</v>
      </c>
      <c r="I750" s="23"/>
      <c r="J750" s="23"/>
      <c r="K750" s="23"/>
      <c r="L750" s="23"/>
      <c r="M750" s="23"/>
      <c r="N750" s="23"/>
      <c r="O750" s="23"/>
      <c r="P750" s="23"/>
      <c r="Q750" s="23"/>
      <c r="R750" s="23"/>
    </row>
    <row r="751" spans="1:18" x14ac:dyDescent="0.2">
      <c r="A751" s="4">
        <v>28</v>
      </c>
      <c r="B751" s="4">
        <v>1</v>
      </c>
      <c r="C751" s="4">
        <v>30.875</v>
      </c>
      <c r="D751" s="4">
        <v>0</v>
      </c>
      <c r="E751" s="4">
        <v>0</v>
      </c>
      <c r="F751" s="4">
        <v>3</v>
      </c>
      <c r="G751" s="4">
        <v>3062.5082499999999</v>
      </c>
      <c r="I751" s="23"/>
      <c r="J751" s="23"/>
      <c r="K751" s="23"/>
      <c r="L751" s="23"/>
      <c r="M751" s="23"/>
      <c r="N751" s="23"/>
      <c r="O751" s="23"/>
      <c r="P751" s="23"/>
      <c r="Q751" s="23"/>
      <c r="R751" s="23"/>
    </row>
    <row r="752" spans="1:18" x14ac:dyDescent="0.2">
      <c r="A752" s="4">
        <v>37</v>
      </c>
      <c r="B752" s="4">
        <v>0</v>
      </c>
      <c r="C752" s="4">
        <v>26.4</v>
      </c>
      <c r="D752" s="4">
        <v>0</v>
      </c>
      <c r="E752" s="4">
        <v>1</v>
      </c>
      <c r="F752" s="4">
        <v>2</v>
      </c>
      <c r="G752" s="4">
        <v>19539.242999999999</v>
      </c>
      <c r="I752" s="23"/>
      <c r="J752" s="23"/>
      <c r="K752" s="23"/>
      <c r="L752" s="23"/>
      <c r="M752" s="23"/>
      <c r="N752" s="23"/>
      <c r="O752" s="23"/>
      <c r="P752" s="23"/>
      <c r="Q752" s="23"/>
      <c r="R752" s="23"/>
    </row>
    <row r="753" spans="1:18" x14ac:dyDescent="0.2">
      <c r="A753" s="4">
        <v>21</v>
      </c>
      <c r="B753" s="4">
        <v>1</v>
      </c>
      <c r="C753" s="4">
        <v>28.975000000000001</v>
      </c>
      <c r="D753" s="4">
        <v>0</v>
      </c>
      <c r="E753" s="4">
        <v>0</v>
      </c>
      <c r="F753" s="4">
        <v>3</v>
      </c>
      <c r="G753" s="4">
        <v>1906.35825</v>
      </c>
      <c r="I753" s="23"/>
      <c r="J753" s="23"/>
      <c r="K753" s="23"/>
      <c r="L753" s="23"/>
      <c r="M753" s="23"/>
      <c r="N753" s="23"/>
      <c r="O753" s="23"/>
      <c r="P753" s="23"/>
      <c r="Q753" s="23"/>
      <c r="R753" s="23"/>
    </row>
    <row r="754" spans="1:18" x14ac:dyDescent="0.2">
      <c r="A754" s="4">
        <v>64</v>
      </c>
      <c r="B754" s="4">
        <v>1</v>
      </c>
      <c r="C754" s="4">
        <v>37.905000000000001</v>
      </c>
      <c r="D754" s="4">
        <v>0</v>
      </c>
      <c r="E754" s="4">
        <v>0</v>
      </c>
      <c r="F754" s="4">
        <v>3</v>
      </c>
      <c r="G754" s="4">
        <v>14210.53595</v>
      </c>
      <c r="I754" s="23"/>
      <c r="J754" s="23"/>
      <c r="K754" s="23"/>
      <c r="L754" s="23"/>
      <c r="M754" s="23"/>
      <c r="N754" s="23"/>
      <c r="O754" s="23"/>
      <c r="P754" s="23"/>
      <c r="Q754" s="23"/>
      <c r="R754" s="23"/>
    </row>
    <row r="755" spans="1:18" x14ac:dyDescent="0.2">
      <c r="A755" s="4">
        <v>58</v>
      </c>
      <c r="B755" s="4">
        <v>0</v>
      </c>
      <c r="C755" s="4">
        <v>22.77</v>
      </c>
      <c r="D755" s="4">
        <v>0</v>
      </c>
      <c r="E755" s="4">
        <v>0</v>
      </c>
      <c r="F755" s="4">
        <v>2</v>
      </c>
      <c r="G755" s="4">
        <v>11833.782300000001</v>
      </c>
      <c r="I755" s="23"/>
      <c r="J755" s="23"/>
      <c r="K755" s="23"/>
      <c r="L755" s="23"/>
      <c r="M755" s="23"/>
      <c r="N755" s="23"/>
      <c r="O755" s="23"/>
      <c r="P755" s="23"/>
      <c r="Q755" s="23"/>
      <c r="R755" s="23"/>
    </row>
    <row r="756" spans="1:18" x14ac:dyDescent="0.2">
      <c r="A756" s="4">
        <v>24</v>
      </c>
      <c r="B756" s="4">
        <v>1</v>
      </c>
      <c r="C756" s="4">
        <v>33.630000000000003</v>
      </c>
      <c r="D756" s="4">
        <v>4</v>
      </c>
      <c r="E756" s="4">
        <v>0</v>
      </c>
      <c r="F756" s="4">
        <v>1</v>
      </c>
      <c r="G756" s="4">
        <v>17128.426080000001</v>
      </c>
      <c r="I756" s="23"/>
      <c r="J756" s="23"/>
      <c r="K756" s="23"/>
      <c r="L756" s="23"/>
      <c r="M756" s="23"/>
      <c r="N756" s="23"/>
      <c r="O756" s="23"/>
      <c r="P756" s="23"/>
      <c r="Q756" s="23"/>
      <c r="R756" s="23"/>
    </row>
    <row r="757" spans="1:18" x14ac:dyDescent="0.2">
      <c r="A757" s="4">
        <v>31</v>
      </c>
      <c r="B757" s="4">
        <v>1</v>
      </c>
      <c r="C757" s="4">
        <v>27.645</v>
      </c>
      <c r="D757" s="4">
        <v>2</v>
      </c>
      <c r="E757" s="4">
        <v>0</v>
      </c>
      <c r="F757" s="4">
        <v>1</v>
      </c>
      <c r="G757" s="4">
        <v>5031.26955</v>
      </c>
      <c r="I757" s="23"/>
      <c r="J757" s="23"/>
      <c r="K757" s="23"/>
      <c r="L757" s="23"/>
      <c r="M757" s="23"/>
      <c r="N757" s="23"/>
      <c r="O757" s="23"/>
      <c r="P757" s="23"/>
      <c r="Q757" s="23"/>
      <c r="R757" s="23"/>
    </row>
    <row r="758" spans="1:18" x14ac:dyDescent="0.2">
      <c r="A758" s="4">
        <v>39</v>
      </c>
      <c r="B758" s="4">
        <v>0</v>
      </c>
      <c r="C758" s="4">
        <v>22.8</v>
      </c>
      <c r="D758" s="4">
        <v>3</v>
      </c>
      <c r="E758" s="4">
        <v>0</v>
      </c>
      <c r="F758" s="4">
        <v>1</v>
      </c>
      <c r="G758" s="4">
        <v>7985.8149999999996</v>
      </c>
      <c r="I758" s="23"/>
      <c r="J758" s="23"/>
      <c r="K758" s="23"/>
      <c r="L758" s="23"/>
      <c r="M758" s="23"/>
      <c r="N758" s="23"/>
      <c r="O758" s="23"/>
      <c r="P758" s="23"/>
      <c r="Q758" s="23"/>
      <c r="R758" s="23"/>
    </row>
    <row r="759" spans="1:18" x14ac:dyDescent="0.2">
      <c r="A759" s="4">
        <v>47</v>
      </c>
      <c r="B759" s="4">
        <v>0</v>
      </c>
      <c r="C759" s="4">
        <v>27.83</v>
      </c>
      <c r="D759" s="4">
        <v>0</v>
      </c>
      <c r="E759" s="4">
        <v>1</v>
      </c>
      <c r="F759" s="4">
        <v>2</v>
      </c>
      <c r="G759" s="4">
        <v>23065.420699999999</v>
      </c>
      <c r="I759" s="23"/>
      <c r="J759" s="23"/>
      <c r="K759" s="23"/>
      <c r="L759" s="23"/>
      <c r="M759" s="23"/>
      <c r="N759" s="23"/>
      <c r="O759" s="23"/>
      <c r="P759" s="23"/>
      <c r="Q759" s="23"/>
      <c r="R759" s="23"/>
    </row>
    <row r="760" spans="1:18" x14ac:dyDescent="0.2">
      <c r="A760" s="4">
        <v>30</v>
      </c>
      <c r="B760" s="4">
        <v>1</v>
      </c>
      <c r="C760" s="4">
        <v>37.43</v>
      </c>
      <c r="D760" s="4">
        <v>3</v>
      </c>
      <c r="E760" s="4">
        <v>0</v>
      </c>
      <c r="F760" s="4">
        <v>1</v>
      </c>
      <c r="G760" s="4">
        <v>5428.7277000000004</v>
      </c>
      <c r="I760" s="23"/>
      <c r="J760" s="23"/>
      <c r="K760" s="23"/>
      <c r="L760" s="23"/>
      <c r="M760" s="23"/>
      <c r="N760" s="23"/>
      <c r="O760" s="23"/>
      <c r="P760" s="23"/>
      <c r="Q760" s="23"/>
      <c r="R760" s="23"/>
    </row>
    <row r="761" spans="1:18" x14ac:dyDescent="0.2">
      <c r="A761" s="4">
        <v>18</v>
      </c>
      <c r="B761" s="4">
        <v>1</v>
      </c>
      <c r="C761" s="4">
        <v>38.17</v>
      </c>
      <c r="D761" s="4">
        <v>0</v>
      </c>
      <c r="E761" s="4">
        <v>1</v>
      </c>
      <c r="F761" s="4">
        <v>2</v>
      </c>
      <c r="G761" s="4">
        <v>36307.798300000002</v>
      </c>
      <c r="I761" s="23"/>
      <c r="J761" s="23"/>
      <c r="K761" s="23"/>
      <c r="L761" s="23"/>
      <c r="M761" s="23"/>
      <c r="N761" s="23"/>
      <c r="O761" s="23"/>
      <c r="P761" s="23"/>
      <c r="Q761" s="23"/>
      <c r="R761" s="23"/>
    </row>
    <row r="762" spans="1:18" x14ac:dyDescent="0.2">
      <c r="A762" s="4">
        <v>22</v>
      </c>
      <c r="B762" s="4">
        <v>0</v>
      </c>
      <c r="C762" s="4">
        <v>34.58</v>
      </c>
      <c r="D762" s="4">
        <v>2</v>
      </c>
      <c r="E762" s="4">
        <v>0</v>
      </c>
      <c r="F762" s="4">
        <v>1</v>
      </c>
      <c r="G762" s="4">
        <v>3925.7582000000002</v>
      </c>
      <c r="I762" s="23"/>
      <c r="J762" s="23"/>
      <c r="K762" s="23"/>
      <c r="L762" s="23"/>
      <c r="M762" s="23"/>
      <c r="N762" s="23"/>
      <c r="O762" s="23"/>
      <c r="P762" s="23"/>
      <c r="Q762" s="23"/>
      <c r="R762" s="23"/>
    </row>
    <row r="763" spans="1:18" x14ac:dyDescent="0.2">
      <c r="A763" s="4">
        <v>23</v>
      </c>
      <c r="B763" s="4">
        <v>1</v>
      </c>
      <c r="C763" s="4">
        <v>35.200000000000003</v>
      </c>
      <c r="D763" s="4">
        <v>1</v>
      </c>
      <c r="E763" s="4">
        <v>0</v>
      </c>
      <c r="F763" s="4">
        <v>4</v>
      </c>
      <c r="G763" s="4">
        <v>2416.9549999999999</v>
      </c>
      <c r="I763" s="23"/>
      <c r="J763" s="23"/>
      <c r="K763" s="23"/>
      <c r="L763" s="23"/>
      <c r="M763" s="23"/>
      <c r="N763" s="23"/>
      <c r="O763" s="23"/>
      <c r="P763" s="23"/>
      <c r="Q763" s="23"/>
      <c r="R763" s="23"/>
    </row>
    <row r="764" spans="1:18" x14ac:dyDescent="0.2">
      <c r="A764" s="4">
        <v>33</v>
      </c>
      <c r="B764" s="4">
        <v>1</v>
      </c>
      <c r="C764" s="4">
        <v>27.1</v>
      </c>
      <c r="D764" s="4">
        <v>1</v>
      </c>
      <c r="E764" s="4">
        <v>1</v>
      </c>
      <c r="F764" s="4">
        <v>4</v>
      </c>
      <c r="G764" s="4">
        <v>19040.876</v>
      </c>
      <c r="I764" s="23"/>
      <c r="J764" s="23"/>
      <c r="K764" s="23"/>
      <c r="L764" s="23"/>
      <c r="M764" s="23"/>
      <c r="N764" s="23"/>
      <c r="O764" s="23"/>
      <c r="P764" s="23"/>
      <c r="Q764" s="23"/>
      <c r="R764" s="23"/>
    </row>
    <row r="765" spans="1:18" x14ac:dyDescent="0.2">
      <c r="A765" s="4">
        <v>27</v>
      </c>
      <c r="B765" s="4">
        <v>1</v>
      </c>
      <c r="C765" s="4">
        <v>26.03</v>
      </c>
      <c r="D765" s="4">
        <v>0</v>
      </c>
      <c r="E765" s="4">
        <v>0</v>
      </c>
      <c r="F765" s="4">
        <v>1</v>
      </c>
      <c r="G765" s="4">
        <v>3070.8087</v>
      </c>
      <c r="I765" s="23"/>
      <c r="J765" s="23"/>
      <c r="K765" s="23"/>
      <c r="L765" s="23"/>
      <c r="M765" s="23"/>
      <c r="N765" s="23"/>
      <c r="O765" s="23"/>
      <c r="P765" s="23"/>
      <c r="Q765" s="23"/>
      <c r="R765" s="23"/>
    </row>
    <row r="766" spans="1:18" x14ac:dyDescent="0.2">
      <c r="A766" s="4">
        <v>45</v>
      </c>
      <c r="B766" s="4">
        <v>0</v>
      </c>
      <c r="C766" s="4">
        <v>25.175000000000001</v>
      </c>
      <c r="D766" s="4">
        <v>2</v>
      </c>
      <c r="E766" s="4">
        <v>0</v>
      </c>
      <c r="F766" s="4">
        <v>1</v>
      </c>
      <c r="G766" s="4">
        <v>9095.0682500000003</v>
      </c>
      <c r="I766" s="23"/>
      <c r="J766" s="23"/>
      <c r="K766" s="23"/>
      <c r="L766" s="23"/>
      <c r="M766" s="23"/>
      <c r="N766" s="23"/>
      <c r="O766" s="23"/>
      <c r="P766" s="23"/>
      <c r="Q766" s="23"/>
      <c r="R766" s="23"/>
    </row>
    <row r="767" spans="1:18" x14ac:dyDescent="0.2">
      <c r="A767" s="4">
        <v>57</v>
      </c>
      <c r="B767" s="4">
        <v>0</v>
      </c>
      <c r="C767" s="4">
        <v>31.824999999999999</v>
      </c>
      <c r="D767" s="4">
        <v>0</v>
      </c>
      <c r="E767" s="4">
        <v>0</v>
      </c>
      <c r="F767" s="4">
        <v>3</v>
      </c>
      <c r="G767" s="4">
        <v>11842.623750000001</v>
      </c>
      <c r="I767" s="23"/>
      <c r="J767" s="23"/>
      <c r="K767" s="23"/>
      <c r="L767" s="23"/>
      <c r="M767" s="23"/>
      <c r="N767" s="23"/>
      <c r="O767" s="23"/>
      <c r="P767" s="23"/>
      <c r="Q767" s="23"/>
      <c r="R767" s="23"/>
    </row>
    <row r="768" spans="1:18" x14ac:dyDescent="0.2">
      <c r="A768" s="4">
        <v>47</v>
      </c>
      <c r="B768" s="4">
        <v>1</v>
      </c>
      <c r="C768" s="4">
        <v>32.299999999999997</v>
      </c>
      <c r="D768" s="4">
        <v>1</v>
      </c>
      <c r="E768" s="4">
        <v>0</v>
      </c>
      <c r="F768" s="4">
        <v>4</v>
      </c>
      <c r="G768" s="4">
        <v>8062.7640000000001</v>
      </c>
      <c r="I768" s="23"/>
      <c r="J768" s="23"/>
      <c r="K768" s="23"/>
      <c r="L768" s="23"/>
      <c r="M768" s="23"/>
      <c r="N768" s="23"/>
      <c r="O768" s="23"/>
      <c r="P768" s="23"/>
      <c r="Q768" s="23"/>
      <c r="R768" s="23"/>
    </row>
    <row r="769" spans="1:18" x14ac:dyDescent="0.2">
      <c r="A769" s="4">
        <v>42</v>
      </c>
      <c r="B769" s="4">
        <v>0</v>
      </c>
      <c r="C769" s="4">
        <v>29</v>
      </c>
      <c r="D769" s="4">
        <v>1</v>
      </c>
      <c r="E769" s="4">
        <v>0</v>
      </c>
      <c r="F769" s="4">
        <v>4</v>
      </c>
      <c r="G769" s="4">
        <v>7050.6419999999998</v>
      </c>
      <c r="I769" s="23"/>
      <c r="J769" s="23"/>
      <c r="K769" s="23"/>
      <c r="L769" s="23"/>
      <c r="M769" s="23"/>
      <c r="N769" s="23"/>
      <c r="O769" s="23"/>
      <c r="P769" s="23"/>
      <c r="Q769" s="23"/>
      <c r="R769" s="23"/>
    </row>
    <row r="770" spans="1:18" x14ac:dyDescent="0.2">
      <c r="A770" s="4">
        <v>64</v>
      </c>
      <c r="B770" s="4">
        <v>0</v>
      </c>
      <c r="C770" s="4">
        <v>39.700000000000003</v>
      </c>
      <c r="D770" s="4">
        <v>0</v>
      </c>
      <c r="E770" s="4">
        <v>0</v>
      </c>
      <c r="F770" s="4">
        <v>4</v>
      </c>
      <c r="G770" s="4">
        <v>14319.031000000001</v>
      </c>
      <c r="I770" s="23"/>
      <c r="J770" s="23"/>
      <c r="K770" s="23"/>
      <c r="L770" s="23"/>
      <c r="M770" s="23"/>
      <c r="N770" s="23"/>
      <c r="O770" s="23"/>
      <c r="P770" s="23"/>
      <c r="Q770" s="23"/>
      <c r="R770" s="23"/>
    </row>
    <row r="771" spans="1:18" x14ac:dyDescent="0.2">
      <c r="A771" s="4">
        <v>38</v>
      </c>
      <c r="B771" s="4">
        <v>0</v>
      </c>
      <c r="C771" s="4">
        <v>19.475000000000001</v>
      </c>
      <c r="D771" s="4">
        <v>2</v>
      </c>
      <c r="E771" s="4">
        <v>0</v>
      </c>
      <c r="F771" s="4">
        <v>3</v>
      </c>
      <c r="G771" s="4">
        <v>6933.2422500000002</v>
      </c>
      <c r="I771" s="23"/>
      <c r="J771" s="23"/>
      <c r="K771" s="23"/>
      <c r="L771" s="23"/>
      <c r="M771" s="23"/>
      <c r="N771" s="23"/>
      <c r="O771" s="23"/>
      <c r="P771" s="23"/>
      <c r="Q771" s="23"/>
      <c r="R771" s="23"/>
    </row>
    <row r="772" spans="1:18" x14ac:dyDescent="0.2">
      <c r="A772" s="4">
        <v>61</v>
      </c>
      <c r="B772" s="4">
        <v>1</v>
      </c>
      <c r="C772" s="4">
        <v>36.1</v>
      </c>
      <c r="D772" s="4">
        <v>3</v>
      </c>
      <c r="E772" s="4">
        <v>0</v>
      </c>
      <c r="F772" s="4">
        <v>4</v>
      </c>
      <c r="G772" s="4">
        <v>27941.28758</v>
      </c>
      <c r="I772" s="23"/>
      <c r="J772" s="23"/>
      <c r="K772" s="23"/>
      <c r="L772" s="23"/>
      <c r="M772" s="23"/>
      <c r="N772" s="23"/>
      <c r="O772" s="23"/>
      <c r="P772" s="23"/>
      <c r="Q772" s="23"/>
      <c r="R772" s="23"/>
    </row>
    <row r="773" spans="1:18" x14ac:dyDescent="0.2">
      <c r="A773" s="4">
        <v>53</v>
      </c>
      <c r="B773" s="4">
        <v>0</v>
      </c>
      <c r="C773" s="4">
        <v>26.7</v>
      </c>
      <c r="D773" s="4">
        <v>2</v>
      </c>
      <c r="E773" s="4">
        <v>0</v>
      </c>
      <c r="F773" s="4">
        <v>4</v>
      </c>
      <c r="G773" s="4">
        <v>11150.78</v>
      </c>
      <c r="I773" s="23"/>
      <c r="J773" s="23"/>
      <c r="K773" s="23"/>
      <c r="L773" s="23"/>
      <c r="M773" s="23"/>
      <c r="N773" s="23"/>
      <c r="O773" s="23"/>
      <c r="P773" s="23"/>
      <c r="Q773" s="23"/>
      <c r="R773" s="23"/>
    </row>
    <row r="774" spans="1:18" x14ac:dyDescent="0.2">
      <c r="A774" s="4">
        <v>44</v>
      </c>
      <c r="B774" s="4">
        <v>0</v>
      </c>
      <c r="C774" s="4">
        <v>36.479999999999997</v>
      </c>
      <c r="D774" s="4">
        <v>0</v>
      </c>
      <c r="E774" s="4">
        <v>0</v>
      </c>
      <c r="F774" s="4">
        <v>1</v>
      </c>
      <c r="G774" s="4">
        <v>12797.20962</v>
      </c>
      <c r="I774" s="23"/>
      <c r="J774" s="23"/>
      <c r="K774" s="23"/>
      <c r="L774" s="23"/>
      <c r="M774" s="23"/>
      <c r="N774" s="23"/>
      <c r="O774" s="23"/>
      <c r="P774" s="23"/>
      <c r="Q774" s="23"/>
      <c r="R774" s="23"/>
    </row>
    <row r="775" spans="1:18" x14ac:dyDescent="0.2">
      <c r="A775" s="4">
        <v>19</v>
      </c>
      <c r="B775" s="4">
        <v>0</v>
      </c>
      <c r="C775" s="4">
        <v>28.88</v>
      </c>
      <c r="D775" s="4">
        <v>0</v>
      </c>
      <c r="E775" s="4">
        <v>1</v>
      </c>
      <c r="F775" s="4">
        <v>3</v>
      </c>
      <c r="G775" s="4">
        <v>17748.5062</v>
      </c>
      <c r="I775" s="23"/>
      <c r="J775" s="23"/>
      <c r="K775" s="23"/>
      <c r="L775" s="23"/>
      <c r="M775" s="23"/>
      <c r="N775" s="23"/>
      <c r="O775" s="23"/>
      <c r="P775" s="23"/>
      <c r="Q775" s="23"/>
      <c r="R775" s="23"/>
    </row>
    <row r="776" spans="1:18" x14ac:dyDescent="0.2">
      <c r="A776" s="4">
        <v>41</v>
      </c>
      <c r="B776" s="4">
        <v>1</v>
      </c>
      <c r="C776" s="4">
        <v>34.200000000000003</v>
      </c>
      <c r="D776" s="4">
        <v>2</v>
      </c>
      <c r="E776" s="4">
        <v>0</v>
      </c>
      <c r="F776" s="4">
        <v>3</v>
      </c>
      <c r="G776" s="4">
        <v>7261.741</v>
      </c>
      <c r="I776" s="23"/>
      <c r="J776" s="23"/>
      <c r="K776" s="23"/>
      <c r="L776" s="23"/>
      <c r="M776" s="23"/>
      <c r="N776" s="23"/>
      <c r="O776" s="23"/>
      <c r="P776" s="23"/>
      <c r="Q776" s="23"/>
      <c r="R776" s="23"/>
    </row>
    <row r="777" spans="1:18" x14ac:dyDescent="0.2">
      <c r="A777" s="4">
        <v>51</v>
      </c>
      <c r="B777" s="4">
        <v>1</v>
      </c>
      <c r="C777" s="4">
        <v>33.33</v>
      </c>
      <c r="D777" s="4">
        <v>3</v>
      </c>
      <c r="E777" s="4">
        <v>0</v>
      </c>
      <c r="F777" s="4">
        <v>2</v>
      </c>
      <c r="G777" s="4">
        <v>10560.4917</v>
      </c>
      <c r="I777" s="23"/>
      <c r="J777" s="23"/>
      <c r="K777" s="23"/>
      <c r="L777" s="23"/>
      <c r="M777" s="23"/>
      <c r="N777" s="23"/>
      <c r="O777" s="23"/>
      <c r="P777" s="23"/>
      <c r="Q777" s="23"/>
      <c r="R777" s="23"/>
    </row>
    <row r="778" spans="1:18" x14ac:dyDescent="0.2">
      <c r="A778" s="4">
        <v>40</v>
      </c>
      <c r="B778" s="4">
        <v>1</v>
      </c>
      <c r="C778" s="4">
        <v>32.299999999999997</v>
      </c>
      <c r="D778" s="4">
        <v>2</v>
      </c>
      <c r="E778" s="4">
        <v>0</v>
      </c>
      <c r="F778" s="4">
        <v>3</v>
      </c>
      <c r="G778" s="4">
        <v>6986.6970000000001</v>
      </c>
      <c r="I778" s="23"/>
      <c r="J778" s="23"/>
      <c r="K778" s="23"/>
      <c r="L778" s="23"/>
      <c r="M778" s="23"/>
      <c r="N778" s="23"/>
      <c r="O778" s="23"/>
      <c r="P778" s="23"/>
      <c r="Q778" s="23"/>
      <c r="R778" s="23"/>
    </row>
    <row r="779" spans="1:18" x14ac:dyDescent="0.2">
      <c r="A779" s="4">
        <v>45</v>
      </c>
      <c r="B779" s="4">
        <v>1</v>
      </c>
      <c r="C779" s="4">
        <v>39.805</v>
      </c>
      <c r="D779" s="4">
        <v>0</v>
      </c>
      <c r="E779" s="4">
        <v>0</v>
      </c>
      <c r="F779" s="4">
        <v>1</v>
      </c>
      <c r="G779" s="4">
        <v>7448.4039499999999</v>
      </c>
      <c r="I779" s="23"/>
      <c r="J779" s="23"/>
      <c r="K779" s="23"/>
      <c r="L779" s="23"/>
      <c r="M779" s="23"/>
      <c r="N779" s="23"/>
      <c r="O779" s="23"/>
      <c r="P779" s="23"/>
      <c r="Q779" s="23"/>
      <c r="R779" s="23"/>
    </row>
    <row r="780" spans="1:18" x14ac:dyDescent="0.2">
      <c r="A780" s="4">
        <v>35</v>
      </c>
      <c r="B780" s="4">
        <v>1</v>
      </c>
      <c r="C780" s="4">
        <v>34.32</v>
      </c>
      <c r="D780" s="4">
        <v>3</v>
      </c>
      <c r="E780" s="4">
        <v>0</v>
      </c>
      <c r="F780" s="4">
        <v>2</v>
      </c>
      <c r="G780" s="4">
        <v>5934.3797999999997</v>
      </c>
      <c r="I780" s="23"/>
      <c r="J780" s="23"/>
      <c r="K780" s="23"/>
      <c r="L780" s="23"/>
      <c r="M780" s="23"/>
      <c r="N780" s="23"/>
      <c r="O780" s="23"/>
      <c r="P780" s="23"/>
      <c r="Q780" s="23"/>
      <c r="R780" s="23"/>
    </row>
    <row r="781" spans="1:18" x14ac:dyDescent="0.2">
      <c r="A781" s="4">
        <v>53</v>
      </c>
      <c r="B781" s="4">
        <v>1</v>
      </c>
      <c r="C781" s="4">
        <v>28.88</v>
      </c>
      <c r="D781" s="4">
        <v>0</v>
      </c>
      <c r="E781" s="4">
        <v>0</v>
      </c>
      <c r="F781" s="4">
        <v>3</v>
      </c>
      <c r="G781" s="4">
        <v>9869.8101999999999</v>
      </c>
      <c r="I781" s="23"/>
      <c r="J781" s="23"/>
      <c r="K781" s="23"/>
      <c r="L781" s="23"/>
      <c r="M781" s="23"/>
      <c r="N781" s="23"/>
      <c r="O781" s="23"/>
      <c r="P781" s="23"/>
      <c r="Q781" s="23"/>
      <c r="R781" s="23"/>
    </row>
    <row r="782" spans="1:18" x14ac:dyDescent="0.2">
      <c r="A782" s="4">
        <v>30</v>
      </c>
      <c r="B782" s="4">
        <v>1</v>
      </c>
      <c r="C782" s="4">
        <v>24.4</v>
      </c>
      <c r="D782" s="4">
        <v>3</v>
      </c>
      <c r="E782" s="4">
        <v>1</v>
      </c>
      <c r="F782" s="4">
        <v>4</v>
      </c>
      <c r="G782" s="4">
        <v>18259.216</v>
      </c>
      <c r="I782" s="23"/>
      <c r="J782" s="23"/>
      <c r="K782" s="23"/>
      <c r="L782" s="23"/>
      <c r="M782" s="23"/>
      <c r="N782" s="23"/>
      <c r="O782" s="23"/>
      <c r="P782" s="23"/>
      <c r="Q782" s="23"/>
      <c r="R782" s="23"/>
    </row>
    <row r="783" spans="1:18" x14ac:dyDescent="0.2">
      <c r="A783" s="4">
        <v>18</v>
      </c>
      <c r="B783" s="4">
        <v>1</v>
      </c>
      <c r="C783" s="4">
        <v>41.14</v>
      </c>
      <c r="D783" s="4">
        <v>0</v>
      </c>
      <c r="E783" s="4">
        <v>0</v>
      </c>
      <c r="F783" s="4">
        <v>2</v>
      </c>
      <c r="G783" s="4">
        <v>1146.7965999999999</v>
      </c>
      <c r="I783" s="23"/>
      <c r="J783" s="23"/>
      <c r="K783" s="23"/>
      <c r="L783" s="23"/>
      <c r="M783" s="23"/>
      <c r="N783" s="23"/>
      <c r="O783" s="23"/>
      <c r="P783" s="23"/>
      <c r="Q783" s="23"/>
      <c r="R783" s="23"/>
    </row>
    <row r="784" spans="1:18" x14ac:dyDescent="0.2">
      <c r="A784" s="4">
        <v>51</v>
      </c>
      <c r="B784" s="4">
        <v>1</v>
      </c>
      <c r="C784" s="4">
        <v>35.97</v>
      </c>
      <c r="D784" s="4">
        <v>1</v>
      </c>
      <c r="E784" s="4">
        <v>0</v>
      </c>
      <c r="F784" s="4">
        <v>2</v>
      </c>
      <c r="G784" s="4">
        <v>9386.1612999999998</v>
      </c>
      <c r="I784" s="23"/>
      <c r="J784" s="23"/>
      <c r="K784" s="23"/>
      <c r="L784" s="23"/>
      <c r="M784" s="23"/>
      <c r="N784" s="23"/>
      <c r="O784" s="23"/>
      <c r="P784" s="23"/>
      <c r="Q784" s="23"/>
      <c r="R784" s="23"/>
    </row>
    <row r="785" spans="1:18" x14ac:dyDescent="0.2">
      <c r="A785" s="4">
        <v>50</v>
      </c>
      <c r="B785" s="4">
        <v>0</v>
      </c>
      <c r="C785" s="4">
        <v>27.6</v>
      </c>
      <c r="D785" s="4">
        <v>1</v>
      </c>
      <c r="E785" s="4">
        <v>1</v>
      </c>
      <c r="F785" s="4">
        <v>4</v>
      </c>
      <c r="G785" s="4">
        <v>24520.263999999999</v>
      </c>
      <c r="I785" s="23"/>
      <c r="J785" s="23"/>
      <c r="K785" s="23"/>
      <c r="L785" s="23"/>
      <c r="M785" s="23"/>
      <c r="N785" s="23"/>
      <c r="O785" s="23"/>
      <c r="P785" s="23"/>
      <c r="Q785" s="23"/>
      <c r="R785" s="23"/>
    </row>
    <row r="786" spans="1:18" x14ac:dyDescent="0.2">
      <c r="A786" s="4">
        <v>31</v>
      </c>
      <c r="B786" s="4">
        <v>0</v>
      </c>
      <c r="C786" s="4">
        <v>29.26</v>
      </c>
      <c r="D786" s="4">
        <v>1</v>
      </c>
      <c r="E786" s="4">
        <v>0</v>
      </c>
      <c r="F786" s="4">
        <v>2</v>
      </c>
      <c r="G786" s="4">
        <v>4350.5144</v>
      </c>
      <c r="I786" s="23"/>
      <c r="J786" s="23"/>
      <c r="K786" s="23"/>
      <c r="L786" s="23"/>
      <c r="M786" s="23"/>
      <c r="N786" s="23"/>
      <c r="O786" s="23"/>
      <c r="P786" s="23"/>
      <c r="Q786" s="23"/>
      <c r="R786" s="23"/>
    </row>
    <row r="787" spans="1:18" x14ac:dyDescent="0.2">
      <c r="A787" s="4">
        <v>35</v>
      </c>
      <c r="B787" s="4">
        <v>0</v>
      </c>
      <c r="C787" s="4">
        <v>27.7</v>
      </c>
      <c r="D787" s="4">
        <v>3</v>
      </c>
      <c r="E787" s="4">
        <v>0</v>
      </c>
      <c r="F787" s="4">
        <v>4</v>
      </c>
      <c r="G787" s="4">
        <v>6414.1779999999999</v>
      </c>
      <c r="I787" s="23"/>
      <c r="J787" s="23"/>
      <c r="K787" s="23"/>
      <c r="L787" s="23"/>
      <c r="M787" s="23"/>
      <c r="N787" s="23"/>
      <c r="O787" s="23"/>
      <c r="P787" s="23"/>
      <c r="Q787" s="23"/>
      <c r="R787" s="23"/>
    </row>
    <row r="788" spans="1:18" x14ac:dyDescent="0.2">
      <c r="A788" s="4">
        <v>60</v>
      </c>
      <c r="B788" s="4">
        <v>1</v>
      </c>
      <c r="C788" s="4">
        <v>36.954999999999998</v>
      </c>
      <c r="D788" s="4">
        <v>0</v>
      </c>
      <c r="E788" s="4">
        <v>0</v>
      </c>
      <c r="F788" s="4">
        <v>1</v>
      </c>
      <c r="G788" s="4">
        <v>12741.167450000001</v>
      </c>
      <c r="I788" s="23"/>
      <c r="J788" s="23"/>
      <c r="K788" s="23"/>
      <c r="L788" s="23"/>
      <c r="M788" s="23"/>
      <c r="N788" s="23"/>
      <c r="O788" s="23"/>
      <c r="P788" s="23"/>
      <c r="Q788" s="23"/>
      <c r="R788" s="23"/>
    </row>
    <row r="789" spans="1:18" x14ac:dyDescent="0.2">
      <c r="A789" s="4">
        <v>21</v>
      </c>
      <c r="B789" s="4">
        <v>1</v>
      </c>
      <c r="C789" s="4">
        <v>36.86</v>
      </c>
      <c r="D789" s="4">
        <v>0</v>
      </c>
      <c r="E789" s="4">
        <v>0</v>
      </c>
      <c r="F789" s="4">
        <v>3</v>
      </c>
      <c r="G789" s="4">
        <v>1917.3184000000001</v>
      </c>
      <c r="I789" s="23"/>
      <c r="J789" s="23"/>
      <c r="K789" s="23"/>
      <c r="L789" s="23"/>
      <c r="M789" s="23"/>
      <c r="N789" s="23"/>
      <c r="O789" s="23"/>
      <c r="P789" s="23"/>
      <c r="Q789" s="23"/>
      <c r="R789" s="23"/>
    </row>
    <row r="790" spans="1:18" x14ac:dyDescent="0.2">
      <c r="A790" s="4">
        <v>29</v>
      </c>
      <c r="B790" s="4">
        <v>1</v>
      </c>
      <c r="C790" s="4">
        <v>22.515000000000001</v>
      </c>
      <c r="D790" s="4">
        <v>3</v>
      </c>
      <c r="E790" s="4">
        <v>0</v>
      </c>
      <c r="F790" s="4">
        <v>1</v>
      </c>
      <c r="G790" s="4">
        <v>5209.5788499999999</v>
      </c>
      <c r="I790" s="23"/>
      <c r="J790" s="23"/>
      <c r="K790" s="23"/>
      <c r="L790" s="23"/>
      <c r="M790" s="23"/>
      <c r="N790" s="23"/>
      <c r="O790" s="23"/>
      <c r="P790" s="23"/>
      <c r="Q790" s="23"/>
      <c r="R790" s="23"/>
    </row>
    <row r="791" spans="1:18" x14ac:dyDescent="0.2">
      <c r="A791" s="4">
        <v>62</v>
      </c>
      <c r="B791" s="4">
        <v>0</v>
      </c>
      <c r="C791" s="4">
        <v>29.92</v>
      </c>
      <c r="D791" s="4">
        <v>0</v>
      </c>
      <c r="E791" s="4">
        <v>0</v>
      </c>
      <c r="F791" s="4">
        <v>2</v>
      </c>
      <c r="G791" s="4">
        <v>13457.960800000001</v>
      </c>
      <c r="I791" s="23"/>
      <c r="J791" s="23"/>
      <c r="K791" s="23"/>
      <c r="L791" s="23"/>
      <c r="M791" s="23"/>
      <c r="N791" s="23"/>
      <c r="O791" s="23"/>
      <c r="P791" s="23"/>
      <c r="Q791" s="23"/>
      <c r="R791" s="23"/>
    </row>
    <row r="792" spans="1:18" x14ac:dyDescent="0.2">
      <c r="A792" s="4">
        <v>39</v>
      </c>
      <c r="B792" s="4">
        <v>0</v>
      </c>
      <c r="C792" s="4">
        <v>41.8</v>
      </c>
      <c r="D792" s="4">
        <v>0</v>
      </c>
      <c r="E792" s="4">
        <v>0</v>
      </c>
      <c r="F792" s="4">
        <v>2</v>
      </c>
      <c r="G792" s="4">
        <v>5662.2250000000004</v>
      </c>
      <c r="I792" s="23"/>
      <c r="J792" s="23"/>
      <c r="K792" s="23"/>
      <c r="L792" s="23"/>
      <c r="M792" s="23"/>
      <c r="N792" s="23"/>
      <c r="O792" s="23"/>
      <c r="P792" s="23"/>
      <c r="Q792" s="23"/>
      <c r="R792" s="23"/>
    </row>
    <row r="793" spans="1:18" x14ac:dyDescent="0.2">
      <c r="A793" s="4">
        <v>19</v>
      </c>
      <c r="B793" s="4">
        <v>1</v>
      </c>
      <c r="C793" s="4">
        <v>27.6</v>
      </c>
      <c r="D793" s="4">
        <v>0</v>
      </c>
      <c r="E793" s="4">
        <v>0</v>
      </c>
      <c r="F793" s="4">
        <v>4</v>
      </c>
      <c r="G793" s="4">
        <v>1252.4069999999999</v>
      </c>
      <c r="I793" s="23"/>
      <c r="J793" s="23"/>
      <c r="K793" s="23"/>
      <c r="L793" s="23"/>
      <c r="M793" s="23"/>
      <c r="N793" s="23"/>
      <c r="O793" s="23"/>
      <c r="P793" s="23"/>
      <c r="Q793" s="23"/>
      <c r="R793" s="23"/>
    </row>
    <row r="794" spans="1:18" x14ac:dyDescent="0.2">
      <c r="A794" s="4">
        <v>22</v>
      </c>
      <c r="B794" s="4">
        <v>0</v>
      </c>
      <c r="C794" s="4">
        <v>23.18</v>
      </c>
      <c r="D794" s="4">
        <v>0</v>
      </c>
      <c r="E794" s="4">
        <v>0</v>
      </c>
      <c r="F794" s="4">
        <v>1</v>
      </c>
      <c r="G794" s="4">
        <v>2731.9122000000002</v>
      </c>
      <c r="I794" s="23"/>
      <c r="J794" s="23"/>
      <c r="K794" s="23"/>
      <c r="L794" s="23"/>
      <c r="M794" s="23"/>
      <c r="N794" s="23"/>
      <c r="O794" s="23"/>
      <c r="P794" s="23"/>
      <c r="Q794" s="23"/>
      <c r="R794" s="23"/>
    </row>
    <row r="795" spans="1:18" x14ac:dyDescent="0.2">
      <c r="A795" s="4">
        <v>53</v>
      </c>
      <c r="B795" s="4">
        <v>1</v>
      </c>
      <c r="C795" s="4">
        <v>20.9</v>
      </c>
      <c r="D795" s="4">
        <v>0</v>
      </c>
      <c r="E795" s="4">
        <v>1</v>
      </c>
      <c r="F795" s="4">
        <v>2</v>
      </c>
      <c r="G795" s="4">
        <v>21195.817999999999</v>
      </c>
      <c r="I795" s="23"/>
      <c r="J795" s="23"/>
      <c r="K795" s="23"/>
      <c r="L795" s="23"/>
      <c r="M795" s="23"/>
      <c r="N795" s="23"/>
      <c r="O795" s="23"/>
      <c r="P795" s="23"/>
      <c r="Q795" s="23"/>
      <c r="R795" s="23"/>
    </row>
    <row r="796" spans="1:18" x14ac:dyDescent="0.2">
      <c r="A796" s="4">
        <v>39</v>
      </c>
      <c r="B796" s="4">
        <v>0</v>
      </c>
      <c r="C796" s="4">
        <v>31.92</v>
      </c>
      <c r="D796" s="4">
        <v>2</v>
      </c>
      <c r="E796" s="4">
        <v>0</v>
      </c>
      <c r="F796" s="4">
        <v>3</v>
      </c>
      <c r="G796" s="4">
        <v>7209.4917999999998</v>
      </c>
      <c r="I796" s="23"/>
      <c r="J796" s="23"/>
      <c r="K796" s="23"/>
      <c r="L796" s="23"/>
      <c r="M796" s="23"/>
      <c r="N796" s="23"/>
      <c r="O796" s="23"/>
      <c r="P796" s="23"/>
      <c r="Q796" s="23"/>
      <c r="R796" s="23"/>
    </row>
    <row r="797" spans="1:18" x14ac:dyDescent="0.2">
      <c r="A797" s="4">
        <v>27</v>
      </c>
      <c r="B797" s="4">
        <v>1</v>
      </c>
      <c r="C797" s="4">
        <v>28.5</v>
      </c>
      <c r="D797" s="4">
        <v>0</v>
      </c>
      <c r="E797" s="4">
        <v>1</v>
      </c>
      <c r="F797" s="4">
        <v>3</v>
      </c>
      <c r="G797" s="4">
        <v>18310.741999999998</v>
      </c>
      <c r="I797" s="23"/>
      <c r="J797" s="23"/>
      <c r="K797" s="23"/>
      <c r="L797" s="23"/>
      <c r="M797" s="23"/>
      <c r="N797" s="23"/>
      <c r="O797" s="23"/>
      <c r="P797" s="23"/>
      <c r="Q797" s="23"/>
      <c r="R797" s="23"/>
    </row>
    <row r="798" spans="1:18" x14ac:dyDescent="0.2">
      <c r="A798" s="4">
        <v>30</v>
      </c>
      <c r="B798" s="4">
        <v>1</v>
      </c>
      <c r="C798" s="4">
        <v>44.22</v>
      </c>
      <c r="D798" s="4">
        <v>2</v>
      </c>
      <c r="E798" s="4">
        <v>0</v>
      </c>
      <c r="F798" s="4">
        <v>2</v>
      </c>
      <c r="G798" s="4">
        <v>4266.1657999999998</v>
      </c>
      <c r="I798" s="23"/>
      <c r="J798" s="23"/>
      <c r="K798" s="23"/>
      <c r="L798" s="23"/>
      <c r="M798" s="23"/>
      <c r="N798" s="23"/>
      <c r="O798" s="23"/>
      <c r="P798" s="23"/>
      <c r="Q798" s="23"/>
      <c r="R798" s="23"/>
    </row>
    <row r="799" spans="1:18" x14ac:dyDescent="0.2">
      <c r="A799" s="4">
        <v>30</v>
      </c>
      <c r="B799" s="4">
        <v>0</v>
      </c>
      <c r="C799" s="4">
        <v>22.895</v>
      </c>
      <c r="D799" s="4">
        <v>1</v>
      </c>
      <c r="E799" s="4">
        <v>0</v>
      </c>
      <c r="F799" s="4">
        <v>1</v>
      </c>
      <c r="G799" s="4">
        <v>4719.52405</v>
      </c>
      <c r="I799" s="23"/>
      <c r="J799" s="23"/>
      <c r="K799" s="23"/>
      <c r="L799" s="23"/>
      <c r="M799" s="23"/>
      <c r="N799" s="23"/>
      <c r="O799" s="23"/>
      <c r="P799" s="23"/>
      <c r="Q799" s="23"/>
      <c r="R799" s="23"/>
    </row>
    <row r="800" spans="1:18" x14ac:dyDescent="0.2">
      <c r="A800" s="4">
        <v>58</v>
      </c>
      <c r="B800" s="4">
        <v>0</v>
      </c>
      <c r="C800" s="4">
        <v>33.1</v>
      </c>
      <c r="D800" s="4">
        <v>0</v>
      </c>
      <c r="E800" s="4">
        <v>0</v>
      </c>
      <c r="F800" s="4">
        <v>4</v>
      </c>
      <c r="G800" s="4">
        <v>11848.141</v>
      </c>
      <c r="I800" s="23"/>
      <c r="J800" s="23"/>
      <c r="K800" s="23"/>
      <c r="L800" s="23"/>
      <c r="M800" s="23"/>
      <c r="N800" s="23"/>
      <c r="O800" s="23"/>
      <c r="P800" s="23"/>
      <c r="Q800" s="23"/>
      <c r="R800" s="23"/>
    </row>
    <row r="801" spans="1:18" x14ac:dyDescent="0.2">
      <c r="A801" s="4">
        <v>33</v>
      </c>
      <c r="B801" s="4">
        <v>1</v>
      </c>
      <c r="C801" s="4">
        <v>24.795000000000002</v>
      </c>
      <c r="D801" s="4">
        <v>0</v>
      </c>
      <c r="E801" s="4">
        <v>1</v>
      </c>
      <c r="F801" s="4">
        <v>1</v>
      </c>
      <c r="G801" s="4">
        <v>17904.527050000001</v>
      </c>
      <c r="I801" s="23"/>
      <c r="J801" s="23"/>
      <c r="K801" s="23"/>
      <c r="L801" s="23"/>
      <c r="M801" s="23"/>
      <c r="N801" s="23"/>
      <c r="O801" s="23"/>
      <c r="P801" s="23"/>
      <c r="Q801" s="23"/>
      <c r="R801" s="23"/>
    </row>
    <row r="802" spans="1:18" x14ac:dyDescent="0.2">
      <c r="A802" s="4">
        <v>42</v>
      </c>
      <c r="B802" s="4">
        <v>0</v>
      </c>
      <c r="C802" s="4">
        <v>26.18</v>
      </c>
      <c r="D802" s="4">
        <v>1</v>
      </c>
      <c r="E802" s="4">
        <v>0</v>
      </c>
      <c r="F802" s="4">
        <v>2</v>
      </c>
      <c r="G802" s="4">
        <v>7046.7222000000002</v>
      </c>
      <c r="I802" s="23"/>
      <c r="J802" s="23"/>
      <c r="K802" s="23"/>
      <c r="L802" s="23"/>
      <c r="M802" s="23"/>
      <c r="N802" s="23"/>
      <c r="O802" s="23"/>
      <c r="P802" s="23"/>
      <c r="Q802" s="23"/>
      <c r="R802" s="23"/>
    </row>
    <row r="803" spans="1:18" x14ac:dyDescent="0.2">
      <c r="A803" s="4">
        <v>64</v>
      </c>
      <c r="B803" s="4">
        <v>0</v>
      </c>
      <c r="C803" s="4">
        <v>35.97</v>
      </c>
      <c r="D803" s="4">
        <v>0</v>
      </c>
      <c r="E803" s="4">
        <v>0</v>
      </c>
      <c r="F803" s="4">
        <v>2</v>
      </c>
      <c r="G803" s="4">
        <v>14313.846299999999</v>
      </c>
      <c r="I803" s="23"/>
      <c r="J803" s="23"/>
      <c r="K803" s="23"/>
      <c r="L803" s="23"/>
      <c r="M803" s="23"/>
      <c r="N803" s="23"/>
      <c r="O803" s="23"/>
      <c r="P803" s="23"/>
      <c r="Q803" s="23"/>
      <c r="R803" s="23"/>
    </row>
    <row r="804" spans="1:18" x14ac:dyDescent="0.2">
      <c r="A804" s="4">
        <v>21</v>
      </c>
      <c r="B804" s="4">
        <v>1</v>
      </c>
      <c r="C804" s="4">
        <v>22.3</v>
      </c>
      <c r="D804" s="4">
        <v>1</v>
      </c>
      <c r="E804" s="4">
        <v>0</v>
      </c>
      <c r="F804" s="4">
        <v>4</v>
      </c>
      <c r="G804" s="4">
        <v>2103.08</v>
      </c>
      <c r="I804" s="23"/>
      <c r="J804" s="23"/>
      <c r="K804" s="23"/>
      <c r="L804" s="23"/>
      <c r="M804" s="23"/>
      <c r="N804" s="23"/>
      <c r="O804" s="23"/>
      <c r="P804" s="23"/>
      <c r="Q804" s="23"/>
      <c r="R804" s="23"/>
    </row>
    <row r="805" spans="1:18" x14ac:dyDescent="0.2">
      <c r="A805" s="4">
        <v>18</v>
      </c>
      <c r="B805" s="4">
        <v>0</v>
      </c>
      <c r="C805" s="4">
        <v>42.24</v>
      </c>
      <c r="D805" s="4">
        <v>0</v>
      </c>
      <c r="E805" s="4">
        <v>1</v>
      </c>
      <c r="F805" s="4">
        <v>2</v>
      </c>
      <c r="G805" s="4">
        <v>38792.685599999997</v>
      </c>
      <c r="I805" s="23"/>
      <c r="J805" s="23"/>
      <c r="K805" s="23"/>
      <c r="L805" s="23"/>
      <c r="M805" s="23"/>
      <c r="N805" s="23"/>
      <c r="O805" s="23"/>
      <c r="P805" s="23"/>
      <c r="Q805" s="23"/>
      <c r="R805" s="23"/>
    </row>
    <row r="806" spans="1:18" x14ac:dyDescent="0.2">
      <c r="A806" s="4">
        <v>23</v>
      </c>
      <c r="B806" s="4">
        <v>1</v>
      </c>
      <c r="C806" s="4">
        <v>26.51</v>
      </c>
      <c r="D806" s="4">
        <v>0</v>
      </c>
      <c r="E806" s="4">
        <v>0</v>
      </c>
      <c r="F806" s="4">
        <v>2</v>
      </c>
      <c r="G806" s="4">
        <v>1815.8759</v>
      </c>
      <c r="I806" s="23"/>
      <c r="J806" s="23"/>
      <c r="K806" s="23"/>
      <c r="L806" s="23"/>
      <c r="M806" s="23"/>
      <c r="N806" s="23"/>
      <c r="O806" s="23"/>
      <c r="P806" s="23"/>
      <c r="Q806" s="23"/>
      <c r="R806" s="23"/>
    </row>
    <row r="807" spans="1:18" x14ac:dyDescent="0.2">
      <c r="A807" s="4">
        <v>45</v>
      </c>
      <c r="B807" s="4">
        <v>0</v>
      </c>
      <c r="C807" s="4">
        <v>35.814999999999998</v>
      </c>
      <c r="D807" s="4">
        <v>0</v>
      </c>
      <c r="E807" s="4">
        <v>0</v>
      </c>
      <c r="F807" s="4">
        <v>3</v>
      </c>
      <c r="G807" s="4">
        <v>7731.8578500000003</v>
      </c>
      <c r="I807" s="23"/>
      <c r="J807" s="23"/>
      <c r="K807" s="23"/>
      <c r="L807" s="23"/>
      <c r="M807" s="23"/>
      <c r="N807" s="23"/>
      <c r="O807" s="23"/>
      <c r="P807" s="23"/>
      <c r="Q807" s="23"/>
      <c r="R807" s="23"/>
    </row>
    <row r="808" spans="1:18" x14ac:dyDescent="0.2">
      <c r="A808" s="4">
        <v>40</v>
      </c>
      <c r="B808" s="4">
        <v>0</v>
      </c>
      <c r="C808" s="4">
        <v>41.42</v>
      </c>
      <c r="D808" s="4">
        <v>1</v>
      </c>
      <c r="E808" s="4">
        <v>0</v>
      </c>
      <c r="F808" s="4">
        <v>3</v>
      </c>
      <c r="G808" s="4">
        <v>28476.734990000001</v>
      </c>
      <c r="I808" s="23"/>
      <c r="J808" s="23"/>
      <c r="K808" s="23"/>
      <c r="L808" s="23"/>
      <c r="M808" s="23"/>
      <c r="N808" s="23"/>
      <c r="O808" s="23"/>
      <c r="P808" s="23"/>
      <c r="Q808" s="23"/>
      <c r="R808" s="23"/>
    </row>
    <row r="809" spans="1:18" x14ac:dyDescent="0.2">
      <c r="A809" s="4">
        <v>19</v>
      </c>
      <c r="B809" s="4">
        <v>0</v>
      </c>
      <c r="C809" s="4">
        <v>36.575000000000003</v>
      </c>
      <c r="D809" s="4">
        <v>0</v>
      </c>
      <c r="E809" s="4">
        <v>0</v>
      </c>
      <c r="F809" s="4">
        <v>3</v>
      </c>
      <c r="G809" s="4">
        <v>2136.8822500000001</v>
      </c>
      <c r="I809" s="23"/>
      <c r="J809" s="23"/>
      <c r="K809" s="23"/>
      <c r="L809" s="23"/>
      <c r="M809" s="23"/>
      <c r="N809" s="23"/>
      <c r="O809" s="23"/>
      <c r="P809" s="23"/>
      <c r="Q809" s="23"/>
      <c r="R809" s="23"/>
    </row>
    <row r="810" spans="1:18" x14ac:dyDescent="0.2">
      <c r="A810" s="4">
        <v>18</v>
      </c>
      <c r="B810" s="4">
        <v>1</v>
      </c>
      <c r="C810" s="4">
        <v>30.14</v>
      </c>
      <c r="D810" s="4">
        <v>0</v>
      </c>
      <c r="E810" s="4">
        <v>0</v>
      </c>
      <c r="F810" s="4">
        <v>2</v>
      </c>
      <c r="G810" s="4">
        <v>1131.5065999999999</v>
      </c>
      <c r="I810" s="23"/>
      <c r="J810" s="23"/>
      <c r="K810" s="23"/>
      <c r="L810" s="23"/>
      <c r="M810" s="23"/>
      <c r="N810" s="23"/>
      <c r="O810" s="23"/>
      <c r="P810" s="23"/>
      <c r="Q810" s="23"/>
      <c r="R810" s="23"/>
    </row>
    <row r="811" spans="1:18" x14ac:dyDescent="0.2">
      <c r="A811" s="4">
        <v>25</v>
      </c>
      <c r="B811" s="4">
        <v>1</v>
      </c>
      <c r="C811" s="4">
        <v>25.84</v>
      </c>
      <c r="D811" s="4">
        <v>1</v>
      </c>
      <c r="E811" s="4">
        <v>0</v>
      </c>
      <c r="F811" s="4">
        <v>1</v>
      </c>
      <c r="G811" s="4">
        <v>3309.7926000000002</v>
      </c>
      <c r="I811" s="23"/>
      <c r="J811" s="23"/>
      <c r="K811" s="23"/>
      <c r="L811" s="23"/>
      <c r="M811" s="23"/>
      <c r="N811" s="23"/>
      <c r="O811" s="23"/>
      <c r="P811" s="23"/>
      <c r="Q811" s="23"/>
      <c r="R811" s="23"/>
    </row>
    <row r="812" spans="1:18" x14ac:dyDescent="0.2">
      <c r="A812" s="4">
        <v>46</v>
      </c>
      <c r="B812" s="4">
        <v>0</v>
      </c>
      <c r="C812" s="4">
        <v>30.8</v>
      </c>
      <c r="D812" s="4">
        <v>3</v>
      </c>
      <c r="E812" s="4">
        <v>0</v>
      </c>
      <c r="F812" s="4">
        <v>4</v>
      </c>
      <c r="G812" s="4">
        <v>9414.92</v>
      </c>
      <c r="I812" s="23"/>
      <c r="J812" s="23"/>
      <c r="K812" s="23"/>
      <c r="L812" s="23"/>
      <c r="M812" s="23"/>
      <c r="N812" s="23"/>
      <c r="O812" s="23"/>
      <c r="P812" s="23"/>
      <c r="Q812" s="23"/>
      <c r="R812" s="23"/>
    </row>
    <row r="813" spans="1:18" x14ac:dyDescent="0.2">
      <c r="A813" s="4">
        <v>33</v>
      </c>
      <c r="B813" s="4">
        <v>0</v>
      </c>
      <c r="C813" s="4">
        <v>42.94</v>
      </c>
      <c r="D813" s="4">
        <v>3</v>
      </c>
      <c r="E813" s="4">
        <v>0</v>
      </c>
      <c r="F813" s="4">
        <v>3</v>
      </c>
      <c r="G813" s="4">
        <v>6360.9935999999998</v>
      </c>
      <c r="I813" s="23"/>
      <c r="J813" s="23"/>
      <c r="K813" s="23"/>
      <c r="L813" s="23"/>
      <c r="M813" s="23"/>
      <c r="N813" s="23"/>
      <c r="O813" s="23"/>
      <c r="P813" s="23"/>
      <c r="Q813" s="23"/>
      <c r="R813" s="23"/>
    </row>
    <row r="814" spans="1:18" x14ac:dyDescent="0.2">
      <c r="A814" s="4">
        <v>54</v>
      </c>
      <c r="B814" s="4">
        <v>1</v>
      </c>
      <c r="C814" s="4">
        <v>21.01</v>
      </c>
      <c r="D814" s="4">
        <v>2</v>
      </c>
      <c r="E814" s="4">
        <v>0</v>
      </c>
      <c r="F814" s="4">
        <v>2</v>
      </c>
      <c r="G814" s="4">
        <v>11013.7119</v>
      </c>
      <c r="I814" s="23"/>
      <c r="J814" s="23"/>
      <c r="K814" s="23"/>
      <c r="L814" s="23"/>
      <c r="M814" s="23"/>
      <c r="N814" s="23"/>
      <c r="O814" s="23"/>
      <c r="P814" s="23"/>
      <c r="Q814" s="23"/>
      <c r="R814" s="23"/>
    </row>
    <row r="815" spans="1:18" x14ac:dyDescent="0.2">
      <c r="A815" s="4">
        <v>28</v>
      </c>
      <c r="B815" s="4">
        <v>1</v>
      </c>
      <c r="C815" s="4">
        <v>22.515000000000001</v>
      </c>
      <c r="D815" s="4">
        <v>2</v>
      </c>
      <c r="E815" s="4">
        <v>0</v>
      </c>
      <c r="F815" s="4">
        <v>1</v>
      </c>
      <c r="G815" s="4">
        <v>4428.8878500000001</v>
      </c>
      <c r="I815" s="23"/>
      <c r="J815" s="23"/>
      <c r="K815" s="23"/>
      <c r="L815" s="23"/>
      <c r="M815" s="23"/>
      <c r="N815" s="23"/>
      <c r="O815" s="23"/>
      <c r="P815" s="23"/>
      <c r="Q815" s="23"/>
      <c r="R815" s="23"/>
    </row>
    <row r="816" spans="1:18" x14ac:dyDescent="0.2">
      <c r="A816" s="4">
        <v>36</v>
      </c>
      <c r="B816" s="4">
        <v>1</v>
      </c>
      <c r="C816" s="4">
        <v>34.43</v>
      </c>
      <c r="D816" s="4">
        <v>2</v>
      </c>
      <c r="E816" s="4">
        <v>0</v>
      </c>
      <c r="F816" s="4">
        <v>2</v>
      </c>
      <c r="G816" s="4">
        <v>5584.3056999999999</v>
      </c>
      <c r="I816" s="23"/>
      <c r="J816" s="23"/>
      <c r="K816" s="23"/>
      <c r="L816" s="23"/>
      <c r="M816" s="23"/>
      <c r="N816" s="23"/>
      <c r="O816" s="23"/>
      <c r="P816" s="23"/>
      <c r="Q816" s="23"/>
      <c r="R816" s="23"/>
    </row>
    <row r="817" spans="1:18" x14ac:dyDescent="0.2">
      <c r="A817" s="4">
        <v>20</v>
      </c>
      <c r="B817" s="4">
        <v>0</v>
      </c>
      <c r="C817" s="4">
        <v>31.46</v>
      </c>
      <c r="D817" s="4">
        <v>0</v>
      </c>
      <c r="E817" s="4">
        <v>0</v>
      </c>
      <c r="F817" s="4">
        <v>2</v>
      </c>
      <c r="G817" s="4">
        <v>1877.9294</v>
      </c>
      <c r="I817" s="23"/>
      <c r="J817" s="23"/>
      <c r="K817" s="23"/>
      <c r="L817" s="23"/>
      <c r="M817" s="23"/>
      <c r="N817" s="23"/>
      <c r="O817" s="23"/>
      <c r="P817" s="23"/>
      <c r="Q817" s="23"/>
      <c r="R817" s="23"/>
    </row>
    <row r="818" spans="1:18" x14ac:dyDescent="0.2">
      <c r="A818" s="4">
        <v>24</v>
      </c>
      <c r="B818" s="4">
        <v>0</v>
      </c>
      <c r="C818" s="4">
        <v>24.225000000000001</v>
      </c>
      <c r="D818" s="4">
        <v>0</v>
      </c>
      <c r="E818" s="4">
        <v>0</v>
      </c>
      <c r="F818" s="4">
        <v>3</v>
      </c>
      <c r="G818" s="4">
        <v>2842.7607499999999</v>
      </c>
      <c r="I818" s="23"/>
      <c r="J818" s="23"/>
      <c r="K818" s="23"/>
      <c r="L818" s="23"/>
      <c r="M818" s="23"/>
      <c r="N818" s="23"/>
      <c r="O818" s="23"/>
      <c r="P818" s="23"/>
      <c r="Q818" s="23"/>
      <c r="R818" s="23"/>
    </row>
    <row r="819" spans="1:18" x14ac:dyDescent="0.2">
      <c r="A819" s="4">
        <v>23</v>
      </c>
      <c r="B819" s="4">
        <v>1</v>
      </c>
      <c r="C819" s="4">
        <v>37.1</v>
      </c>
      <c r="D819" s="4">
        <v>3</v>
      </c>
      <c r="E819" s="4">
        <v>0</v>
      </c>
      <c r="F819" s="4">
        <v>4</v>
      </c>
      <c r="G819" s="4">
        <v>3597.596</v>
      </c>
      <c r="I819" s="23"/>
      <c r="J819" s="23"/>
      <c r="K819" s="23"/>
      <c r="L819" s="23"/>
      <c r="M819" s="23"/>
      <c r="N819" s="23"/>
      <c r="O819" s="23"/>
      <c r="P819" s="23"/>
      <c r="Q819" s="23"/>
      <c r="R819" s="23"/>
    </row>
    <row r="820" spans="1:18" x14ac:dyDescent="0.2">
      <c r="A820" s="4">
        <v>47</v>
      </c>
      <c r="B820" s="4">
        <v>0</v>
      </c>
      <c r="C820" s="4">
        <v>26.125</v>
      </c>
      <c r="D820" s="4">
        <v>1</v>
      </c>
      <c r="E820" s="4">
        <v>1</v>
      </c>
      <c r="F820" s="4">
        <v>1</v>
      </c>
      <c r="G820" s="4">
        <v>23401.30575</v>
      </c>
      <c r="I820" s="23"/>
      <c r="J820" s="23"/>
      <c r="K820" s="23"/>
      <c r="L820" s="23"/>
      <c r="M820" s="23"/>
      <c r="N820" s="23"/>
      <c r="O820" s="23"/>
      <c r="P820" s="23"/>
      <c r="Q820" s="23"/>
      <c r="R820" s="23"/>
    </row>
    <row r="821" spans="1:18" x14ac:dyDescent="0.2">
      <c r="A821" s="4">
        <v>33</v>
      </c>
      <c r="B821" s="4">
        <v>0</v>
      </c>
      <c r="C821" s="4">
        <v>35.53</v>
      </c>
      <c r="D821" s="4">
        <v>0</v>
      </c>
      <c r="E821" s="4">
        <v>1</v>
      </c>
      <c r="F821" s="4">
        <v>3</v>
      </c>
      <c r="G821" s="4">
        <v>55135.402090000003</v>
      </c>
      <c r="I821" s="23"/>
      <c r="J821" s="23"/>
      <c r="K821" s="23"/>
      <c r="L821" s="23"/>
      <c r="M821" s="23"/>
      <c r="N821" s="23"/>
      <c r="O821" s="23"/>
      <c r="P821" s="23"/>
      <c r="Q821" s="23"/>
      <c r="R821" s="23"/>
    </row>
    <row r="822" spans="1:18" x14ac:dyDescent="0.2">
      <c r="A822" s="4">
        <v>45</v>
      </c>
      <c r="B822" s="4">
        <v>1</v>
      </c>
      <c r="C822" s="4">
        <v>33.700000000000003</v>
      </c>
      <c r="D822" s="4">
        <v>1</v>
      </c>
      <c r="E822" s="4">
        <v>0</v>
      </c>
      <c r="F822" s="4">
        <v>4</v>
      </c>
      <c r="G822" s="4">
        <v>7445.9179999999997</v>
      </c>
      <c r="I822" s="23"/>
      <c r="J822" s="23"/>
      <c r="K822" s="23"/>
      <c r="L822" s="23"/>
      <c r="M822" s="23"/>
      <c r="N822" s="23"/>
      <c r="O822" s="23"/>
      <c r="P822" s="23"/>
      <c r="Q822" s="23"/>
      <c r="R822" s="23"/>
    </row>
    <row r="823" spans="1:18" x14ac:dyDescent="0.2">
      <c r="A823" s="4">
        <v>26</v>
      </c>
      <c r="B823" s="4">
        <v>1</v>
      </c>
      <c r="C823" s="4">
        <v>17.670000000000002</v>
      </c>
      <c r="D823" s="4">
        <v>0</v>
      </c>
      <c r="E823" s="4">
        <v>0</v>
      </c>
      <c r="F823" s="4">
        <v>3</v>
      </c>
      <c r="G823" s="4">
        <v>2680.9493000000002</v>
      </c>
      <c r="I823" s="23"/>
      <c r="J823" s="23"/>
      <c r="K823" s="23"/>
      <c r="L823" s="23"/>
      <c r="M823" s="23"/>
      <c r="N823" s="23"/>
      <c r="O823" s="23"/>
      <c r="P823" s="23"/>
      <c r="Q823" s="23"/>
      <c r="R823" s="23"/>
    </row>
    <row r="824" spans="1:18" x14ac:dyDescent="0.2">
      <c r="A824" s="4">
        <v>18</v>
      </c>
      <c r="B824" s="4">
        <v>0</v>
      </c>
      <c r="C824" s="4">
        <v>31.13</v>
      </c>
      <c r="D824" s="4">
        <v>0</v>
      </c>
      <c r="E824" s="4">
        <v>0</v>
      </c>
      <c r="F824" s="4">
        <v>2</v>
      </c>
      <c r="G824" s="4">
        <v>1621.8827000000001</v>
      </c>
      <c r="I824" s="23"/>
      <c r="J824" s="23"/>
      <c r="K824" s="23"/>
      <c r="L824" s="23"/>
      <c r="M824" s="23"/>
      <c r="N824" s="23"/>
      <c r="O824" s="23"/>
      <c r="P824" s="23"/>
      <c r="Q824" s="23"/>
      <c r="R824" s="23"/>
    </row>
    <row r="825" spans="1:18" x14ac:dyDescent="0.2">
      <c r="A825" s="4">
        <v>44</v>
      </c>
      <c r="B825" s="4">
        <v>0</v>
      </c>
      <c r="C825" s="4">
        <v>29.81</v>
      </c>
      <c r="D825" s="4">
        <v>2</v>
      </c>
      <c r="E825" s="4">
        <v>0</v>
      </c>
      <c r="F825" s="4">
        <v>2</v>
      </c>
      <c r="G825" s="4">
        <v>8219.2039000000004</v>
      </c>
      <c r="I825" s="23"/>
      <c r="J825" s="23"/>
      <c r="K825" s="23"/>
      <c r="L825" s="23"/>
      <c r="M825" s="23"/>
      <c r="N825" s="23"/>
      <c r="O825" s="23"/>
      <c r="P825" s="23"/>
      <c r="Q825" s="23"/>
      <c r="R825" s="23"/>
    </row>
    <row r="826" spans="1:18" x14ac:dyDescent="0.2">
      <c r="A826" s="4">
        <v>60</v>
      </c>
      <c r="B826" s="4">
        <v>1</v>
      </c>
      <c r="C826" s="4">
        <v>24.32</v>
      </c>
      <c r="D826" s="4">
        <v>0</v>
      </c>
      <c r="E826" s="4">
        <v>0</v>
      </c>
      <c r="F826" s="4">
        <v>3</v>
      </c>
      <c r="G826" s="4">
        <v>12523.604799999999</v>
      </c>
      <c r="I826" s="23"/>
      <c r="J826" s="23"/>
      <c r="K826" s="23"/>
      <c r="L826" s="23"/>
      <c r="M826" s="23"/>
      <c r="N826" s="23"/>
      <c r="O826" s="23"/>
      <c r="P826" s="23"/>
      <c r="Q826" s="23"/>
      <c r="R826" s="23"/>
    </row>
    <row r="827" spans="1:18" x14ac:dyDescent="0.2">
      <c r="A827" s="4">
        <v>64</v>
      </c>
      <c r="B827" s="4">
        <v>0</v>
      </c>
      <c r="C827" s="4">
        <v>31.824999999999999</v>
      </c>
      <c r="D827" s="4">
        <v>2</v>
      </c>
      <c r="E827" s="4">
        <v>0</v>
      </c>
      <c r="F827" s="4">
        <v>1</v>
      </c>
      <c r="G827" s="4">
        <v>16069.08475</v>
      </c>
      <c r="I827" s="23"/>
      <c r="J827" s="23"/>
      <c r="K827" s="23"/>
      <c r="L827" s="23"/>
      <c r="M827" s="23"/>
      <c r="N827" s="23"/>
      <c r="O827" s="23"/>
      <c r="P827" s="23"/>
      <c r="Q827" s="23"/>
      <c r="R827" s="23"/>
    </row>
    <row r="828" spans="1:18" x14ac:dyDescent="0.2">
      <c r="A828" s="4">
        <v>56</v>
      </c>
      <c r="B828" s="4">
        <v>1</v>
      </c>
      <c r="C828" s="4">
        <v>31.79</v>
      </c>
      <c r="D828" s="4">
        <v>2</v>
      </c>
      <c r="E828" s="4">
        <v>1</v>
      </c>
      <c r="F828" s="4">
        <v>2</v>
      </c>
      <c r="G828" s="4">
        <v>43813.866099999999</v>
      </c>
      <c r="I828" s="23"/>
      <c r="J828" s="23"/>
      <c r="K828" s="23"/>
      <c r="L828" s="23"/>
      <c r="M828" s="23"/>
      <c r="N828" s="23"/>
      <c r="O828" s="23"/>
      <c r="P828" s="23"/>
      <c r="Q828" s="23"/>
      <c r="R828" s="23"/>
    </row>
    <row r="829" spans="1:18" x14ac:dyDescent="0.2">
      <c r="A829" s="4">
        <v>36</v>
      </c>
      <c r="B829" s="4">
        <v>1</v>
      </c>
      <c r="C829" s="4">
        <v>28.024999999999999</v>
      </c>
      <c r="D829" s="4">
        <v>1</v>
      </c>
      <c r="E829" s="4">
        <v>1</v>
      </c>
      <c r="F829" s="4">
        <v>1</v>
      </c>
      <c r="G829" s="4">
        <v>20773.62775</v>
      </c>
      <c r="I829" s="23"/>
      <c r="J829" s="23"/>
      <c r="K829" s="23"/>
      <c r="L829" s="23"/>
      <c r="M829" s="23"/>
      <c r="N829" s="23"/>
      <c r="O829" s="23"/>
      <c r="P829" s="23"/>
      <c r="Q829" s="23"/>
      <c r="R829" s="23"/>
    </row>
    <row r="830" spans="1:18" x14ac:dyDescent="0.2">
      <c r="A830" s="4">
        <v>41</v>
      </c>
      <c r="B830" s="4">
        <v>1</v>
      </c>
      <c r="C830" s="4">
        <v>30.78</v>
      </c>
      <c r="D830" s="4">
        <v>3</v>
      </c>
      <c r="E830" s="4">
        <v>1</v>
      </c>
      <c r="F830" s="4">
        <v>1</v>
      </c>
      <c r="G830" s="4">
        <v>39597.407200000001</v>
      </c>
      <c r="I830" s="23"/>
      <c r="J830" s="23"/>
      <c r="K830" s="23"/>
      <c r="L830" s="23"/>
      <c r="M830" s="23"/>
      <c r="N830" s="23"/>
      <c r="O830" s="23"/>
      <c r="P830" s="23"/>
      <c r="Q830" s="23"/>
      <c r="R830" s="23"/>
    </row>
    <row r="831" spans="1:18" x14ac:dyDescent="0.2">
      <c r="A831" s="4">
        <v>39</v>
      </c>
      <c r="B831" s="4">
        <v>1</v>
      </c>
      <c r="C831" s="4">
        <v>21.85</v>
      </c>
      <c r="D831" s="4">
        <v>1</v>
      </c>
      <c r="E831" s="4">
        <v>0</v>
      </c>
      <c r="F831" s="4">
        <v>3</v>
      </c>
      <c r="G831" s="4">
        <v>6117.4944999999998</v>
      </c>
      <c r="I831" s="23"/>
      <c r="J831" s="23"/>
      <c r="K831" s="23"/>
      <c r="L831" s="23"/>
      <c r="M831" s="23"/>
      <c r="N831" s="23"/>
      <c r="O831" s="23"/>
      <c r="P831" s="23"/>
      <c r="Q831" s="23"/>
      <c r="R831" s="23"/>
    </row>
    <row r="832" spans="1:18" x14ac:dyDescent="0.2">
      <c r="A832" s="4">
        <v>63</v>
      </c>
      <c r="B832" s="4">
        <v>1</v>
      </c>
      <c r="C832" s="4">
        <v>33.1</v>
      </c>
      <c r="D832" s="4">
        <v>0</v>
      </c>
      <c r="E832" s="4">
        <v>0</v>
      </c>
      <c r="F832" s="4">
        <v>4</v>
      </c>
      <c r="G832" s="4">
        <v>13393.755999999999</v>
      </c>
      <c r="I832" s="23"/>
      <c r="J832" s="23"/>
      <c r="K832" s="23"/>
      <c r="L832" s="23"/>
      <c r="M832" s="23"/>
      <c r="N832" s="23"/>
      <c r="O832" s="23"/>
      <c r="P832" s="23"/>
      <c r="Q832" s="23"/>
      <c r="R832" s="23"/>
    </row>
    <row r="833" spans="1:18" x14ac:dyDescent="0.2">
      <c r="A833" s="4">
        <v>36</v>
      </c>
      <c r="B833" s="4">
        <v>0</v>
      </c>
      <c r="C833" s="4">
        <v>25.84</v>
      </c>
      <c r="D833" s="4">
        <v>0</v>
      </c>
      <c r="E833" s="4">
        <v>0</v>
      </c>
      <c r="F833" s="4">
        <v>3</v>
      </c>
      <c r="G833" s="4">
        <v>5266.3656000000001</v>
      </c>
      <c r="I833" s="23"/>
      <c r="J833" s="23"/>
      <c r="K833" s="23"/>
      <c r="L833" s="23"/>
      <c r="M833" s="23"/>
      <c r="N833" s="23"/>
      <c r="O833" s="23"/>
      <c r="P833" s="23"/>
      <c r="Q833" s="23"/>
      <c r="R833" s="23"/>
    </row>
    <row r="834" spans="1:18" x14ac:dyDescent="0.2">
      <c r="A834" s="4">
        <v>28</v>
      </c>
      <c r="B834" s="4">
        <v>0</v>
      </c>
      <c r="C834" s="4">
        <v>23.844999999999999</v>
      </c>
      <c r="D834" s="4">
        <v>2</v>
      </c>
      <c r="E834" s="4">
        <v>0</v>
      </c>
      <c r="F834" s="4">
        <v>3</v>
      </c>
      <c r="G834" s="4">
        <v>4719.7365499999996</v>
      </c>
      <c r="I834" s="23"/>
      <c r="J834" s="23"/>
      <c r="K834" s="23"/>
      <c r="L834" s="23"/>
      <c r="M834" s="23"/>
      <c r="N834" s="23"/>
      <c r="O834" s="23"/>
      <c r="P834" s="23"/>
      <c r="Q834" s="23"/>
      <c r="R834" s="23"/>
    </row>
    <row r="835" spans="1:18" x14ac:dyDescent="0.2">
      <c r="A835" s="4">
        <v>58</v>
      </c>
      <c r="B835" s="4">
        <v>1</v>
      </c>
      <c r="C835" s="4">
        <v>34.39</v>
      </c>
      <c r="D835" s="4">
        <v>0</v>
      </c>
      <c r="E835" s="4">
        <v>0</v>
      </c>
      <c r="F835" s="4">
        <v>3</v>
      </c>
      <c r="G835" s="4">
        <v>11743.9341</v>
      </c>
      <c r="I835" s="23"/>
      <c r="J835" s="23"/>
      <c r="K835" s="23"/>
      <c r="L835" s="23"/>
      <c r="M835" s="23"/>
      <c r="N835" s="23"/>
      <c r="O835" s="23"/>
      <c r="P835" s="23"/>
      <c r="Q835" s="23"/>
      <c r="R835" s="23"/>
    </row>
    <row r="836" spans="1:18" x14ac:dyDescent="0.2">
      <c r="A836" s="4">
        <v>36</v>
      </c>
      <c r="B836" s="4">
        <v>1</v>
      </c>
      <c r="C836" s="4">
        <v>33.82</v>
      </c>
      <c r="D836" s="4">
        <v>1</v>
      </c>
      <c r="E836" s="4">
        <v>0</v>
      </c>
      <c r="F836" s="4">
        <v>3</v>
      </c>
      <c r="G836" s="4">
        <v>5377.4578000000001</v>
      </c>
      <c r="I836" s="23"/>
      <c r="J836" s="23"/>
      <c r="K836" s="23"/>
      <c r="L836" s="23"/>
      <c r="M836" s="23"/>
      <c r="N836" s="23"/>
      <c r="O836" s="23"/>
      <c r="P836" s="23"/>
      <c r="Q836" s="23"/>
      <c r="R836" s="23"/>
    </row>
    <row r="837" spans="1:18" x14ac:dyDescent="0.2">
      <c r="A837" s="4">
        <v>42</v>
      </c>
      <c r="B837" s="4">
        <v>1</v>
      </c>
      <c r="C837" s="4">
        <v>35.97</v>
      </c>
      <c r="D837" s="4">
        <v>2</v>
      </c>
      <c r="E837" s="4">
        <v>0</v>
      </c>
      <c r="F837" s="4">
        <v>2</v>
      </c>
      <c r="G837" s="4">
        <v>7160.3302999999996</v>
      </c>
      <c r="I837" s="23"/>
      <c r="J837" s="23"/>
      <c r="K837" s="23"/>
      <c r="L837" s="23"/>
      <c r="M837" s="23"/>
      <c r="N837" s="23"/>
      <c r="O837" s="23"/>
      <c r="P837" s="23"/>
      <c r="Q837" s="23"/>
      <c r="R837" s="23"/>
    </row>
    <row r="838" spans="1:18" x14ac:dyDescent="0.2">
      <c r="A838" s="4">
        <v>36</v>
      </c>
      <c r="B838" s="4">
        <v>1</v>
      </c>
      <c r="C838" s="4">
        <v>31.5</v>
      </c>
      <c r="D838" s="4">
        <v>0</v>
      </c>
      <c r="E838" s="4">
        <v>0</v>
      </c>
      <c r="F838" s="4">
        <v>4</v>
      </c>
      <c r="G838" s="4">
        <v>4402.2330000000002</v>
      </c>
      <c r="I838" s="23"/>
      <c r="J838" s="23"/>
      <c r="K838" s="23"/>
      <c r="L838" s="23"/>
      <c r="M838" s="23"/>
      <c r="N838" s="23"/>
      <c r="O838" s="23"/>
      <c r="P838" s="23"/>
      <c r="Q838" s="23"/>
      <c r="R838" s="23"/>
    </row>
    <row r="839" spans="1:18" x14ac:dyDescent="0.2">
      <c r="A839" s="4">
        <v>56</v>
      </c>
      <c r="B839" s="4">
        <v>0</v>
      </c>
      <c r="C839" s="4">
        <v>28.31</v>
      </c>
      <c r="D839" s="4">
        <v>0</v>
      </c>
      <c r="E839" s="4">
        <v>0</v>
      </c>
      <c r="F839" s="4">
        <v>1</v>
      </c>
      <c r="G839" s="4">
        <v>11657.7189</v>
      </c>
      <c r="I839" s="23"/>
      <c r="J839" s="23"/>
      <c r="K839" s="23"/>
      <c r="L839" s="23"/>
      <c r="M839" s="23"/>
      <c r="N839" s="23"/>
      <c r="O839" s="23"/>
      <c r="P839" s="23"/>
      <c r="Q839" s="23"/>
      <c r="R839" s="23"/>
    </row>
    <row r="840" spans="1:18" x14ac:dyDescent="0.2">
      <c r="A840" s="4">
        <v>35</v>
      </c>
      <c r="B840" s="4">
        <v>0</v>
      </c>
      <c r="C840" s="4">
        <v>23.465</v>
      </c>
      <c r="D840" s="4">
        <v>2</v>
      </c>
      <c r="E840" s="4">
        <v>0</v>
      </c>
      <c r="F840" s="4">
        <v>1</v>
      </c>
      <c r="G840" s="4">
        <v>6402.2913500000004</v>
      </c>
      <c r="I840" s="23"/>
      <c r="J840" s="23"/>
      <c r="K840" s="23"/>
      <c r="L840" s="23"/>
      <c r="M840" s="23"/>
      <c r="N840" s="23"/>
      <c r="O840" s="23"/>
      <c r="P840" s="23"/>
      <c r="Q840" s="23"/>
      <c r="R840" s="23"/>
    </row>
    <row r="841" spans="1:18" x14ac:dyDescent="0.2">
      <c r="A841" s="4">
        <v>59</v>
      </c>
      <c r="B841" s="4">
        <v>0</v>
      </c>
      <c r="C841" s="4">
        <v>31.35</v>
      </c>
      <c r="D841" s="4">
        <v>0</v>
      </c>
      <c r="E841" s="4">
        <v>0</v>
      </c>
      <c r="F841" s="4">
        <v>3</v>
      </c>
      <c r="G841" s="4">
        <v>12622.1795</v>
      </c>
      <c r="I841" s="23"/>
      <c r="J841" s="23"/>
      <c r="K841" s="23"/>
      <c r="L841" s="23"/>
      <c r="M841" s="23"/>
      <c r="N841" s="23"/>
      <c r="O841" s="23"/>
      <c r="P841" s="23"/>
      <c r="Q841" s="23"/>
      <c r="R841" s="23"/>
    </row>
    <row r="842" spans="1:18" x14ac:dyDescent="0.2">
      <c r="A842" s="4">
        <v>21</v>
      </c>
      <c r="B842" s="4">
        <v>1</v>
      </c>
      <c r="C842" s="4">
        <v>31.1</v>
      </c>
      <c r="D842" s="4">
        <v>0</v>
      </c>
      <c r="E842" s="4">
        <v>0</v>
      </c>
      <c r="F842" s="4">
        <v>4</v>
      </c>
      <c r="G842" s="4">
        <v>1526.3119999999999</v>
      </c>
      <c r="I842" s="23"/>
      <c r="J842" s="23"/>
      <c r="K842" s="23"/>
      <c r="L842" s="23"/>
      <c r="M842" s="23"/>
      <c r="N842" s="23"/>
      <c r="O842" s="23"/>
      <c r="P842" s="23"/>
      <c r="Q842" s="23"/>
      <c r="R842" s="23"/>
    </row>
    <row r="843" spans="1:18" x14ac:dyDescent="0.2">
      <c r="A843" s="4">
        <v>59</v>
      </c>
      <c r="B843" s="4">
        <v>1</v>
      </c>
      <c r="C843" s="4">
        <v>24.7</v>
      </c>
      <c r="D843" s="4">
        <v>0</v>
      </c>
      <c r="E843" s="4">
        <v>0</v>
      </c>
      <c r="F843" s="4">
        <v>1</v>
      </c>
      <c r="G843" s="4">
        <v>12323.936</v>
      </c>
      <c r="I843" s="23"/>
      <c r="J843" s="23"/>
      <c r="K843" s="23"/>
      <c r="L843" s="23"/>
      <c r="M843" s="23"/>
      <c r="N843" s="23"/>
      <c r="O843" s="23"/>
      <c r="P843" s="23"/>
      <c r="Q843" s="23"/>
      <c r="R843" s="23"/>
    </row>
    <row r="844" spans="1:18" x14ac:dyDescent="0.2">
      <c r="A844" s="4">
        <v>23</v>
      </c>
      <c r="B844" s="4">
        <v>0</v>
      </c>
      <c r="C844" s="4">
        <v>32.78</v>
      </c>
      <c r="D844" s="4">
        <v>2</v>
      </c>
      <c r="E844" s="4">
        <v>1</v>
      </c>
      <c r="F844" s="4">
        <v>2</v>
      </c>
      <c r="G844" s="4">
        <v>36021.011200000001</v>
      </c>
      <c r="I844" s="23"/>
      <c r="J844" s="23"/>
      <c r="K844" s="23"/>
      <c r="L844" s="23"/>
      <c r="M844" s="23"/>
      <c r="N844" s="23"/>
      <c r="O844" s="23"/>
      <c r="P844" s="23"/>
      <c r="Q844" s="23"/>
      <c r="R844" s="23"/>
    </row>
    <row r="845" spans="1:18" x14ac:dyDescent="0.2">
      <c r="A845" s="4">
        <v>57</v>
      </c>
      <c r="B845" s="4">
        <v>0</v>
      </c>
      <c r="C845" s="4">
        <v>29.81</v>
      </c>
      <c r="D845" s="4">
        <v>0</v>
      </c>
      <c r="E845" s="4">
        <v>1</v>
      </c>
      <c r="F845" s="4">
        <v>2</v>
      </c>
      <c r="G845" s="4">
        <v>27533.912899999999</v>
      </c>
      <c r="I845" s="23"/>
      <c r="J845" s="23"/>
      <c r="K845" s="23"/>
      <c r="L845" s="23"/>
      <c r="M845" s="23"/>
      <c r="N845" s="23"/>
      <c r="O845" s="23"/>
      <c r="P845" s="23"/>
      <c r="Q845" s="23"/>
      <c r="R845" s="23"/>
    </row>
    <row r="846" spans="1:18" x14ac:dyDescent="0.2">
      <c r="A846" s="4">
        <v>53</v>
      </c>
      <c r="B846" s="4">
        <v>1</v>
      </c>
      <c r="C846" s="4">
        <v>30.495000000000001</v>
      </c>
      <c r="D846" s="4">
        <v>0</v>
      </c>
      <c r="E846" s="4">
        <v>0</v>
      </c>
      <c r="F846" s="4">
        <v>1</v>
      </c>
      <c r="G846" s="4">
        <v>10072.055050000001</v>
      </c>
      <c r="I846" s="23"/>
      <c r="J846" s="23"/>
      <c r="K846" s="23"/>
      <c r="L846" s="23"/>
      <c r="M846" s="23"/>
      <c r="N846" s="23"/>
      <c r="O846" s="23"/>
      <c r="P846" s="23"/>
      <c r="Q846" s="23"/>
      <c r="R846" s="23"/>
    </row>
    <row r="847" spans="1:18" x14ac:dyDescent="0.2">
      <c r="A847" s="4">
        <v>60</v>
      </c>
      <c r="B847" s="4">
        <v>0</v>
      </c>
      <c r="C847" s="4">
        <v>32.450000000000003</v>
      </c>
      <c r="D847" s="4">
        <v>0</v>
      </c>
      <c r="E847" s="4">
        <v>1</v>
      </c>
      <c r="F847" s="4">
        <v>2</v>
      </c>
      <c r="G847" s="4">
        <v>45008.955499999996</v>
      </c>
      <c r="I847" s="23"/>
      <c r="J847" s="23"/>
      <c r="K847" s="23"/>
      <c r="L847" s="23"/>
      <c r="M847" s="23"/>
      <c r="N847" s="23"/>
      <c r="O847" s="23"/>
      <c r="P847" s="23"/>
      <c r="Q847" s="23"/>
      <c r="R847" s="23"/>
    </row>
    <row r="848" spans="1:18" x14ac:dyDescent="0.2">
      <c r="A848" s="4">
        <v>51</v>
      </c>
      <c r="B848" s="4">
        <v>0</v>
      </c>
      <c r="C848" s="4">
        <v>34.200000000000003</v>
      </c>
      <c r="D848" s="4">
        <v>1</v>
      </c>
      <c r="E848" s="4">
        <v>0</v>
      </c>
      <c r="F848" s="4">
        <v>4</v>
      </c>
      <c r="G848" s="4">
        <v>9872.7009999999991</v>
      </c>
      <c r="I848" s="23"/>
      <c r="J848" s="23"/>
      <c r="K848" s="23"/>
      <c r="L848" s="23"/>
      <c r="M848" s="23"/>
      <c r="N848" s="23"/>
      <c r="O848" s="23"/>
      <c r="P848" s="23"/>
      <c r="Q848" s="23"/>
      <c r="R848" s="23"/>
    </row>
    <row r="849" spans="1:18" x14ac:dyDescent="0.2">
      <c r="A849" s="4">
        <v>23</v>
      </c>
      <c r="B849" s="4">
        <v>1</v>
      </c>
      <c r="C849" s="4">
        <v>50.38</v>
      </c>
      <c r="D849" s="4">
        <v>1</v>
      </c>
      <c r="E849" s="4">
        <v>0</v>
      </c>
      <c r="F849" s="4">
        <v>2</v>
      </c>
      <c r="G849" s="4">
        <v>2438.0551999999998</v>
      </c>
      <c r="I849" s="23"/>
      <c r="J849" s="23"/>
      <c r="K849" s="23"/>
      <c r="L849" s="23"/>
      <c r="M849" s="23"/>
      <c r="N849" s="23"/>
      <c r="O849" s="23"/>
      <c r="P849" s="23"/>
      <c r="Q849" s="23"/>
      <c r="R849" s="23"/>
    </row>
    <row r="850" spans="1:18" x14ac:dyDescent="0.2">
      <c r="A850" s="4">
        <v>27</v>
      </c>
      <c r="B850" s="4">
        <v>0</v>
      </c>
      <c r="C850" s="4">
        <v>24.1</v>
      </c>
      <c r="D850" s="4">
        <v>0</v>
      </c>
      <c r="E850" s="4">
        <v>0</v>
      </c>
      <c r="F850" s="4">
        <v>4</v>
      </c>
      <c r="G850" s="4">
        <v>2974.1260000000002</v>
      </c>
      <c r="I850" s="23"/>
      <c r="J850" s="23"/>
      <c r="K850" s="23"/>
      <c r="L850" s="23"/>
      <c r="M850" s="23"/>
      <c r="N850" s="23"/>
      <c r="O850" s="23"/>
      <c r="P850" s="23"/>
      <c r="Q850" s="23"/>
      <c r="R850" s="23"/>
    </row>
    <row r="851" spans="1:18" x14ac:dyDescent="0.2">
      <c r="A851" s="4">
        <v>55</v>
      </c>
      <c r="B851" s="4">
        <v>1</v>
      </c>
      <c r="C851" s="4">
        <v>32.774999999999999</v>
      </c>
      <c r="D851" s="4">
        <v>0</v>
      </c>
      <c r="E851" s="4">
        <v>0</v>
      </c>
      <c r="F851" s="4">
        <v>3</v>
      </c>
      <c r="G851" s="4">
        <v>10601.632250000001</v>
      </c>
      <c r="I851" s="23"/>
      <c r="J851" s="23"/>
      <c r="K851" s="23"/>
      <c r="L851" s="23"/>
      <c r="M851" s="23"/>
      <c r="N851" s="23"/>
      <c r="O851" s="23"/>
      <c r="P851" s="23"/>
      <c r="Q851" s="23"/>
      <c r="R851" s="23"/>
    </row>
    <row r="852" spans="1:18" x14ac:dyDescent="0.2">
      <c r="A852" s="4">
        <v>37</v>
      </c>
      <c r="B852" s="4">
        <v>0</v>
      </c>
      <c r="C852" s="4">
        <v>30.78</v>
      </c>
      <c r="D852" s="4">
        <v>0</v>
      </c>
      <c r="E852" s="4">
        <v>1</v>
      </c>
      <c r="F852" s="4">
        <v>1</v>
      </c>
      <c r="G852" s="4">
        <v>37270.1512</v>
      </c>
      <c r="I852" s="23"/>
      <c r="J852" s="23"/>
      <c r="K852" s="23"/>
      <c r="L852" s="23"/>
      <c r="M852" s="23"/>
      <c r="N852" s="23"/>
      <c r="O852" s="23"/>
      <c r="P852" s="23"/>
      <c r="Q852" s="23"/>
      <c r="R852" s="23"/>
    </row>
    <row r="853" spans="1:18" x14ac:dyDescent="0.2">
      <c r="A853" s="4">
        <v>61</v>
      </c>
      <c r="B853" s="4">
        <v>1</v>
      </c>
      <c r="C853" s="4">
        <v>32.299999999999997</v>
      </c>
      <c r="D853" s="4">
        <v>2</v>
      </c>
      <c r="E853" s="4">
        <v>0</v>
      </c>
      <c r="F853" s="4">
        <v>3</v>
      </c>
      <c r="G853" s="4">
        <v>14119.62</v>
      </c>
      <c r="I853" s="23"/>
      <c r="J853" s="23"/>
      <c r="K853" s="23"/>
      <c r="L853" s="23"/>
      <c r="M853" s="23"/>
      <c r="N853" s="23"/>
      <c r="O853" s="23"/>
      <c r="P853" s="23"/>
      <c r="Q853" s="23"/>
      <c r="R853" s="23"/>
    </row>
    <row r="854" spans="1:18" x14ac:dyDescent="0.2">
      <c r="A854" s="4">
        <v>46</v>
      </c>
      <c r="B854" s="4">
        <v>0</v>
      </c>
      <c r="C854" s="4">
        <v>35.53</v>
      </c>
      <c r="D854" s="4">
        <v>0</v>
      </c>
      <c r="E854" s="4">
        <v>1</v>
      </c>
      <c r="F854" s="4">
        <v>1</v>
      </c>
      <c r="G854" s="4">
        <v>42111.664700000001</v>
      </c>
      <c r="I854" s="23"/>
      <c r="J854" s="23"/>
      <c r="K854" s="23"/>
      <c r="L854" s="23"/>
      <c r="M854" s="23"/>
      <c r="N854" s="23"/>
      <c r="O854" s="23"/>
      <c r="P854" s="23"/>
      <c r="Q854" s="23"/>
      <c r="R854" s="23"/>
    </row>
    <row r="855" spans="1:18" x14ac:dyDescent="0.2">
      <c r="A855" s="4">
        <v>53</v>
      </c>
      <c r="B855" s="4">
        <v>0</v>
      </c>
      <c r="C855" s="4">
        <v>23.75</v>
      </c>
      <c r="D855" s="4">
        <v>2</v>
      </c>
      <c r="E855" s="4">
        <v>0</v>
      </c>
      <c r="F855" s="4">
        <v>1</v>
      </c>
      <c r="G855" s="4">
        <v>11729.6795</v>
      </c>
      <c r="I855" s="23"/>
      <c r="J855" s="23"/>
      <c r="K855" s="23"/>
      <c r="L855" s="23"/>
      <c r="M855" s="23"/>
      <c r="N855" s="23"/>
      <c r="O855" s="23"/>
      <c r="P855" s="23"/>
      <c r="Q855" s="23"/>
      <c r="R855" s="23"/>
    </row>
    <row r="856" spans="1:18" x14ac:dyDescent="0.2">
      <c r="A856" s="4">
        <v>49</v>
      </c>
      <c r="B856" s="4">
        <v>0</v>
      </c>
      <c r="C856" s="4">
        <v>23.844999999999999</v>
      </c>
      <c r="D856" s="4">
        <v>3</v>
      </c>
      <c r="E856" s="4">
        <v>1</v>
      </c>
      <c r="F856" s="4">
        <v>1</v>
      </c>
      <c r="G856" s="4">
        <v>24106.912550000001</v>
      </c>
      <c r="I856" s="23"/>
      <c r="J856" s="23"/>
      <c r="K856" s="23"/>
      <c r="L856" s="23"/>
      <c r="M856" s="23"/>
      <c r="N856" s="23"/>
      <c r="O856" s="23"/>
      <c r="P856" s="23"/>
      <c r="Q856" s="23"/>
      <c r="R856" s="23"/>
    </row>
    <row r="857" spans="1:18" x14ac:dyDescent="0.2">
      <c r="A857" s="4">
        <v>20</v>
      </c>
      <c r="B857" s="4">
        <v>0</v>
      </c>
      <c r="C857" s="4">
        <v>29.6</v>
      </c>
      <c r="D857" s="4">
        <v>0</v>
      </c>
      <c r="E857" s="4">
        <v>0</v>
      </c>
      <c r="F857" s="4">
        <v>4</v>
      </c>
      <c r="G857" s="4">
        <v>1875.3440000000001</v>
      </c>
      <c r="I857" s="23"/>
      <c r="J857" s="23"/>
      <c r="K857" s="23"/>
      <c r="L857" s="23"/>
      <c r="M857" s="23"/>
      <c r="N857" s="23"/>
      <c r="O857" s="23"/>
      <c r="P857" s="23"/>
      <c r="Q857" s="23"/>
      <c r="R857" s="23"/>
    </row>
    <row r="858" spans="1:18" x14ac:dyDescent="0.2">
      <c r="A858" s="4">
        <v>48</v>
      </c>
      <c r="B858" s="4">
        <v>0</v>
      </c>
      <c r="C858" s="4">
        <v>33.11</v>
      </c>
      <c r="D858" s="4">
        <v>0</v>
      </c>
      <c r="E858" s="4">
        <v>1</v>
      </c>
      <c r="F858" s="4">
        <v>2</v>
      </c>
      <c r="G858" s="4">
        <v>40974.164900000003</v>
      </c>
      <c r="I858" s="23"/>
      <c r="J858" s="23"/>
      <c r="K858" s="23"/>
      <c r="L858" s="23"/>
      <c r="M858" s="23"/>
      <c r="N858" s="23"/>
      <c r="O858" s="23"/>
      <c r="P858" s="23"/>
      <c r="Q858" s="23"/>
      <c r="R858" s="23"/>
    </row>
    <row r="859" spans="1:18" x14ac:dyDescent="0.2">
      <c r="A859" s="4">
        <v>25</v>
      </c>
      <c r="B859" s="4">
        <v>1</v>
      </c>
      <c r="C859" s="4">
        <v>24.13</v>
      </c>
      <c r="D859" s="4">
        <v>0</v>
      </c>
      <c r="E859" s="4">
        <v>1</v>
      </c>
      <c r="F859" s="4">
        <v>3</v>
      </c>
      <c r="G859" s="4">
        <v>15817.985699999999</v>
      </c>
      <c r="I859" s="23"/>
      <c r="J859" s="23"/>
      <c r="K859" s="23"/>
      <c r="L859" s="23"/>
      <c r="M859" s="23"/>
      <c r="N859" s="23"/>
      <c r="O859" s="23"/>
      <c r="P859" s="23"/>
      <c r="Q859" s="23"/>
      <c r="R859" s="23"/>
    </row>
    <row r="860" spans="1:18" x14ac:dyDescent="0.2">
      <c r="A860" s="4">
        <v>25</v>
      </c>
      <c r="B860" s="4">
        <v>0</v>
      </c>
      <c r="C860" s="4">
        <v>32.229999999999997</v>
      </c>
      <c r="D860" s="4">
        <v>1</v>
      </c>
      <c r="E860" s="4">
        <v>0</v>
      </c>
      <c r="F860" s="4">
        <v>2</v>
      </c>
      <c r="G860" s="4">
        <v>18218.161390000001</v>
      </c>
      <c r="I860" s="23"/>
      <c r="J860" s="23"/>
      <c r="K860" s="23"/>
      <c r="L860" s="23"/>
      <c r="M860" s="23"/>
      <c r="N860" s="23"/>
      <c r="O860" s="23"/>
      <c r="P860" s="23"/>
      <c r="Q860" s="23"/>
      <c r="R860" s="23"/>
    </row>
    <row r="861" spans="1:18" x14ac:dyDescent="0.2">
      <c r="A861" s="4">
        <v>57</v>
      </c>
      <c r="B861" s="4">
        <v>1</v>
      </c>
      <c r="C861" s="4">
        <v>28.1</v>
      </c>
      <c r="D861" s="4">
        <v>0</v>
      </c>
      <c r="E861" s="4">
        <v>0</v>
      </c>
      <c r="F861" s="4">
        <v>4</v>
      </c>
      <c r="G861" s="4">
        <v>10965.446</v>
      </c>
      <c r="I861" s="23"/>
      <c r="J861" s="23"/>
      <c r="K861" s="23"/>
      <c r="L861" s="23"/>
      <c r="M861" s="23"/>
      <c r="N861" s="23"/>
      <c r="O861" s="23"/>
      <c r="P861" s="23"/>
      <c r="Q861" s="23"/>
      <c r="R861" s="23"/>
    </row>
    <row r="862" spans="1:18" x14ac:dyDescent="0.2">
      <c r="A862" s="4">
        <v>37</v>
      </c>
      <c r="B862" s="4">
        <v>0</v>
      </c>
      <c r="C862" s="4">
        <v>47.6</v>
      </c>
      <c r="D862" s="4">
        <v>2</v>
      </c>
      <c r="E862" s="4">
        <v>1</v>
      </c>
      <c r="F862" s="4">
        <v>4</v>
      </c>
      <c r="G862" s="4">
        <v>46113.510999999999</v>
      </c>
      <c r="I862" s="23"/>
      <c r="J862" s="23"/>
      <c r="K862" s="23"/>
      <c r="L862" s="23"/>
      <c r="M862" s="23"/>
      <c r="N862" s="23"/>
      <c r="O862" s="23"/>
      <c r="P862" s="23"/>
      <c r="Q862" s="23"/>
      <c r="R862" s="23"/>
    </row>
    <row r="863" spans="1:18" x14ac:dyDescent="0.2">
      <c r="A863" s="4">
        <v>38</v>
      </c>
      <c r="B863" s="4">
        <v>0</v>
      </c>
      <c r="C863" s="4">
        <v>28</v>
      </c>
      <c r="D863" s="4">
        <v>3</v>
      </c>
      <c r="E863" s="4">
        <v>0</v>
      </c>
      <c r="F863" s="4">
        <v>4</v>
      </c>
      <c r="G863" s="4">
        <v>7151.0919999999996</v>
      </c>
      <c r="I863" s="23"/>
      <c r="J863" s="23"/>
      <c r="K863" s="23"/>
      <c r="L863" s="23"/>
      <c r="M863" s="23"/>
      <c r="N863" s="23"/>
      <c r="O863" s="23"/>
      <c r="P863" s="23"/>
      <c r="Q863" s="23"/>
      <c r="R863" s="23"/>
    </row>
    <row r="864" spans="1:18" x14ac:dyDescent="0.2">
      <c r="A864" s="4">
        <v>55</v>
      </c>
      <c r="B864" s="4">
        <v>0</v>
      </c>
      <c r="C864" s="4">
        <v>33.534999999999997</v>
      </c>
      <c r="D864" s="4">
        <v>2</v>
      </c>
      <c r="E864" s="4">
        <v>0</v>
      </c>
      <c r="F864" s="4">
        <v>3</v>
      </c>
      <c r="G864" s="4">
        <v>12269.68865</v>
      </c>
      <c r="I864" s="23"/>
      <c r="J864" s="23"/>
      <c r="K864" s="23"/>
      <c r="L864" s="23"/>
      <c r="M864" s="23"/>
      <c r="N864" s="23"/>
      <c r="O864" s="23"/>
      <c r="P864" s="23"/>
      <c r="Q864" s="23"/>
      <c r="R864" s="23"/>
    </row>
    <row r="865" spans="1:18" x14ac:dyDescent="0.2">
      <c r="A865" s="4">
        <v>36</v>
      </c>
      <c r="B865" s="4">
        <v>0</v>
      </c>
      <c r="C865" s="4">
        <v>19.855</v>
      </c>
      <c r="D865" s="4">
        <v>0</v>
      </c>
      <c r="E865" s="4">
        <v>0</v>
      </c>
      <c r="F865" s="4">
        <v>1</v>
      </c>
      <c r="G865" s="4">
        <v>5458.0464499999998</v>
      </c>
      <c r="I865" s="23"/>
      <c r="J865" s="23"/>
      <c r="K865" s="23"/>
      <c r="L865" s="23"/>
      <c r="M865" s="23"/>
      <c r="N865" s="23"/>
      <c r="O865" s="23"/>
      <c r="P865" s="23"/>
      <c r="Q865" s="23"/>
      <c r="R865" s="23"/>
    </row>
    <row r="866" spans="1:18" x14ac:dyDescent="0.2">
      <c r="A866" s="4">
        <v>51</v>
      </c>
      <c r="B866" s="4">
        <v>1</v>
      </c>
      <c r="C866" s="4">
        <v>25.4</v>
      </c>
      <c r="D866" s="4">
        <v>0</v>
      </c>
      <c r="E866" s="4">
        <v>0</v>
      </c>
      <c r="F866" s="4">
        <v>4</v>
      </c>
      <c r="G866" s="4">
        <v>8782.4689999999991</v>
      </c>
      <c r="I866" s="23"/>
      <c r="J866" s="23"/>
      <c r="K866" s="23"/>
      <c r="L866" s="23"/>
      <c r="M866" s="23"/>
      <c r="N866" s="23"/>
      <c r="O866" s="23"/>
      <c r="P866" s="23"/>
      <c r="Q866" s="23"/>
      <c r="R866" s="23"/>
    </row>
    <row r="867" spans="1:18" x14ac:dyDescent="0.2">
      <c r="A867" s="4">
        <v>40</v>
      </c>
      <c r="B867" s="4">
        <v>1</v>
      </c>
      <c r="C867" s="4">
        <v>29.9</v>
      </c>
      <c r="D867" s="4">
        <v>2</v>
      </c>
      <c r="E867" s="4">
        <v>0</v>
      </c>
      <c r="F867" s="4">
        <v>4</v>
      </c>
      <c r="G867" s="4">
        <v>6600.3609999999999</v>
      </c>
      <c r="I867" s="23"/>
      <c r="J867" s="23"/>
      <c r="K867" s="23"/>
      <c r="L867" s="23"/>
      <c r="M867" s="23"/>
      <c r="N867" s="23"/>
      <c r="O867" s="23"/>
      <c r="P867" s="23"/>
      <c r="Q867" s="23"/>
      <c r="R867" s="23"/>
    </row>
    <row r="868" spans="1:18" x14ac:dyDescent="0.2">
      <c r="A868" s="4">
        <v>18</v>
      </c>
      <c r="B868" s="4">
        <v>1</v>
      </c>
      <c r="C868" s="4">
        <v>37.29</v>
      </c>
      <c r="D868" s="4">
        <v>0</v>
      </c>
      <c r="E868" s="4">
        <v>0</v>
      </c>
      <c r="F868" s="4">
        <v>2</v>
      </c>
      <c r="G868" s="4">
        <v>1141.4450999999999</v>
      </c>
      <c r="I868" s="23"/>
      <c r="J868" s="23"/>
      <c r="K868" s="23"/>
      <c r="L868" s="23"/>
      <c r="M868" s="23"/>
      <c r="N868" s="23"/>
      <c r="O868" s="23"/>
      <c r="P868" s="23"/>
      <c r="Q868" s="23"/>
      <c r="R868" s="23"/>
    </row>
    <row r="869" spans="1:18" x14ac:dyDescent="0.2">
      <c r="A869" s="4">
        <v>57</v>
      </c>
      <c r="B869" s="4">
        <v>1</v>
      </c>
      <c r="C869" s="4">
        <v>43.7</v>
      </c>
      <c r="D869" s="4">
        <v>1</v>
      </c>
      <c r="E869" s="4">
        <v>0</v>
      </c>
      <c r="F869" s="4">
        <v>4</v>
      </c>
      <c r="G869" s="4">
        <v>11576.13</v>
      </c>
      <c r="I869" s="23"/>
      <c r="J869" s="23"/>
      <c r="K869" s="23"/>
      <c r="L869" s="23"/>
      <c r="M869" s="23"/>
      <c r="N869" s="23"/>
      <c r="O869" s="23"/>
      <c r="P869" s="23"/>
      <c r="Q869" s="23"/>
      <c r="R869" s="23"/>
    </row>
    <row r="870" spans="1:18" x14ac:dyDescent="0.2">
      <c r="A870" s="4">
        <v>61</v>
      </c>
      <c r="B870" s="4">
        <v>1</v>
      </c>
      <c r="C870" s="4">
        <v>23.655000000000001</v>
      </c>
      <c r="D870" s="4">
        <v>0</v>
      </c>
      <c r="E870" s="4">
        <v>0</v>
      </c>
      <c r="F870" s="4">
        <v>1</v>
      </c>
      <c r="G870" s="4">
        <v>13129.603450000001</v>
      </c>
      <c r="I870" s="23"/>
      <c r="J870" s="23"/>
      <c r="K870" s="23"/>
      <c r="L870" s="23"/>
      <c r="M870" s="23"/>
      <c r="N870" s="23"/>
      <c r="O870" s="23"/>
      <c r="P870" s="23"/>
      <c r="Q870" s="23"/>
      <c r="R870" s="23"/>
    </row>
    <row r="871" spans="1:18" x14ac:dyDescent="0.2">
      <c r="A871" s="4">
        <v>25</v>
      </c>
      <c r="B871" s="4">
        <v>0</v>
      </c>
      <c r="C871" s="4">
        <v>24.3</v>
      </c>
      <c r="D871" s="4">
        <v>3</v>
      </c>
      <c r="E871" s="4">
        <v>0</v>
      </c>
      <c r="F871" s="4">
        <v>4</v>
      </c>
      <c r="G871" s="4">
        <v>4391.652</v>
      </c>
      <c r="I871" s="23"/>
      <c r="J871" s="23"/>
      <c r="K871" s="23"/>
      <c r="L871" s="23"/>
      <c r="M871" s="23"/>
      <c r="N871" s="23"/>
      <c r="O871" s="23"/>
      <c r="P871" s="23"/>
      <c r="Q871" s="23"/>
      <c r="R871" s="23"/>
    </row>
    <row r="872" spans="1:18" x14ac:dyDescent="0.2">
      <c r="A872" s="4">
        <v>50</v>
      </c>
      <c r="B872" s="4">
        <v>1</v>
      </c>
      <c r="C872" s="4">
        <v>36.200000000000003</v>
      </c>
      <c r="D872" s="4">
        <v>0</v>
      </c>
      <c r="E872" s="4">
        <v>0</v>
      </c>
      <c r="F872" s="4">
        <v>4</v>
      </c>
      <c r="G872" s="4">
        <v>8457.8179999999993</v>
      </c>
      <c r="I872" s="23"/>
      <c r="J872" s="23"/>
      <c r="K872" s="23"/>
      <c r="L872" s="23"/>
      <c r="M872" s="23"/>
      <c r="N872" s="23"/>
      <c r="O872" s="23"/>
      <c r="P872" s="23"/>
      <c r="Q872" s="23"/>
      <c r="R872" s="23"/>
    </row>
    <row r="873" spans="1:18" x14ac:dyDescent="0.2">
      <c r="A873" s="4">
        <v>26</v>
      </c>
      <c r="B873" s="4">
        <v>0</v>
      </c>
      <c r="C873" s="4">
        <v>29.48</v>
      </c>
      <c r="D873" s="4">
        <v>1</v>
      </c>
      <c r="E873" s="4">
        <v>0</v>
      </c>
      <c r="F873" s="4">
        <v>2</v>
      </c>
      <c r="G873" s="4">
        <v>3392.3652000000002</v>
      </c>
      <c r="I873" s="23"/>
      <c r="J873" s="23"/>
      <c r="K873" s="23"/>
      <c r="L873" s="23"/>
      <c r="M873" s="23"/>
      <c r="N873" s="23"/>
      <c r="O873" s="23"/>
      <c r="P873" s="23"/>
      <c r="Q873" s="23"/>
      <c r="R873" s="23"/>
    </row>
    <row r="874" spans="1:18" x14ac:dyDescent="0.2">
      <c r="A874" s="4">
        <v>42</v>
      </c>
      <c r="B874" s="4">
        <v>1</v>
      </c>
      <c r="C874" s="4">
        <v>24.86</v>
      </c>
      <c r="D874" s="4">
        <v>0</v>
      </c>
      <c r="E874" s="4">
        <v>0</v>
      </c>
      <c r="F874" s="4">
        <v>2</v>
      </c>
      <c r="G874" s="4">
        <v>5966.8873999999996</v>
      </c>
      <c r="I874" s="23"/>
      <c r="J874" s="23"/>
      <c r="K874" s="23"/>
      <c r="L874" s="23"/>
      <c r="M874" s="23"/>
      <c r="N874" s="23"/>
      <c r="O874" s="23"/>
      <c r="P874" s="23"/>
      <c r="Q874" s="23"/>
      <c r="R874" s="23"/>
    </row>
    <row r="875" spans="1:18" x14ac:dyDescent="0.2">
      <c r="A875" s="4">
        <v>43</v>
      </c>
      <c r="B875" s="4">
        <v>1</v>
      </c>
      <c r="C875" s="4">
        <v>30.1</v>
      </c>
      <c r="D875" s="4">
        <v>1</v>
      </c>
      <c r="E875" s="4">
        <v>0</v>
      </c>
      <c r="F875" s="4">
        <v>4</v>
      </c>
      <c r="G875" s="4">
        <v>6849.0259999999998</v>
      </c>
      <c r="I875" s="23"/>
      <c r="J875" s="23"/>
      <c r="K875" s="23"/>
      <c r="L875" s="23"/>
      <c r="M875" s="23"/>
      <c r="N875" s="23"/>
      <c r="O875" s="23"/>
      <c r="P875" s="23"/>
      <c r="Q875" s="23"/>
      <c r="R875" s="23"/>
    </row>
    <row r="876" spans="1:18" x14ac:dyDescent="0.2">
      <c r="A876" s="4">
        <v>44</v>
      </c>
      <c r="B876" s="4">
        <v>1</v>
      </c>
      <c r="C876" s="4">
        <v>21.85</v>
      </c>
      <c r="D876" s="4">
        <v>3</v>
      </c>
      <c r="E876" s="4">
        <v>0</v>
      </c>
      <c r="F876" s="4">
        <v>1</v>
      </c>
      <c r="G876" s="4">
        <v>8891.1394999999993</v>
      </c>
      <c r="I876" s="23"/>
      <c r="J876" s="23"/>
      <c r="K876" s="23"/>
      <c r="L876" s="23"/>
      <c r="M876" s="23"/>
      <c r="N876" s="23"/>
      <c r="O876" s="23"/>
      <c r="P876" s="23"/>
      <c r="Q876" s="23"/>
      <c r="R876" s="23"/>
    </row>
    <row r="877" spans="1:18" x14ac:dyDescent="0.2">
      <c r="A877" s="4">
        <v>23</v>
      </c>
      <c r="B877" s="4">
        <v>0</v>
      </c>
      <c r="C877" s="4">
        <v>28.12</v>
      </c>
      <c r="D877" s="4">
        <v>0</v>
      </c>
      <c r="E877" s="4">
        <v>0</v>
      </c>
      <c r="F877" s="4">
        <v>3</v>
      </c>
      <c r="G877" s="4">
        <v>2690.1138000000001</v>
      </c>
      <c r="I877" s="23"/>
      <c r="J877" s="23"/>
      <c r="K877" s="23"/>
      <c r="L877" s="23"/>
      <c r="M877" s="23"/>
      <c r="N877" s="23"/>
      <c r="O877" s="23"/>
      <c r="P877" s="23"/>
      <c r="Q877" s="23"/>
      <c r="R877" s="23"/>
    </row>
    <row r="878" spans="1:18" x14ac:dyDescent="0.2">
      <c r="A878" s="4">
        <v>49</v>
      </c>
      <c r="B878" s="4">
        <v>0</v>
      </c>
      <c r="C878" s="4">
        <v>27.1</v>
      </c>
      <c r="D878" s="4">
        <v>1</v>
      </c>
      <c r="E878" s="4">
        <v>0</v>
      </c>
      <c r="F878" s="4">
        <v>4</v>
      </c>
      <c r="G878" s="4">
        <v>26140.3603</v>
      </c>
      <c r="I878" s="23"/>
      <c r="J878" s="23"/>
      <c r="K878" s="23"/>
      <c r="L878" s="23"/>
      <c r="M878" s="23"/>
      <c r="N878" s="23"/>
      <c r="O878" s="23"/>
      <c r="P878" s="23"/>
      <c r="Q878" s="23"/>
      <c r="R878" s="23"/>
    </row>
    <row r="879" spans="1:18" x14ac:dyDescent="0.2">
      <c r="A879" s="4">
        <v>33</v>
      </c>
      <c r="B879" s="4">
        <v>1</v>
      </c>
      <c r="C879" s="4">
        <v>33.44</v>
      </c>
      <c r="D879" s="4">
        <v>5</v>
      </c>
      <c r="E879" s="4">
        <v>0</v>
      </c>
      <c r="F879" s="4">
        <v>2</v>
      </c>
      <c r="G879" s="4">
        <v>6653.7885999999999</v>
      </c>
      <c r="I879" s="23"/>
      <c r="J879" s="23"/>
      <c r="K879" s="23"/>
      <c r="L879" s="23"/>
      <c r="M879" s="23"/>
      <c r="N879" s="23"/>
      <c r="O879" s="23"/>
      <c r="P879" s="23"/>
      <c r="Q879" s="23"/>
      <c r="R879" s="23"/>
    </row>
    <row r="880" spans="1:18" x14ac:dyDescent="0.2">
      <c r="A880" s="4">
        <v>41</v>
      </c>
      <c r="B880" s="4">
        <v>1</v>
      </c>
      <c r="C880" s="4">
        <v>28.8</v>
      </c>
      <c r="D880" s="4">
        <v>1</v>
      </c>
      <c r="E880" s="4">
        <v>0</v>
      </c>
      <c r="F880" s="4">
        <v>4</v>
      </c>
      <c r="G880" s="4">
        <v>6282.2349999999997</v>
      </c>
      <c r="I880" s="23"/>
      <c r="J880" s="23"/>
      <c r="K880" s="23"/>
      <c r="L880" s="23"/>
      <c r="M880" s="23"/>
      <c r="N880" s="23"/>
      <c r="O880" s="23"/>
      <c r="P880" s="23"/>
      <c r="Q880" s="23"/>
      <c r="R880" s="23"/>
    </row>
    <row r="881" spans="1:18" x14ac:dyDescent="0.2">
      <c r="A881" s="4">
        <v>37</v>
      </c>
      <c r="B881" s="4">
        <v>0</v>
      </c>
      <c r="C881" s="4">
        <v>29.5</v>
      </c>
      <c r="D881" s="4">
        <v>2</v>
      </c>
      <c r="E881" s="4">
        <v>0</v>
      </c>
      <c r="F881" s="4">
        <v>4</v>
      </c>
      <c r="G881" s="4">
        <v>6311.9520000000002</v>
      </c>
      <c r="I881" s="23"/>
      <c r="J881" s="23"/>
      <c r="K881" s="23"/>
      <c r="L881" s="23"/>
      <c r="M881" s="23"/>
      <c r="N881" s="23"/>
      <c r="O881" s="23"/>
      <c r="P881" s="23"/>
      <c r="Q881" s="23"/>
      <c r="R881" s="23"/>
    </row>
    <row r="882" spans="1:18" x14ac:dyDescent="0.2">
      <c r="A882" s="4">
        <v>22</v>
      </c>
      <c r="B882" s="4">
        <v>1</v>
      </c>
      <c r="C882" s="4">
        <v>34.799999999999997</v>
      </c>
      <c r="D882" s="4">
        <v>3</v>
      </c>
      <c r="E882" s="4">
        <v>0</v>
      </c>
      <c r="F882" s="4">
        <v>4</v>
      </c>
      <c r="G882" s="4">
        <v>3443.0639999999999</v>
      </c>
      <c r="I882" s="23"/>
      <c r="J882" s="23"/>
      <c r="K882" s="23"/>
      <c r="L882" s="23"/>
      <c r="M882" s="23"/>
      <c r="N882" s="23"/>
      <c r="O882" s="23"/>
      <c r="P882" s="23"/>
      <c r="Q882" s="23"/>
      <c r="R882" s="23"/>
    </row>
    <row r="883" spans="1:18" x14ac:dyDescent="0.2">
      <c r="A883" s="4">
        <v>23</v>
      </c>
      <c r="B883" s="4">
        <v>1</v>
      </c>
      <c r="C883" s="4">
        <v>27.36</v>
      </c>
      <c r="D883" s="4">
        <v>1</v>
      </c>
      <c r="E883" s="4">
        <v>0</v>
      </c>
      <c r="F883" s="4">
        <v>3</v>
      </c>
      <c r="G883" s="4">
        <v>2789.0574000000001</v>
      </c>
      <c r="I883" s="23"/>
      <c r="J883" s="23"/>
      <c r="K883" s="23"/>
      <c r="L883" s="23"/>
      <c r="M883" s="23"/>
      <c r="N883" s="23"/>
      <c r="O883" s="23"/>
      <c r="P883" s="23"/>
      <c r="Q883" s="23"/>
      <c r="R883" s="23"/>
    </row>
    <row r="884" spans="1:18" x14ac:dyDescent="0.2">
      <c r="A884" s="4">
        <v>21</v>
      </c>
      <c r="B884" s="4">
        <v>0</v>
      </c>
      <c r="C884" s="4">
        <v>22.135000000000002</v>
      </c>
      <c r="D884" s="4">
        <v>0</v>
      </c>
      <c r="E884" s="4">
        <v>0</v>
      </c>
      <c r="F884" s="4">
        <v>1</v>
      </c>
      <c r="G884" s="4">
        <v>2585.8506499999999</v>
      </c>
      <c r="I884" s="23"/>
      <c r="J884" s="23"/>
      <c r="K884" s="23"/>
      <c r="L884" s="23"/>
      <c r="M884" s="23"/>
      <c r="N884" s="23"/>
      <c r="O884" s="23"/>
      <c r="P884" s="23"/>
      <c r="Q884" s="23"/>
      <c r="R884" s="23"/>
    </row>
    <row r="885" spans="1:18" x14ac:dyDescent="0.2">
      <c r="A885" s="4">
        <v>51</v>
      </c>
      <c r="B885" s="4">
        <v>0</v>
      </c>
      <c r="C885" s="4">
        <v>37.049999999999997</v>
      </c>
      <c r="D885" s="4">
        <v>3</v>
      </c>
      <c r="E885" s="4">
        <v>1</v>
      </c>
      <c r="F885" s="4">
        <v>1</v>
      </c>
      <c r="G885" s="4">
        <v>46255.112500000003</v>
      </c>
      <c r="I885" s="23"/>
      <c r="J885" s="23"/>
      <c r="K885" s="23"/>
      <c r="L885" s="23"/>
      <c r="M885" s="23"/>
      <c r="N885" s="23"/>
      <c r="O885" s="23"/>
      <c r="P885" s="23"/>
      <c r="Q885" s="23"/>
      <c r="R885" s="23"/>
    </row>
    <row r="886" spans="1:18" x14ac:dyDescent="0.2">
      <c r="A886" s="4">
        <v>25</v>
      </c>
      <c r="B886" s="4">
        <v>1</v>
      </c>
      <c r="C886" s="4">
        <v>26.695</v>
      </c>
      <c r="D886" s="4">
        <v>4</v>
      </c>
      <c r="E886" s="4">
        <v>0</v>
      </c>
      <c r="F886" s="4">
        <v>3</v>
      </c>
      <c r="G886" s="4">
        <v>4877.9810500000003</v>
      </c>
      <c r="I886" s="23"/>
      <c r="J886" s="23"/>
      <c r="K886" s="23"/>
      <c r="L886" s="23"/>
      <c r="M886" s="23"/>
      <c r="N886" s="23"/>
      <c r="O886" s="23"/>
      <c r="P886" s="23"/>
      <c r="Q886" s="23"/>
      <c r="R886" s="23"/>
    </row>
    <row r="887" spans="1:18" x14ac:dyDescent="0.2">
      <c r="A887" s="4">
        <v>32</v>
      </c>
      <c r="B887" s="4">
        <v>1</v>
      </c>
      <c r="C887" s="4">
        <v>28.93</v>
      </c>
      <c r="D887" s="4">
        <v>1</v>
      </c>
      <c r="E887" s="4">
        <v>1</v>
      </c>
      <c r="F887" s="4">
        <v>2</v>
      </c>
      <c r="G887" s="4">
        <v>19719.6947</v>
      </c>
      <c r="I887" s="23"/>
      <c r="J887" s="23"/>
      <c r="K887" s="23"/>
      <c r="L887" s="23"/>
      <c r="M887" s="23"/>
      <c r="N887" s="23"/>
      <c r="O887" s="23"/>
      <c r="P887" s="23"/>
      <c r="Q887" s="23"/>
      <c r="R887" s="23"/>
    </row>
    <row r="888" spans="1:18" x14ac:dyDescent="0.2">
      <c r="A888" s="4">
        <v>57</v>
      </c>
      <c r="B888" s="4">
        <v>1</v>
      </c>
      <c r="C888" s="4">
        <v>28.975000000000001</v>
      </c>
      <c r="D888" s="4">
        <v>0</v>
      </c>
      <c r="E888" s="4">
        <v>1</v>
      </c>
      <c r="F888" s="4">
        <v>1</v>
      </c>
      <c r="G888" s="4">
        <v>27218.437249999999</v>
      </c>
      <c r="I888" s="23"/>
      <c r="J888" s="23"/>
      <c r="K888" s="23"/>
      <c r="L888" s="23"/>
      <c r="M888" s="23"/>
      <c r="N888" s="23"/>
      <c r="O888" s="23"/>
      <c r="P888" s="23"/>
      <c r="Q888" s="23"/>
      <c r="R888" s="23"/>
    </row>
    <row r="889" spans="1:18" x14ac:dyDescent="0.2">
      <c r="A889" s="4">
        <v>36</v>
      </c>
      <c r="B889" s="4">
        <v>0</v>
      </c>
      <c r="C889" s="4">
        <v>30.02</v>
      </c>
      <c r="D889" s="4">
        <v>0</v>
      </c>
      <c r="E889" s="4">
        <v>0</v>
      </c>
      <c r="F889" s="4">
        <v>3</v>
      </c>
      <c r="G889" s="4">
        <v>5272.1758</v>
      </c>
      <c r="I889" s="23"/>
      <c r="J889" s="23"/>
      <c r="K889" s="23"/>
      <c r="L889" s="23"/>
      <c r="M889" s="23"/>
      <c r="N889" s="23"/>
      <c r="O889" s="23"/>
      <c r="P889" s="23"/>
      <c r="Q889" s="23"/>
      <c r="R889" s="23"/>
    </row>
    <row r="890" spans="1:18" x14ac:dyDescent="0.2">
      <c r="A890" s="4">
        <v>22</v>
      </c>
      <c r="B890" s="4">
        <v>1</v>
      </c>
      <c r="C890" s="4">
        <v>39.5</v>
      </c>
      <c r="D890" s="4">
        <v>0</v>
      </c>
      <c r="E890" s="4">
        <v>0</v>
      </c>
      <c r="F890" s="4">
        <v>4</v>
      </c>
      <c r="G890" s="4">
        <v>1682.597</v>
      </c>
      <c r="I890" s="23"/>
      <c r="J890" s="23"/>
      <c r="K890" s="23"/>
      <c r="L890" s="23"/>
      <c r="M890" s="23"/>
      <c r="N890" s="23"/>
      <c r="O890" s="23"/>
      <c r="P890" s="23"/>
      <c r="Q890" s="23"/>
      <c r="R890" s="23"/>
    </row>
    <row r="891" spans="1:18" x14ac:dyDescent="0.2">
      <c r="A891" s="4">
        <v>57</v>
      </c>
      <c r="B891" s="4">
        <v>1</v>
      </c>
      <c r="C891" s="4">
        <v>33.630000000000003</v>
      </c>
      <c r="D891" s="4">
        <v>1</v>
      </c>
      <c r="E891" s="4">
        <v>0</v>
      </c>
      <c r="F891" s="4">
        <v>3</v>
      </c>
      <c r="G891" s="4">
        <v>11945.1327</v>
      </c>
      <c r="I891" s="23"/>
      <c r="J891" s="23"/>
      <c r="K891" s="23"/>
      <c r="L891" s="23"/>
      <c r="M891" s="23"/>
      <c r="N891" s="23"/>
      <c r="O891" s="23"/>
      <c r="P891" s="23"/>
      <c r="Q891" s="23"/>
      <c r="R891" s="23"/>
    </row>
    <row r="892" spans="1:18" x14ac:dyDescent="0.2">
      <c r="A892" s="4">
        <v>64</v>
      </c>
      <c r="B892" s="4">
        <v>0</v>
      </c>
      <c r="C892" s="4">
        <v>26.885000000000002</v>
      </c>
      <c r="D892" s="4">
        <v>0</v>
      </c>
      <c r="E892" s="4">
        <v>1</v>
      </c>
      <c r="F892" s="4">
        <v>3</v>
      </c>
      <c r="G892" s="4">
        <v>29330.98315</v>
      </c>
      <c r="I892" s="23"/>
      <c r="J892" s="23"/>
      <c r="K892" s="23"/>
      <c r="L892" s="23"/>
      <c r="M892" s="23"/>
      <c r="N892" s="23"/>
      <c r="O892" s="23"/>
      <c r="P892" s="23"/>
      <c r="Q892" s="23"/>
      <c r="R892" s="23"/>
    </row>
    <row r="893" spans="1:18" x14ac:dyDescent="0.2">
      <c r="A893" s="4">
        <v>36</v>
      </c>
      <c r="B893" s="4">
        <v>0</v>
      </c>
      <c r="C893" s="4">
        <v>29.04</v>
      </c>
      <c r="D893" s="4">
        <v>4</v>
      </c>
      <c r="E893" s="4">
        <v>0</v>
      </c>
      <c r="F893" s="4">
        <v>2</v>
      </c>
      <c r="G893" s="4">
        <v>7243.8136000000004</v>
      </c>
      <c r="I893" s="23"/>
      <c r="J893" s="23"/>
      <c r="K893" s="23"/>
      <c r="L893" s="23"/>
      <c r="M893" s="23"/>
      <c r="N893" s="23"/>
      <c r="O893" s="23"/>
      <c r="P893" s="23"/>
      <c r="Q893" s="23"/>
      <c r="R893" s="23"/>
    </row>
    <row r="894" spans="1:18" x14ac:dyDescent="0.2">
      <c r="A894" s="4">
        <v>54</v>
      </c>
      <c r="B894" s="4">
        <v>1</v>
      </c>
      <c r="C894" s="4">
        <v>24.035</v>
      </c>
      <c r="D894" s="4">
        <v>0</v>
      </c>
      <c r="E894" s="4">
        <v>0</v>
      </c>
      <c r="F894" s="4">
        <v>1</v>
      </c>
      <c r="G894" s="4">
        <v>10422.916649999999</v>
      </c>
      <c r="I894" s="23"/>
      <c r="J894" s="23"/>
      <c r="K894" s="23"/>
      <c r="L894" s="23"/>
      <c r="M894" s="23"/>
      <c r="N894" s="23"/>
      <c r="O894" s="23"/>
      <c r="P894" s="23"/>
      <c r="Q894" s="23"/>
      <c r="R894" s="23"/>
    </row>
    <row r="895" spans="1:18" x14ac:dyDescent="0.2">
      <c r="A895" s="4">
        <v>47</v>
      </c>
      <c r="B895" s="4">
        <v>1</v>
      </c>
      <c r="C895" s="4">
        <v>38.94</v>
      </c>
      <c r="D895" s="4">
        <v>2</v>
      </c>
      <c r="E895" s="4">
        <v>1</v>
      </c>
      <c r="F895" s="4">
        <v>2</v>
      </c>
      <c r="G895" s="4">
        <v>44202.653599999998</v>
      </c>
      <c r="I895" s="23"/>
      <c r="J895" s="23"/>
      <c r="K895" s="23"/>
      <c r="L895" s="23"/>
      <c r="M895" s="23"/>
      <c r="N895" s="23"/>
      <c r="O895" s="23"/>
      <c r="P895" s="23"/>
      <c r="Q895" s="23"/>
      <c r="R895" s="23"/>
    </row>
    <row r="896" spans="1:18" x14ac:dyDescent="0.2">
      <c r="A896" s="4">
        <v>62</v>
      </c>
      <c r="B896" s="4">
        <v>1</v>
      </c>
      <c r="C896" s="4">
        <v>32.11</v>
      </c>
      <c r="D896" s="4">
        <v>0</v>
      </c>
      <c r="E896" s="4">
        <v>0</v>
      </c>
      <c r="F896" s="4">
        <v>1</v>
      </c>
      <c r="G896" s="4">
        <v>13555.0049</v>
      </c>
      <c r="I896" s="23"/>
      <c r="J896" s="23"/>
      <c r="K896" s="23"/>
      <c r="L896" s="23"/>
      <c r="M896" s="23"/>
      <c r="N896" s="23"/>
      <c r="O896" s="23"/>
      <c r="P896" s="23"/>
      <c r="Q896" s="23"/>
      <c r="R896" s="23"/>
    </row>
    <row r="897" spans="1:18" x14ac:dyDescent="0.2">
      <c r="A897" s="4">
        <v>61</v>
      </c>
      <c r="B897" s="4">
        <v>0</v>
      </c>
      <c r="C897" s="4">
        <v>44</v>
      </c>
      <c r="D897" s="4">
        <v>0</v>
      </c>
      <c r="E897" s="4">
        <v>0</v>
      </c>
      <c r="F897" s="4">
        <v>4</v>
      </c>
      <c r="G897" s="4">
        <v>13063.883</v>
      </c>
      <c r="I897" s="23"/>
      <c r="J897" s="23"/>
      <c r="K897" s="23"/>
      <c r="L897" s="23"/>
      <c r="M897" s="23"/>
      <c r="N897" s="23"/>
      <c r="O897" s="23"/>
      <c r="P897" s="23"/>
      <c r="Q897" s="23"/>
      <c r="R897" s="23"/>
    </row>
    <row r="898" spans="1:18" x14ac:dyDescent="0.2">
      <c r="A898" s="4">
        <v>43</v>
      </c>
      <c r="B898" s="4">
        <v>0</v>
      </c>
      <c r="C898" s="4">
        <v>20.045000000000002</v>
      </c>
      <c r="D898" s="4">
        <v>2</v>
      </c>
      <c r="E898" s="4">
        <v>1</v>
      </c>
      <c r="F898" s="4">
        <v>1</v>
      </c>
      <c r="G898" s="4">
        <v>19798.054550000001</v>
      </c>
      <c r="I898" s="23"/>
      <c r="J898" s="23"/>
      <c r="K898" s="23"/>
      <c r="L898" s="23"/>
      <c r="M898" s="23"/>
      <c r="N898" s="23"/>
      <c r="O898" s="23"/>
      <c r="P898" s="23"/>
      <c r="Q898" s="23"/>
      <c r="R898" s="23"/>
    </row>
    <row r="899" spans="1:18" x14ac:dyDescent="0.2">
      <c r="A899" s="4">
        <v>19</v>
      </c>
      <c r="B899" s="4">
        <v>1</v>
      </c>
      <c r="C899" s="4">
        <v>25.555</v>
      </c>
      <c r="D899" s="4">
        <v>1</v>
      </c>
      <c r="E899" s="4">
        <v>0</v>
      </c>
      <c r="F899" s="4">
        <v>3</v>
      </c>
      <c r="G899" s="4">
        <v>2221.5644499999999</v>
      </c>
      <c r="I899" s="23"/>
      <c r="J899" s="23"/>
      <c r="K899" s="23"/>
      <c r="L899" s="23"/>
      <c r="M899" s="23"/>
      <c r="N899" s="23"/>
      <c r="O899" s="23"/>
      <c r="P899" s="23"/>
      <c r="Q899" s="23"/>
      <c r="R899" s="23"/>
    </row>
    <row r="900" spans="1:18" x14ac:dyDescent="0.2">
      <c r="A900" s="4">
        <v>18</v>
      </c>
      <c r="B900" s="4">
        <v>0</v>
      </c>
      <c r="C900" s="4">
        <v>40.26</v>
      </c>
      <c r="D900" s="4">
        <v>0</v>
      </c>
      <c r="E900" s="4">
        <v>0</v>
      </c>
      <c r="F900" s="4">
        <v>2</v>
      </c>
      <c r="G900" s="4">
        <v>1634.5734</v>
      </c>
      <c r="I900" s="23"/>
      <c r="J900" s="23"/>
      <c r="K900" s="23"/>
      <c r="L900" s="23"/>
      <c r="M900" s="23"/>
      <c r="N900" s="23"/>
      <c r="O900" s="23"/>
      <c r="P900" s="23"/>
      <c r="Q900" s="23"/>
      <c r="R900" s="23"/>
    </row>
    <row r="901" spans="1:18" x14ac:dyDescent="0.2">
      <c r="A901" s="4">
        <v>19</v>
      </c>
      <c r="B901" s="4">
        <v>0</v>
      </c>
      <c r="C901" s="4">
        <v>22.515000000000001</v>
      </c>
      <c r="D901" s="4">
        <v>0</v>
      </c>
      <c r="E901" s="4">
        <v>0</v>
      </c>
      <c r="F901" s="4">
        <v>3</v>
      </c>
      <c r="G901" s="4">
        <v>2117.3388500000001</v>
      </c>
      <c r="I901" s="23"/>
      <c r="J901" s="23"/>
      <c r="K901" s="23"/>
      <c r="L901" s="23"/>
      <c r="M901" s="23"/>
      <c r="N901" s="23"/>
      <c r="O901" s="23"/>
      <c r="P901" s="23"/>
      <c r="Q901" s="23"/>
      <c r="R901" s="23"/>
    </row>
    <row r="902" spans="1:18" x14ac:dyDescent="0.2">
      <c r="A902" s="4">
        <v>49</v>
      </c>
      <c r="B902" s="4">
        <v>1</v>
      </c>
      <c r="C902" s="4">
        <v>22.515000000000001</v>
      </c>
      <c r="D902" s="4">
        <v>0</v>
      </c>
      <c r="E902" s="4">
        <v>0</v>
      </c>
      <c r="F902" s="4">
        <v>1</v>
      </c>
      <c r="G902" s="4">
        <v>8688.8588500000005</v>
      </c>
      <c r="I902" s="23"/>
      <c r="J902" s="23"/>
      <c r="K902" s="23"/>
      <c r="L902" s="23"/>
      <c r="M902" s="23"/>
      <c r="N902" s="23"/>
      <c r="O902" s="23"/>
      <c r="P902" s="23"/>
      <c r="Q902" s="23"/>
      <c r="R902" s="23"/>
    </row>
    <row r="903" spans="1:18" x14ac:dyDescent="0.2">
      <c r="A903" s="4">
        <v>60</v>
      </c>
      <c r="B903" s="4">
        <v>1</v>
      </c>
      <c r="C903" s="4">
        <v>40.92</v>
      </c>
      <c r="D903" s="4">
        <v>0</v>
      </c>
      <c r="E903" s="4">
        <v>1</v>
      </c>
      <c r="F903" s="4">
        <v>2</v>
      </c>
      <c r="G903" s="4">
        <v>48673.558799999999</v>
      </c>
      <c r="I903" s="23"/>
      <c r="J903" s="23"/>
      <c r="K903" s="23"/>
      <c r="L903" s="23"/>
      <c r="M903" s="23"/>
      <c r="N903" s="23"/>
      <c r="O903" s="23"/>
      <c r="P903" s="23"/>
      <c r="Q903" s="23"/>
      <c r="R903" s="23"/>
    </row>
    <row r="904" spans="1:18" x14ac:dyDescent="0.2">
      <c r="A904" s="4">
        <v>26</v>
      </c>
      <c r="B904" s="4">
        <v>1</v>
      </c>
      <c r="C904" s="4">
        <v>27.265000000000001</v>
      </c>
      <c r="D904" s="4">
        <v>3</v>
      </c>
      <c r="E904" s="4">
        <v>0</v>
      </c>
      <c r="F904" s="4">
        <v>1</v>
      </c>
      <c r="G904" s="4">
        <v>4661.2863500000003</v>
      </c>
      <c r="I904" s="23"/>
      <c r="J904" s="23"/>
      <c r="K904" s="23"/>
      <c r="L904" s="23"/>
      <c r="M904" s="23"/>
      <c r="N904" s="23"/>
      <c r="O904" s="23"/>
      <c r="P904" s="23"/>
      <c r="Q904" s="23"/>
      <c r="R904" s="23"/>
    </row>
    <row r="905" spans="1:18" x14ac:dyDescent="0.2">
      <c r="A905" s="4">
        <v>49</v>
      </c>
      <c r="B905" s="4">
        <v>1</v>
      </c>
      <c r="C905" s="4">
        <v>36.85</v>
      </c>
      <c r="D905" s="4">
        <v>0</v>
      </c>
      <c r="E905" s="4">
        <v>0</v>
      </c>
      <c r="F905" s="4">
        <v>2</v>
      </c>
      <c r="G905" s="4">
        <v>8125.7844999999998</v>
      </c>
      <c r="I905" s="23"/>
      <c r="J905" s="23"/>
      <c r="K905" s="23"/>
      <c r="L905" s="23"/>
      <c r="M905" s="23"/>
      <c r="N905" s="23"/>
      <c r="O905" s="23"/>
      <c r="P905" s="23"/>
      <c r="Q905" s="23"/>
      <c r="R905" s="23"/>
    </row>
    <row r="906" spans="1:18" x14ac:dyDescent="0.2">
      <c r="A906" s="4">
        <v>60</v>
      </c>
      <c r="B906" s="4">
        <v>0</v>
      </c>
      <c r="C906" s="4">
        <v>35.1</v>
      </c>
      <c r="D906" s="4">
        <v>0</v>
      </c>
      <c r="E906" s="4">
        <v>0</v>
      </c>
      <c r="F906" s="4">
        <v>4</v>
      </c>
      <c r="G906" s="4">
        <v>12644.589</v>
      </c>
      <c r="I906" s="23"/>
      <c r="J906" s="23"/>
      <c r="K906" s="23"/>
      <c r="L906" s="23"/>
      <c r="M906" s="23"/>
      <c r="N906" s="23"/>
      <c r="O906" s="23"/>
      <c r="P906" s="23"/>
      <c r="Q906" s="23"/>
      <c r="R906" s="23"/>
    </row>
    <row r="907" spans="1:18" x14ac:dyDescent="0.2">
      <c r="A907" s="4">
        <v>26</v>
      </c>
      <c r="B907" s="4">
        <v>0</v>
      </c>
      <c r="C907" s="4">
        <v>29.355</v>
      </c>
      <c r="D907" s="4">
        <v>2</v>
      </c>
      <c r="E907" s="4">
        <v>0</v>
      </c>
      <c r="F907" s="4">
        <v>1</v>
      </c>
      <c r="G907" s="4">
        <v>4564.1914500000003</v>
      </c>
      <c r="I907" s="23"/>
      <c r="J907" s="23"/>
      <c r="K907" s="23"/>
      <c r="L907" s="23"/>
      <c r="M907" s="23"/>
      <c r="N907" s="23"/>
      <c r="O907" s="23"/>
      <c r="P907" s="23"/>
      <c r="Q907" s="23"/>
      <c r="R907" s="23"/>
    </row>
    <row r="908" spans="1:18" x14ac:dyDescent="0.2">
      <c r="A908" s="4">
        <v>27</v>
      </c>
      <c r="B908" s="4">
        <v>1</v>
      </c>
      <c r="C908" s="4">
        <v>32.585000000000001</v>
      </c>
      <c r="D908" s="4">
        <v>3</v>
      </c>
      <c r="E908" s="4">
        <v>0</v>
      </c>
      <c r="F908" s="4">
        <v>1</v>
      </c>
      <c r="G908" s="4">
        <v>4846.9201499999999</v>
      </c>
      <c r="I908" s="23"/>
      <c r="J908" s="23"/>
      <c r="K908" s="23"/>
      <c r="L908" s="23"/>
      <c r="M908" s="23"/>
      <c r="N908" s="23"/>
      <c r="O908" s="23"/>
      <c r="P908" s="23"/>
      <c r="Q908" s="23"/>
      <c r="R908" s="23"/>
    </row>
    <row r="909" spans="1:18" x14ac:dyDescent="0.2">
      <c r="A909" s="4">
        <v>44</v>
      </c>
      <c r="B909" s="4">
        <v>0</v>
      </c>
      <c r="C909" s="4">
        <v>32.340000000000003</v>
      </c>
      <c r="D909" s="4">
        <v>1</v>
      </c>
      <c r="E909" s="4">
        <v>0</v>
      </c>
      <c r="F909" s="4">
        <v>2</v>
      </c>
      <c r="G909" s="4">
        <v>7633.7205999999996</v>
      </c>
      <c r="I909" s="23"/>
      <c r="J909" s="23"/>
      <c r="K909" s="23"/>
      <c r="L909" s="23"/>
      <c r="M909" s="23"/>
      <c r="N909" s="23"/>
      <c r="O909" s="23"/>
      <c r="P909" s="23"/>
      <c r="Q909" s="23"/>
      <c r="R909" s="23"/>
    </row>
    <row r="910" spans="1:18" x14ac:dyDescent="0.2">
      <c r="A910" s="4">
        <v>63</v>
      </c>
      <c r="B910" s="4">
        <v>1</v>
      </c>
      <c r="C910" s="4">
        <v>39.799999999999997</v>
      </c>
      <c r="D910" s="4">
        <v>3</v>
      </c>
      <c r="E910" s="4">
        <v>0</v>
      </c>
      <c r="F910" s="4">
        <v>4</v>
      </c>
      <c r="G910" s="4">
        <v>15170.069</v>
      </c>
      <c r="I910" s="23"/>
      <c r="J910" s="23"/>
      <c r="K910" s="23"/>
      <c r="L910" s="23"/>
      <c r="M910" s="23"/>
      <c r="N910" s="23"/>
      <c r="O910" s="23"/>
      <c r="P910" s="23"/>
      <c r="Q910" s="23"/>
      <c r="R910" s="23"/>
    </row>
    <row r="911" spans="1:18" x14ac:dyDescent="0.2">
      <c r="A911" s="4">
        <v>32</v>
      </c>
      <c r="B911" s="4">
        <v>0</v>
      </c>
      <c r="C911" s="4">
        <v>24.6</v>
      </c>
      <c r="D911" s="4">
        <v>0</v>
      </c>
      <c r="E911" s="4">
        <v>1</v>
      </c>
      <c r="F911" s="4">
        <v>4</v>
      </c>
      <c r="G911" s="4">
        <v>17496.306</v>
      </c>
      <c r="I911" s="23"/>
      <c r="J911" s="23"/>
      <c r="K911" s="23"/>
      <c r="L911" s="23"/>
      <c r="M911" s="23"/>
      <c r="N911" s="23"/>
      <c r="O911" s="23"/>
      <c r="P911" s="23"/>
      <c r="Q911" s="23"/>
      <c r="R911" s="23"/>
    </row>
    <row r="912" spans="1:18" x14ac:dyDescent="0.2">
      <c r="A912" s="4">
        <v>22</v>
      </c>
      <c r="B912" s="4">
        <v>1</v>
      </c>
      <c r="C912" s="4">
        <v>28.31</v>
      </c>
      <c r="D912" s="4">
        <v>1</v>
      </c>
      <c r="E912" s="4">
        <v>0</v>
      </c>
      <c r="F912" s="4">
        <v>3</v>
      </c>
      <c r="G912" s="4">
        <v>2639.0428999999999</v>
      </c>
      <c r="I912" s="23"/>
      <c r="J912" s="23"/>
      <c r="K912" s="23"/>
      <c r="L912" s="23"/>
      <c r="M912" s="23"/>
      <c r="N912" s="23"/>
      <c r="O912" s="23"/>
      <c r="P912" s="23"/>
      <c r="Q912" s="23"/>
      <c r="R912" s="23"/>
    </row>
    <row r="913" spans="1:18" x14ac:dyDescent="0.2">
      <c r="A913" s="4">
        <v>18</v>
      </c>
      <c r="B913" s="4">
        <v>1</v>
      </c>
      <c r="C913" s="4">
        <v>31.73</v>
      </c>
      <c r="D913" s="4">
        <v>0</v>
      </c>
      <c r="E913" s="4">
        <v>1</v>
      </c>
      <c r="F913" s="4">
        <v>1</v>
      </c>
      <c r="G913" s="4">
        <v>33732.686699999998</v>
      </c>
      <c r="I913" s="23"/>
      <c r="J913" s="23"/>
      <c r="K913" s="23"/>
      <c r="L913" s="23"/>
      <c r="M913" s="23"/>
      <c r="N913" s="23"/>
      <c r="O913" s="23"/>
      <c r="P913" s="23"/>
      <c r="Q913" s="23"/>
      <c r="R913" s="23"/>
    </row>
    <row r="914" spans="1:18" x14ac:dyDescent="0.2">
      <c r="A914" s="4">
        <v>59</v>
      </c>
      <c r="B914" s="4">
        <v>0</v>
      </c>
      <c r="C914" s="4">
        <v>26.695</v>
      </c>
      <c r="D914" s="4">
        <v>3</v>
      </c>
      <c r="E914" s="4">
        <v>0</v>
      </c>
      <c r="F914" s="4">
        <v>3</v>
      </c>
      <c r="G914" s="4">
        <v>14382.709049999999</v>
      </c>
      <c r="I914" s="23"/>
      <c r="J914" s="23"/>
      <c r="K914" s="23"/>
      <c r="L914" s="23"/>
      <c r="M914" s="23"/>
      <c r="N914" s="23"/>
      <c r="O914" s="23"/>
      <c r="P914" s="23"/>
      <c r="Q914" s="23"/>
      <c r="R914" s="23"/>
    </row>
    <row r="915" spans="1:18" x14ac:dyDescent="0.2">
      <c r="A915" s="4">
        <v>44</v>
      </c>
      <c r="B915" s="4">
        <v>0</v>
      </c>
      <c r="C915" s="4">
        <v>27.5</v>
      </c>
      <c r="D915" s="4">
        <v>1</v>
      </c>
      <c r="E915" s="4">
        <v>0</v>
      </c>
      <c r="F915" s="4">
        <v>4</v>
      </c>
      <c r="G915" s="4">
        <v>7626.9930000000004</v>
      </c>
      <c r="I915" s="23"/>
      <c r="J915" s="23"/>
      <c r="K915" s="23"/>
      <c r="L915" s="23"/>
      <c r="M915" s="23"/>
      <c r="N915" s="23"/>
      <c r="O915" s="23"/>
      <c r="P915" s="23"/>
      <c r="Q915" s="23"/>
      <c r="R915" s="23"/>
    </row>
    <row r="916" spans="1:18" x14ac:dyDescent="0.2">
      <c r="A916" s="4">
        <v>33</v>
      </c>
      <c r="B916" s="4">
        <v>1</v>
      </c>
      <c r="C916" s="4">
        <v>24.605</v>
      </c>
      <c r="D916" s="4">
        <v>2</v>
      </c>
      <c r="E916" s="4">
        <v>0</v>
      </c>
      <c r="F916" s="4">
        <v>3</v>
      </c>
      <c r="G916" s="4">
        <v>5257.5079500000002</v>
      </c>
      <c r="I916" s="23"/>
      <c r="J916" s="23"/>
      <c r="K916" s="23"/>
      <c r="L916" s="23"/>
      <c r="M916" s="23"/>
      <c r="N916" s="23"/>
      <c r="O916" s="23"/>
      <c r="P916" s="23"/>
      <c r="Q916" s="23"/>
      <c r="R916" s="23"/>
    </row>
    <row r="917" spans="1:18" x14ac:dyDescent="0.2">
      <c r="A917" s="4">
        <v>24</v>
      </c>
      <c r="B917" s="4">
        <v>0</v>
      </c>
      <c r="C917" s="4">
        <v>33.99</v>
      </c>
      <c r="D917" s="4">
        <v>0</v>
      </c>
      <c r="E917" s="4">
        <v>0</v>
      </c>
      <c r="F917" s="4">
        <v>2</v>
      </c>
      <c r="G917" s="4">
        <v>2473.3341</v>
      </c>
      <c r="I917" s="23"/>
      <c r="J917" s="23"/>
      <c r="K917" s="23"/>
      <c r="L917" s="23"/>
      <c r="M917" s="23"/>
      <c r="N917" s="23"/>
      <c r="O917" s="23"/>
      <c r="P917" s="23"/>
      <c r="Q917" s="23"/>
      <c r="R917" s="23"/>
    </row>
    <row r="918" spans="1:18" x14ac:dyDescent="0.2">
      <c r="A918" s="4">
        <v>43</v>
      </c>
      <c r="B918" s="4">
        <v>0</v>
      </c>
      <c r="C918" s="4">
        <v>26.885000000000002</v>
      </c>
      <c r="D918" s="4">
        <v>0</v>
      </c>
      <c r="E918" s="4">
        <v>1</v>
      </c>
      <c r="F918" s="4">
        <v>3</v>
      </c>
      <c r="G918" s="4">
        <v>21774.32215</v>
      </c>
      <c r="I918" s="23"/>
      <c r="J918" s="23"/>
      <c r="K918" s="23"/>
      <c r="L918" s="23"/>
      <c r="M918" s="23"/>
      <c r="N918" s="23"/>
      <c r="O918" s="23"/>
      <c r="P918" s="23"/>
      <c r="Q918" s="23"/>
      <c r="R918" s="23"/>
    </row>
    <row r="919" spans="1:18" x14ac:dyDescent="0.2">
      <c r="A919" s="4">
        <v>45</v>
      </c>
      <c r="B919" s="4">
        <v>1</v>
      </c>
      <c r="C919" s="4">
        <v>22.895</v>
      </c>
      <c r="D919" s="4">
        <v>0</v>
      </c>
      <c r="E919" s="4">
        <v>1</v>
      </c>
      <c r="F919" s="4">
        <v>1</v>
      </c>
      <c r="G919" s="4">
        <v>35069.374519999998</v>
      </c>
      <c r="I919" s="23"/>
      <c r="J919" s="23"/>
      <c r="K919" s="23"/>
      <c r="L919" s="23"/>
      <c r="M919" s="23"/>
      <c r="N919" s="23"/>
      <c r="O919" s="23"/>
      <c r="P919" s="23"/>
      <c r="Q919" s="23"/>
      <c r="R919" s="23"/>
    </row>
    <row r="920" spans="1:18" x14ac:dyDescent="0.2">
      <c r="A920" s="4">
        <v>61</v>
      </c>
      <c r="B920" s="4">
        <v>0</v>
      </c>
      <c r="C920" s="4">
        <v>28.2</v>
      </c>
      <c r="D920" s="4">
        <v>0</v>
      </c>
      <c r="E920" s="4">
        <v>0</v>
      </c>
      <c r="F920" s="4">
        <v>4</v>
      </c>
      <c r="G920" s="4">
        <v>13041.921</v>
      </c>
      <c r="I920" s="23"/>
      <c r="J920" s="23"/>
      <c r="K920" s="23"/>
      <c r="L920" s="23"/>
      <c r="M920" s="23"/>
      <c r="N920" s="23"/>
      <c r="O920" s="23"/>
      <c r="P920" s="23"/>
      <c r="Q920" s="23"/>
      <c r="R920" s="23"/>
    </row>
    <row r="921" spans="1:18" x14ac:dyDescent="0.2">
      <c r="A921" s="4">
        <v>35</v>
      </c>
      <c r="B921" s="4">
        <v>0</v>
      </c>
      <c r="C921" s="4">
        <v>34.21</v>
      </c>
      <c r="D921" s="4">
        <v>1</v>
      </c>
      <c r="E921" s="4">
        <v>0</v>
      </c>
      <c r="F921" s="4">
        <v>2</v>
      </c>
      <c r="G921" s="4">
        <v>5245.2268999999997</v>
      </c>
      <c r="I921" s="23"/>
      <c r="J921" s="23"/>
      <c r="K921" s="23"/>
      <c r="L921" s="23"/>
      <c r="M921" s="23"/>
      <c r="N921" s="23"/>
      <c r="O921" s="23"/>
      <c r="P921" s="23"/>
      <c r="Q921" s="23"/>
      <c r="R921" s="23"/>
    </row>
    <row r="922" spans="1:18" x14ac:dyDescent="0.2">
      <c r="A922" s="4">
        <v>62</v>
      </c>
      <c r="B922" s="4">
        <v>0</v>
      </c>
      <c r="C922" s="4">
        <v>25</v>
      </c>
      <c r="D922" s="4">
        <v>0</v>
      </c>
      <c r="E922" s="4">
        <v>0</v>
      </c>
      <c r="F922" s="4">
        <v>4</v>
      </c>
      <c r="G922" s="4">
        <v>13451.121999999999</v>
      </c>
      <c r="I922" s="23"/>
      <c r="J922" s="23"/>
      <c r="K922" s="23"/>
      <c r="L922" s="23"/>
      <c r="M922" s="23"/>
      <c r="N922" s="23"/>
      <c r="O922" s="23"/>
      <c r="P922" s="23"/>
      <c r="Q922" s="23"/>
      <c r="R922" s="23"/>
    </row>
    <row r="923" spans="1:18" x14ac:dyDescent="0.2">
      <c r="A923" s="4">
        <v>62</v>
      </c>
      <c r="B923" s="4">
        <v>0</v>
      </c>
      <c r="C923" s="4">
        <v>33.200000000000003</v>
      </c>
      <c r="D923" s="4">
        <v>0</v>
      </c>
      <c r="E923" s="4">
        <v>0</v>
      </c>
      <c r="F923" s="4">
        <v>4</v>
      </c>
      <c r="G923" s="4">
        <v>13462.52</v>
      </c>
      <c r="I923" s="23"/>
      <c r="J923" s="23"/>
      <c r="K923" s="23"/>
      <c r="L923" s="23"/>
      <c r="M923" s="23"/>
      <c r="N923" s="23"/>
      <c r="O923" s="23"/>
      <c r="P923" s="23"/>
      <c r="Q923" s="23"/>
      <c r="R923" s="23"/>
    </row>
    <row r="924" spans="1:18" x14ac:dyDescent="0.2">
      <c r="A924" s="4">
        <v>38</v>
      </c>
      <c r="B924" s="4">
        <v>1</v>
      </c>
      <c r="C924" s="4">
        <v>31</v>
      </c>
      <c r="D924" s="4">
        <v>1</v>
      </c>
      <c r="E924" s="4">
        <v>0</v>
      </c>
      <c r="F924" s="4">
        <v>4</v>
      </c>
      <c r="G924" s="4">
        <v>5488.2619999999997</v>
      </c>
      <c r="I924" s="23"/>
      <c r="J924" s="23"/>
      <c r="K924" s="23"/>
      <c r="L924" s="23"/>
      <c r="M924" s="23"/>
      <c r="N924" s="23"/>
      <c r="O924" s="23"/>
      <c r="P924" s="23"/>
      <c r="Q924" s="23"/>
      <c r="R924" s="23"/>
    </row>
    <row r="925" spans="1:18" x14ac:dyDescent="0.2">
      <c r="A925" s="4">
        <v>34</v>
      </c>
      <c r="B925" s="4">
        <v>1</v>
      </c>
      <c r="C925" s="4">
        <v>35.814999999999998</v>
      </c>
      <c r="D925" s="4">
        <v>0</v>
      </c>
      <c r="E925" s="4">
        <v>0</v>
      </c>
      <c r="F925" s="4">
        <v>3</v>
      </c>
      <c r="G925" s="4">
        <v>4320.4108500000002</v>
      </c>
      <c r="I925" s="23"/>
      <c r="J925" s="23"/>
      <c r="K925" s="23"/>
      <c r="L925" s="23"/>
      <c r="M925" s="23"/>
      <c r="N925" s="23"/>
      <c r="O925" s="23"/>
      <c r="P925" s="23"/>
      <c r="Q925" s="23"/>
      <c r="R925" s="23"/>
    </row>
    <row r="926" spans="1:18" x14ac:dyDescent="0.2">
      <c r="A926" s="4">
        <v>43</v>
      </c>
      <c r="B926" s="4">
        <v>1</v>
      </c>
      <c r="C926" s="4">
        <v>23.2</v>
      </c>
      <c r="D926" s="4">
        <v>0</v>
      </c>
      <c r="E926" s="4">
        <v>0</v>
      </c>
      <c r="F926" s="4">
        <v>4</v>
      </c>
      <c r="G926" s="4">
        <v>6250.4350000000004</v>
      </c>
      <c r="I926" s="23"/>
      <c r="J926" s="23"/>
      <c r="K926" s="23"/>
      <c r="L926" s="23"/>
      <c r="M926" s="23"/>
      <c r="N926" s="23"/>
      <c r="O926" s="23"/>
      <c r="P926" s="23"/>
      <c r="Q926" s="23"/>
      <c r="R926" s="23"/>
    </row>
    <row r="927" spans="1:18" x14ac:dyDescent="0.2">
      <c r="A927" s="4">
        <v>50</v>
      </c>
      <c r="B927" s="4">
        <v>1</v>
      </c>
      <c r="C927" s="4">
        <v>32.11</v>
      </c>
      <c r="D927" s="4">
        <v>2</v>
      </c>
      <c r="E927" s="4">
        <v>0</v>
      </c>
      <c r="F927" s="4">
        <v>1</v>
      </c>
      <c r="G927" s="4">
        <v>25333.332839999999</v>
      </c>
      <c r="I927" s="23"/>
      <c r="J927" s="23"/>
      <c r="K927" s="23"/>
      <c r="L927" s="23"/>
      <c r="M927" s="23"/>
      <c r="N927" s="23"/>
      <c r="O927" s="23"/>
      <c r="P927" s="23"/>
      <c r="Q927" s="23"/>
      <c r="R927" s="23"/>
    </row>
    <row r="928" spans="1:18" x14ac:dyDescent="0.2">
      <c r="A928" s="4">
        <v>19</v>
      </c>
      <c r="B928" s="4">
        <v>0</v>
      </c>
      <c r="C928" s="4">
        <v>23.4</v>
      </c>
      <c r="D928" s="4">
        <v>2</v>
      </c>
      <c r="E928" s="4">
        <v>0</v>
      </c>
      <c r="F928" s="4">
        <v>4</v>
      </c>
      <c r="G928" s="4">
        <v>2913.569</v>
      </c>
      <c r="I928" s="23"/>
      <c r="J928" s="23"/>
      <c r="K928" s="23"/>
      <c r="L928" s="23"/>
      <c r="M928" s="23"/>
      <c r="N928" s="23"/>
      <c r="O928" s="23"/>
      <c r="P928" s="23"/>
      <c r="Q928" s="23"/>
      <c r="R928" s="23"/>
    </row>
    <row r="929" spans="1:18" x14ac:dyDescent="0.2">
      <c r="A929" s="4">
        <v>57</v>
      </c>
      <c r="B929" s="4">
        <v>0</v>
      </c>
      <c r="C929" s="4">
        <v>20.100000000000001</v>
      </c>
      <c r="D929" s="4">
        <v>1</v>
      </c>
      <c r="E929" s="4">
        <v>0</v>
      </c>
      <c r="F929" s="4">
        <v>4</v>
      </c>
      <c r="G929" s="4">
        <v>12032.325999999999</v>
      </c>
      <c r="I929" s="23"/>
      <c r="J929" s="23"/>
      <c r="K929" s="23"/>
      <c r="L929" s="23"/>
      <c r="M929" s="23"/>
      <c r="N929" s="23"/>
      <c r="O929" s="23"/>
      <c r="P929" s="23"/>
      <c r="Q929" s="23"/>
      <c r="R929" s="23"/>
    </row>
    <row r="930" spans="1:18" x14ac:dyDescent="0.2">
      <c r="A930" s="4">
        <v>62</v>
      </c>
      <c r="B930" s="4">
        <v>0</v>
      </c>
      <c r="C930" s="4">
        <v>39.159999999999997</v>
      </c>
      <c r="D930" s="4">
        <v>0</v>
      </c>
      <c r="E930" s="4">
        <v>0</v>
      </c>
      <c r="F930" s="4">
        <v>2</v>
      </c>
      <c r="G930" s="4">
        <v>13470.804400000001</v>
      </c>
      <c r="I930" s="23"/>
      <c r="J930" s="23"/>
      <c r="K930" s="23"/>
      <c r="L930" s="23"/>
      <c r="M930" s="23"/>
      <c r="N930" s="23"/>
      <c r="O930" s="23"/>
      <c r="P930" s="23"/>
      <c r="Q930" s="23"/>
      <c r="R930" s="23"/>
    </row>
    <row r="931" spans="1:18" x14ac:dyDescent="0.2">
      <c r="A931" s="4">
        <v>41</v>
      </c>
      <c r="B931" s="4">
        <v>1</v>
      </c>
      <c r="C931" s="4">
        <v>34.21</v>
      </c>
      <c r="D931" s="4">
        <v>1</v>
      </c>
      <c r="E931" s="4">
        <v>0</v>
      </c>
      <c r="F931" s="4">
        <v>2</v>
      </c>
      <c r="G931" s="4">
        <v>6289.7548999999999</v>
      </c>
      <c r="I931" s="23"/>
      <c r="J931" s="23"/>
      <c r="K931" s="23"/>
      <c r="L931" s="23"/>
      <c r="M931" s="23"/>
      <c r="N931" s="23"/>
      <c r="O931" s="23"/>
      <c r="P931" s="23"/>
      <c r="Q931" s="23"/>
      <c r="R931" s="23"/>
    </row>
    <row r="932" spans="1:18" x14ac:dyDescent="0.2">
      <c r="A932" s="4">
        <v>26</v>
      </c>
      <c r="B932" s="4">
        <v>1</v>
      </c>
      <c r="C932" s="4">
        <v>46.53</v>
      </c>
      <c r="D932" s="4">
        <v>1</v>
      </c>
      <c r="E932" s="4">
        <v>0</v>
      </c>
      <c r="F932" s="4">
        <v>2</v>
      </c>
      <c r="G932" s="4">
        <v>2927.0646999999999</v>
      </c>
      <c r="I932" s="23"/>
      <c r="J932" s="23"/>
      <c r="K932" s="23"/>
      <c r="L932" s="23"/>
      <c r="M932" s="23"/>
      <c r="N932" s="23"/>
      <c r="O932" s="23"/>
      <c r="P932" s="23"/>
      <c r="Q932" s="23"/>
      <c r="R932" s="23"/>
    </row>
    <row r="933" spans="1:18" x14ac:dyDescent="0.2">
      <c r="A933" s="4">
        <v>39</v>
      </c>
      <c r="B933" s="4">
        <v>0</v>
      </c>
      <c r="C933" s="4">
        <v>32.5</v>
      </c>
      <c r="D933" s="4">
        <v>1</v>
      </c>
      <c r="E933" s="4">
        <v>0</v>
      </c>
      <c r="F933" s="4">
        <v>4</v>
      </c>
      <c r="G933" s="4">
        <v>6238.2979999999998</v>
      </c>
      <c r="I933" s="23"/>
      <c r="J933" s="23"/>
      <c r="K933" s="23"/>
      <c r="L933" s="23"/>
      <c r="M933" s="23"/>
      <c r="N933" s="23"/>
      <c r="O933" s="23"/>
      <c r="P933" s="23"/>
      <c r="Q933" s="23"/>
      <c r="R933" s="23"/>
    </row>
    <row r="934" spans="1:18" x14ac:dyDescent="0.2">
      <c r="A934" s="4">
        <v>46</v>
      </c>
      <c r="B934" s="4">
        <v>1</v>
      </c>
      <c r="C934" s="4">
        <v>25.8</v>
      </c>
      <c r="D934" s="4">
        <v>5</v>
      </c>
      <c r="E934" s="4">
        <v>0</v>
      </c>
      <c r="F934" s="4">
        <v>4</v>
      </c>
      <c r="G934" s="4">
        <v>10096.969999999999</v>
      </c>
      <c r="I934" s="23"/>
      <c r="J934" s="23"/>
      <c r="K934" s="23"/>
      <c r="L934" s="23"/>
      <c r="M934" s="23"/>
      <c r="N934" s="23"/>
      <c r="O934" s="23"/>
      <c r="P934" s="23"/>
      <c r="Q934" s="23"/>
      <c r="R934" s="23"/>
    </row>
    <row r="935" spans="1:18" x14ac:dyDescent="0.2">
      <c r="A935" s="4">
        <v>45</v>
      </c>
      <c r="B935" s="4">
        <v>0</v>
      </c>
      <c r="C935" s="4">
        <v>35.299999999999997</v>
      </c>
      <c r="D935" s="4">
        <v>0</v>
      </c>
      <c r="E935" s="4">
        <v>0</v>
      </c>
      <c r="F935" s="4">
        <v>4</v>
      </c>
      <c r="G935" s="4">
        <v>7348.1419999999998</v>
      </c>
      <c r="I935" s="23"/>
      <c r="J935" s="23"/>
      <c r="K935" s="23"/>
      <c r="L935" s="23"/>
      <c r="M935" s="23"/>
      <c r="N935" s="23"/>
      <c r="O935" s="23"/>
      <c r="P935" s="23"/>
      <c r="Q935" s="23"/>
      <c r="R935" s="23"/>
    </row>
    <row r="936" spans="1:18" x14ac:dyDescent="0.2">
      <c r="A936" s="4">
        <v>32</v>
      </c>
      <c r="B936" s="4">
        <v>1</v>
      </c>
      <c r="C936" s="4">
        <v>37.18</v>
      </c>
      <c r="D936" s="4">
        <v>2</v>
      </c>
      <c r="E936" s="4">
        <v>0</v>
      </c>
      <c r="F936" s="4">
        <v>2</v>
      </c>
      <c r="G936" s="4">
        <v>4673.3922000000002</v>
      </c>
      <c r="I936" s="23"/>
      <c r="J936" s="23"/>
      <c r="K936" s="23"/>
      <c r="L936" s="23"/>
      <c r="M936" s="23"/>
      <c r="N936" s="23"/>
      <c r="O936" s="23"/>
      <c r="P936" s="23"/>
      <c r="Q936" s="23"/>
      <c r="R936" s="23"/>
    </row>
    <row r="937" spans="1:18" x14ac:dyDescent="0.2">
      <c r="A937" s="4">
        <v>59</v>
      </c>
      <c r="B937" s="4">
        <v>0</v>
      </c>
      <c r="C937" s="4">
        <v>27.5</v>
      </c>
      <c r="D937" s="4">
        <v>0</v>
      </c>
      <c r="E937" s="4">
        <v>0</v>
      </c>
      <c r="F937" s="4">
        <v>4</v>
      </c>
      <c r="G937" s="4">
        <v>12233.828</v>
      </c>
      <c r="I937" s="23"/>
      <c r="J937" s="23"/>
      <c r="K937" s="23"/>
      <c r="L937" s="23"/>
      <c r="M937" s="23"/>
      <c r="N937" s="23"/>
      <c r="O937" s="23"/>
      <c r="P937" s="23"/>
      <c r="Q937" s="23"/>
      <c r="R937" s="23"/>
    </row>
    <row r="938" spans="1:18" x14ac:dyDescent="0.2">
      <c r="A938" s="4">
        <v>44</v>
      </c>
      <c r="B938" s="4">
        <v>1</v>
      </c>
      <c r="C938" s="4">
        <v>29.734999999999999</v>
      </c>
      <c r="D938" s="4">
        <v>2</v>
      </c>
      <c r="E938" s="4">
        <v>0</v>
      </c>
      <c r="F938" s="4">
        <v>1</v>
      </c>
      <c r="G938" s="4">
        <v>32108.662820000001</v>
      </c>
      <c r="I938" s="23"/>
      <c r="J938" s="23"/>
      <c r="K938" s="23"/>
      <c r="L938" s="23"/>
      <c r="M938" s="23"/>
      <c r="N938" s="23"/>
      <c r="O938" s="23"/>
      <c r="P938" s="23"/>
      <c r="Q938" s="23"/>
      <c r="R938" s="23"/>
    </row>
    <row r="939" spans="1:18" x14ac:dyDescent="0.2">
      <c r="A939" s="4">
        <v>39</v>
      </c>
      <c r="B939" s="4">
        <v>0</v>
      </c>
      <c r="C939" s="4">
        <v>24.225000000000001</v>
      </c>
      <c r="D939" s="4">
        <v>5</v>
      </c>
      <c r="E939" s="4">
        <v>0</v>
      </c>
      <c r="F939" s="4">
        <v>3</v>
      </c>
      <c r="G939" s="4">
        <v>8965.7957499999993</v>
      </c>
      <c r="I939" s="23"/>
      <c r="J939" s="23"/>
      <c r="K939" s="23"/>
      <c r="L939" s="23"/>
      <c r="M939" s="23"/>
      <c r="N939" s="23"/>
      <c r="O939" s="23"/>
      <c r="P939" s="23"/>
      <c r="Q939" s="23"/>
      <c r="R939" s="23"/>
    </row>
    <row r="940" spans="1:18" x14ac:dyDescent="0.2">
      <c r="A940" s="4">
        <v>18</v>
      </c>
      <c r="B940" s="4">
        <v>1</v>
      </c>
      <c r="C940" s="4">
        <v>26.18</v>
      </c>
      <c r="D940" s="4">
        <v>2</v>
      </c>
      <c r="E940" s="4">
        <v>0</v>
      </c>
      <c r="F940" s="4">
        <v>2</v>
      </c>
      <c r="G940" s="4">
        <v>2304.0021999999999</v>
      </c>
      <c r="I940" s="23"/>
      <c r="J940" s="23"/>
      <c r="K940" s="23"/>
      <c r="L940" s="23"/>
      <c r="M940" s="23"/>
      <c r="N940" s="23"/>
      <c r="O940" s="23"/>
      <c r="P940" s="23"/>
      <c r="Q940" s="23"/>
      <c r="R940" s="23"/>
    </row>
    <row r="941" spans="1:18" x14ac:dyDescent="0.2">
      <c r="A941" s="4">
        <v>53</v>
      </c>
      <c r="B941" s="4">
        <v>1</v>
      </c>
      <c r="C941" s="4">
        <v>29.48</v>
      </c>
      <c r="D941" s="4">
        <v>0</v>
      </c>
      <c r="E941" s="4">
        <v>0</v>
      </c>
      <c r="F941" s="4">
        <v>2</v>
      </c>
      <c r="G941" s="4">
        <v>9487.6442000000006</v>
      </c>
      <c r="I941" s="23"/>
      <c r="J941" s="23"/>
      <c r="K941" s="23"/>
      <c r="L941" s="23"/>
      <c r="M941" s="23"/>
      <c r="N941" s="23"/>
      <c r="O941" s="23"/>
      <c r="P941" s="23"/>
      <c r="Q941" s="23"/>
      <c r="R941" s="23"/>
    </row>
    <row r="942" spans="1:18" x14ac:dyDescent="0.2">
      <c r="A942" s="4">
        <v>18</v>
      </c>
      <c r="B942" s="4">
        <v>1</v>
      </c>
      <c r="C942" s="4">
        <v>23.21</v>
      </c>
      <c r="D942" s="4">
        <v>0</v>
      </c>
      <c r="E942" s="4">
        <v>0</v>
      </c>
      <c r="F942" s="4">
        <v>2</v>
      </c>
      <c r="G942" s="4">
        <v>1121.8739</v>
      </c>
      <c r="I942" s="23"/>
      <c r="J942" s="23"/>
      <c r="K942" s="23"/>
      <c r="L942" s="23"/>
      <c r="M942" s="23"/>
      <c r="N942" s="23"/>
      <c r="O942" s="23"/>
      <c r="P942" s="23"/>
      <c r="Q942" s="23"/>
      <c r="R942" s="23"/>
    </row>
    <row r="943" spans="1:18" x14ac:dyDescent="0.2">
      <c r="A943" s="4">
        <v>50</v>
      </c>
      <c r="B943" s="4">
        <v>0</v>
      </c>
      <c r="C943" s="4">
        <v>46.09</v>
      </c>
      <c r="D943" s="4">
        <v>1</v>
      </c>
      <c r="E943" s="4">
        <v>0</v>
      </c>
      <c r="F943" s="4">
        <v>2</v>
      </c>
      <c r="G943" s="4">
        <v>9549.5650999999998</v>
      </c>
      <c r="I943" s="23"/>
      <c r="J943" s="23"/>
      <c r="K943" s="23"/>
      <c r="L943" s="23"/>
      <c r="M943" s="23"/>
      <c r="N943" s="23"/>
      <c r="O943" s="23"/>
      <c r="P943" s="23"/>
      <c r="Q943" s="23"/>
      <c r="R943" s="23"/>
    </row>
    <row r="944" spans="1:18" x14ac:dyDescent="0.2">
      <c r="A944" s="4">
        <v>18</v>
      </c>
      <c r="B944" s="4">
        <v>0</v>
      </c>
      <c r="C944" s="4">
        <v>40.185000000000002</v>
      </c>
      <c r="D944" s="4">
        <v>0</v>
      </c>
      <c r="E944" s="4">
        <v>0</v>
      </c>
      <c r="F944" s="4">
        <v>1</v>
      </c>
      <c r="G944" s="4">
        <v>2217.4691499999999</v>
      </c>
      <c r="I944" s="23"/>
      <c r="J944" s="23"/>
      <c r="K944" s="23"/>
      <c r="L944" s="23"/>
      <c r="M944" s="23"/>
      <c r="N944" s="23"/>
      <c r="O944" s="23"/>
      <c r="P944" s="23"/>
      <c r="Q944" s="23"/>
      <c r="R944" s="23"/>
    </row>
    <row r="945" spans="1:18" x14ac:dyDescent="0.2">
      <c r="A945" s="4">
        <v>19</v>
      </c>
      <c r="B945" s="4">
        <v>1</v>
      </c>
      <c r="C945" s="4">
        <v>22.61</v>
      </c>
      <c r="D945" s="4">
        <v>0</v>
      </c>
      <c r="E945" s="4">
        <v>0</v>
      </c>
      <c r="F945" s="4">
        <v>3</v>
      </c>
      <c r="G945" s="4">
        <v>1628.4709</v>
      </c>
      <c r="I945" s="23"/>
      <c r="J945" s="23"/>
      <c r="K945" s="23"/>
      <c r="L945" s="23"/>
      <c r="M945" s="23"/>
      <c r="N945" s="23"/>
      <c r="O945" s="23"/>
      <c r="P945" s="23"/>
      <c r="Q945" s="23"/>
      <c r="R945" s="23"/>
    </row>
    <row r="946" spans="1:18" x14ac:dyDescent="0.2">
      <c r="A946" s="4">
        <v>62</v>
      </c>
      <c r="B946" s="4">
        <v>1</v>
      </c>
      <c r="C946" s="4">
        <v>39.93</v>
      </c>
      <c r="D946" s="4">
        <v>0</v>
      </c>
      <c r="E946" s="4">
        <v>0</v>
      </c>
      <c r="F946" s="4">
        <v>2</v>
      </c>
      <c r="G946" s="4">
        <v>12982.8747</v>
      </c>
      <c r="I946" s="23"/>
      <c r="J946" s="23"/>
      <c r="K946" s="23"/>
      <c r="L946" s="23"/>
      <c r="M946" s="23"/>
      <c r="N946" s="23"/>
      <c r="O946" s="23"/>
      <c r="P946" s="23"/>
      <c r="Q946" s="23"/>
      <c r="R946" s="23"/>
    </row>
    <row r="947" spans="1:18" x14ac:dyDescent="0.2">
      <c r="A947" s="4">
        <v>56</v>
      </c>
      <c r="B947" s="4">
        <v>0</v>
      </c>
      <c r="C947" s="4">
        <v>35.799999999999997</v>
      </c>
      <c r="D947" s="4">
        <v>1</v>
      </c>
      <c r="E947" s="4">
        <v>0</v>
      </c>
      <c r="F947" s="4">
        <v>4</v>
      </c>
      <c r="G947" s="4">
        <v>11674.13</v>
      </c>
      <c r="I947" s="23"/>
      <c r="J947" s="23"/>
      <c r="K947" s="23"/>
      <c r="L947" s="23"/>
      <c r="M947" s="23"/>
      <c r="N947" s="23"/>
      <c r="O947" s="23"/>
      <c r="P947" s="23"/>
      <c r="Q947" s="23"/>
      <c r="R947" s="23"/>
    </row>
    <row r="948" spans="1:18" x14ac:dyDescent="0.2">
      <c r="A948" s="4">
        <v>42</v>
      </c>
      <c r="B948" s="4">
        <v>1</v>
      </c>
      <c r="C948" s="4">
        <v>35.799999999999997</v>
      </c>
      <c r="D948" s="4">
        <v>2</v>
      </c>
      <c r="E948" s="4">
        <v>0</v>
      </c>
      <c r="F948" s="4">
        <v>4</v>
      </c>
      <c r="G948" s="4">
        <v>7160.0940000000001</v>
      </c>
      <c r="I948" s="23"/>
      <c r="J948" s="23"/>
      <c r="K948" s="23"/>
      <c r="L948" s="23"/>
      <c r="M948" s="23"/>
      <c r="N948" s="23"/>
      <c r="O948" s="23"/>
      <c r="P948" s="23"/>
      <c r="Q948" s="23"/>
      <c r="R948" s="23"/>
    </row>
    <row r="949" spans="1:18" x14ac:dyDescent="0.2">
      <c r="A949" s="4">
        <v>37</v>
      </c>
      <c r="B949" s="4">
        <v>1</v>
      </c>
      <c r="C949" s="4">
        <v>34.200000000000003</v>
      </c>
      <c r="D949" s="4">
        <v>1</v>
      </c>
      <c r="E949" s="4">
        <v>1</v>
      </c>
      <c r="F949" s="4">
        <v>1</v>
      </c>
      <c r="G949" s="4">
        <v>39047.285000000003</v>
      </c>
      <c r="I949" s="23"/>
      <c r="J949" s="23"/>
      <c r="K949" s="23"/>
      <c r="L949" s="23"/>
      <c r="M949" s="23"/>
      <c r="N949" s="23"/>
      <c r="O949" s="23"/>
      <c r="P949" s="23"/>
      <c r="Q949" s="23"/>
      <c r="R949" s="23"/>
    </row>
    <row r="950" spans="1:18" x14ac:dyDescent="0.2">
      <c r="A950" s="4">
        <v>42</v>
      </c>
      <c r="B950" s="4">
        <v>1</v>
      </c>
      <c r="C950" s="4">
        <v>31.254999999999999</v>
      </c>
      <c r="D950" s="4">
        <v>0</v>
      </c>
      <c r="E950" s="4">
        <v>0</v>
      </c>
      <c r="F950" s="4">
        <v>3</v>
      </c>
      <c r="G950" s="4">
        <v>6358.7764500000003</v>
      </c>
      <c r="I950" s="23"/>
      <c r="J950" s="23"/>
      <c r="K950" s="23"/>
      <c r="L950" s="23"/>
      <c r="M950" s="23"/>
      <c r="N950" s="23"/>
      <c r="O950" s="23"/>
      <c r="P950" s="23"/>
      <c r="Q950" s="23"/>
      <c r="R950" s="23"/>
    </row>
    <row r="951" spans="1:18" x14ac:dyDescent="0.2">
      <c r="A951" s="4">
        <v>25</v>
      </c>
      <c r="B951" s="4">
        <v>1</v>
      </c>
      <c r="C951" s="4">
        <v>29.7</v>
      </c>
      <c r="D951" s="4">
        <v>3</v>
      </c>
      <c r="E951" s="4">
        <v>1</v>
      </c>
      <c r="F951" s="4">
        <v>4</v>
      </c>
      <c r="G951" s="4">
        <v>19933.457999999999</v>
      </c>
      <c r="I951" s="23"/>
      <c r="J951" s="23"/>
      <c r="K951" s="23"/>
      <c r="L951" s="23"/>
      <c r="M951" s="23"/>
      <c r="N951" s="23"/>
      <c r="O951" s="23"/>
      <c r="P951" s="23"/>
      <c r="Q951" s="23"/>
      <c r="R951" s="23"/>
    </row>
    <row r="952" spans="1:18" x14ac:dyDescent="0.2">
      <c r="A952" s="4">
        <v>57</v>
      </c>
      <c r="B952" s="4">
        <v>1</v>
      </c>
      <c r="C952" s="4">
        <v>18.335000000000001</v>
      </c>
      <c r="D952" s="4">
        <v>0</v>
      </c>
      <c r="E952" s="4">
        <v>0</v>
      </c>
      <c r="F952" s="4">
        <v>1</v>
      </c>
      <c r="G952" s="4">
        <v>11534.872649999999</v>
      </c>
      <c r="I952" s="23"/>
      <c r="J952" s="23"/>
      <c r="K952" s="23"/>
      <c r="L952" s="23"/>
      <c r="M952" s="23"/>
      <c r="N952" s="23"/>
      <c r="O952" s="23"/>
      <c r="P952" s="23"/>
      <c r="Q952" s="23"/>
      <c r="R952" s="23"/>
    </row>
    <row r="953" spans="1:18" x14ac:dyDescent="0.2">
      <c r="A953" s="4">
        <v>51</v>
      </c>
      <c r="B953" s="4">
        <v>1</v>
      </c>
      <c r="C953" s="4">
        <v>42.9</v>
      </c>
      <c r="D953" s="4">
        <v>2</v>
      </c>
      <c r="E953" s="4">
        <v>1</v>
      </c>
      <c r="F953" s="4">
        <v>2</v>
      </c>
      <c r="G953" s="4">
        <v>47462.894</v>
      </c>
      <c r="I953" s="23"/>
      <c r="J953" s="23"/>
      <c r="K953" s="23"/>
      <c r="L953" s="23"/>
      <c r="M953" s="23"/>
      <c r="N953" s="23"/>
      <c r="O953" s="23"/>
      <c r="P953" s="23"/>
      <c r="Q953" s="23"/>
      <c r="R953" s="23"/>
    </row>
    <row r="954" spans="1:18" x14ac:dyDescent="0.2">
      <c r="A954" s="4">
        <v>30</v>
      </c>
      <c r="B954" s="4">
        <v>0</v>
      </c>
      <c r="C954" s="4">
        <v>28.405000000000001</v>
      </c>
      <c r="D954" s="4">
        <v>1</v>
      </c>
      <c r="E954" s="4">
        <v>0</v>
      </c>
      <c r="F954" s="4">
        <v>3</v>
      </c>
      <c r="G954" s="4">
        <v>4527.1829500000003</v>
      </c>
      <c r="I954" s="23"/>
      <c r="J954" s="23"/>
      <c r="K954" s="23"/>
      <c r="L954" s="23"/>
      <c r="M954" s="23"/>
      <c r="N954" s="23"/>
      <c r="O954" s="23"/>
      <c r="P954" s="23"/>
      <c r="Q954" s="23"/>
      <c r="R954" s="23"/>
    </row>
    <row r="955" spans="1:18" x14ac:dyDescent="0.2">
      <c r="A955" s="4">
        <v>44</v>
      </c>
      <c r="B955" s="4">
        <v>1</v>
      </c>
      <c r="C955" s="4">
        <v>30.2</v>
      </c>
      <c r="D955" s="4">
        <v>2</v>
      </c>
      <c r="E955" s="4">
        <v>1</v>
      </c>
      <c r="F955" s="4">
        <v>4</v>
      </c>
      <c r="G955" s="4">
        <v>38998.546000000002</v>
      </c>
      <c r="I955" s="23"/>
      <c r="J955" s="23"/>
      <c r="K955" s="23"/>
      <c r="L955" s="23"/>
      <c r="M955" s="23"/>
      <c r="N955" s="23"/>
      <c r="O955" s="23"/>
      <c r="P955" s="23"/>
      <c r="Q955" s="23"/>
      <c r="R955" s="23"/>
    </row>
    <row r="956" spans="1:18" x14ac:dyDescent="0.2">
      <c r="A956" s="4">
        <v>34</v>
      </c>
      <c r="B956" s="4">
        <v>1</v>
      </c>
      <c r="C956" s="4">
        <v>27.835000000000001</v>
      </c>
      <c r="D956" s="4">
        <v>1</v>
      </c>
      <c r="E956" s="4">
        <v>1</v>
      </c>
      <c r="F956" s="4">
        <v>3</v>
      </c>
      <c r="G956" s="4">
        <v>20009.63365</v>
      </c>
      <c r="I956" s="23"/>
      <c r="J956" s="23"/>
      <c r="K956" s="23"/>
      <c r="L956" s="23"/>
      <c r="M956" s="23"/>
      <c r="N956" s="23"/>
      <c r="O956" s="23"/>
      <c r="P956" s="23"/>
      <c r="Q956" s="23"/>
      <c r="R956" s="23"/>
    </row>
    <row r="957" spans="1:18" x14ac:dyDescent="0.2">
      <c r="A957" s="4">
        <v>31</v>
      </c>
      <c r="B957" s="4">
        <v>1</v>
      </c>
      <c r="C957" s="4">
        <v>39.49</v>
      </c>
      <c r="D957" s="4">
        <v>1</v>
      </c>
      <c r="E957" s="4">
        <v>0</v>
      </c>
      <c r="F957" s="4">
        <v>2</v>
      </c>
      <c r="G957" s="4">
        <v>3875.7341000000001</v>
      </c>
      <c r="I957" s="23"/>
      <c r="J957" s="23"/>
      <c r="K957" s="23"/>
      <c r="L957" s="23"/>
      <c r="M957" s="23"/>
      <c r="N957" s="23"/>
      <c r="O957" s="23"/>
      <c r="P957" s="23"/>
      <c r="Q957" s="23"/>
      <c r="R957" s="23"/>
    </row>
    <row r="958" spans="1:18" x14ac:dyDescent="0.2">
      <c r="A958" s="4">
        <v>54</v>
      </c>
      <c r="B958" s="4">
        <v>1</v>
      </c>
      <c r="C958" s="4">
        <v>30.8</v>
      </c>
      <c r="D958" s="4">
        <v>1</v>
      </c>
      <c r="E958" s="4">
        <v>1</v>
      </c>
      <c r="F958" s="4">
        <v>2</v>
      </c>
      <c r="G958" s="4">
        <v>41999.519999999997</v>
      </c>
      <c r="I958" s="23"/>
      <c r="J958" s="23"/>
      <c r="K958" s="23"/>
      <c r="L958" s="23"/>
      <c r="M958" s="23"/>
      <c r="N958" s="23"/>
      <c r="O958" s="23"/>
      <c r="P958" s="23"/>
      <c r="Q958" s="23"/>
      <c r="R958" s="23"/>
    </row>
    <row r="959" spans="1:18" x14ac:dyDescent="0.2">
      <c r="A959" s="4">
        <v>24</v>
      </c>
      <c r="B959" s="4">
        <v>1</v>
      </c>
      <c r="C959" s="4">
        <v>26.79</v>
      </c>
      <c r="D959" s="4">
        <v>1</v>
      </c>
      <c r="E959" s="4">
        <v>0</v>
      </c>
      <c r="F959" s="4">
        <v>3</v>
      </c>
      <c r="G959" s="4">
        <v>12609.88702</v>
      </c>
      <c r="I959" s="23"/>
      <c r="J959" s="23"/>
      <c r="K959" s="23"/>
      <c r="L959" s="23"/>
      <c r="M959" s="23"/>
      <c r="N959" s="23"/>
      <c r="O959" s="23"/>
      <c r="P959" s="23"/>
      <c r="Q959" s="23"/>
      <c r="R959" s="23"/>
    </row>
    <row r="960" spans="1:18" x14ac:dyDescent="0.2">
      <c r="A960" s="4">
        <v>43</v>
      </c>
      <c r="B960" s="4">
        <v>1</v>
      </c>
      <c r="C960" s="4">
        <v>34.96</v>
      </c>
      <c r="D960" s="4">
        <v>1</v>
      </c>
      <c r="E960" s="4">
        <v>1</v>
      </c>
      <c r="F960" s="4">
        <v>1</v>
      </c>
      <c r="G960" s="4">
        <v>41034.221400000002</v>
      </c>
      <c r="I960" s="23"/>
      <c r="J960" s="23"/>
      <c r="K960" s="23"/>
      <c r="L960" s="23"/>
      <c r="M960" s="23"/>
      <c r="N960" s="23"/>
      <c r="O960" s="23"/>
      <c r="P960" s="23"/>
      <c r="Q960" s="23"/>
      <c r="R960" s="23"/>
    </row>
    <row r="961" spans="1:18" x14ac:dyDescent="0.2">
      <c r="A961" s="4">
        <v>48</v>
      </c>
      <c r="B961" s="4">
        <v>1</v>
      </c>
      <c r="C961" s="4">
        <v>36.67</v>
      </c>
      <c r="D961" s="4">
        <v>1</v>
      </c>
      <c r="E961" s="4">
        <v>0</v>
      </c>
      <c r="F961" s="4">
        <v>3</v>
      </c>
      <c r="G961" s="4">
        <v>28468.919010000001</v>
      </c>
      <c r="I961" s="23"/>
      <c r="J961" s="23"/>
      <c r="K961" s="23"/>
      <c r="L961" s="23"/>
      <c r="M961" s="23"/>
      <c r="N961" s="23"/>
      <c r="O961" s="23"/>
      <c r="P961" s="23"/>
      <c r="Q961" s="23"/>
      <c r="R961" s="23"/>
    </row>
    <row r="962" spans="1:18" x14ac:dyDescent="0.2">
      <c r="A962" s="4">
        <v>19</v>
      </c>
      <c r="B962" s="4">
        <v>0</v>
      </c>
      <c r="C962" s="4">
        <v>39.615000000000002</v>
      </c>
      <c r="D962" s="4">
        <v>1</v>
      </c>
      <c r="E962" s="4">
        <v>0</v>
      </c>
      <c r="F962" s="4">
        <v>3</v>
      </c>
      <c r="G962" s="4">
        <v>2730.1078499999999</v>
      </c>
      <c r="I962" s="23"/>
      <c r="J962" s="23"/>
      <c r="K962" s="23"/>
      <c r="L962" s="23"/>
      <c r="M962" s="23"/>
      <c r="N962" s="23"/>
      <c r="O962" s="23"/>
      <c r="P962" s="23"/>
      <c r="Q962" s="23"/>
      <c r="R962" s="23"/>
    </row>
    <row r="963" spans="1:18" x14ac:dyDescent="0.2">
      <c r="A963" s="4">
        <v>29</v>
      </c>
      <c r="B963" s="4">
        <v>0</v>
      </c>
      <c r="C963" s="4">
        <v>25.9</v>
      </c>
      <c r="D963" s="4">
        <v>0</v>
      </c>
      <c r="E963" s="4">
        <v>0</v>
      </c>
      <c r="F963" s="4">
        <v>4</v>
      </c>
      <c r="G963" s="4">
        <v>3353.2840000000001</v>
      </c>
      <c r="I963" s="23"/>
      <c r="J963" s="23"/>
      <c r="K963" s="23"/>
      <c r="L963" s="23"/>
      <c r="M963" s="23"/>
      <c r="N963" s="23"/>
      <c r="O963" s="23"/>
      <c r="P963" s="23"/>
      <c r="Q963" s="23"/>
      <c r="R963" s="23"/>
    </row>
    <row r="964" spans="1:18" x14ac:dyDescent="0.2">
      <c r="A964" s="4">
        <v>63</v>
      </c>
      <c r="B964" s="4">
        <v>0</v>
      </c>
      <c r="C964" s="4">
        <v>35.200000000000003</v>
      </c>
      <c r="D964" s="4">
        <v>1</v>
      </c>
      <c r="E964" s="4">
        <v>0</v>
      </c>
      <c r="F964" s="4">
        <v>2</v>
      </c>
      <c r="G964" s="4">
        <v>14474.674999999999</v>
      </c>
      <c r="I964" s="23"/>
      <c r="J964" s="23"/>
      <c r="K964" s="23"/>
      <c r="L964" s="23"/>
      <c r="M964" s="23"/>
      <c r="N964" s="23"/>
      <c r="O964" s="23"/>
      <c r="P964" s="23"/>
      <c r="Q964" s="23"/>
      <c r="R964" s="23"/>
    </row>
    <row r="965" spans="1:18" x14ac:dyDescent="0.2">
      <c r="A965" s="4">
        <v>46</v>
      </c>
      <c r="B965" s="4">
        <v>1</v>
      </c>
      <c r="C965" s="4">
        <v>24.795000000000002</v>
      </c>
      <c r="D965" s="4">
        <v>3</v>
      </c>
      <c r="E965" s="4">
        <v>0</v>
      </c>
      <c r="F965" s="4">
        <v>1</v>
      </c>
      <c r="G965" s="4">
        <v>9500.5730500000009</v>
      </c>
      <c r="I965" s="23"/>
      <c r="J965" s="23"/>
      <c r="K965" s="23"/>
      <c r="L965" s="23"/>
      <c r="M965" s="23"/>
      <c r="N965" s="23"/>
      <c r="O965" s="23"/>
      <c r="P965" s="23"/>
      <c r="Q965" s="23"/>
      <c r="R965" s="23"/>
    </row>
    <row r="966" spans="1:18" x14ac:dyDescent="0.2">
      <c r="A966" s="4">
        <v>52</v>
      </c>
      <c r="B966" s="4">
        <v>1</v>
      </c>
      <c r="C966" s="4">
        <v>36.765000000000001</v>
      </c>
      <c r="D966" s="4">
        <v>2</v>
      </c>
      <c r="E966" s="4">
        <v>0</v>
      </c>
      <c r="F966" s="4">
        <v>3</v>
      </c>
      <c r="G966" s="4">
        <v>26467.09737</v>
      </c>
      <c r="I966" s="23"/>
      <c r="J966" s="23"/>
      <c r="K966" s="23"/>
      <c r="L966" s="23"/>
      <c r="M966" s="23"/>
      <c r="N966" s="23"/>
      <c r="O966" s="23"/>
      <c r="P966" s="23"/>
      <c r="Q966" s="23"/>
      <c r="R966" s="23"/>
    </row>
    <row r="967" spans="1:18" x14ac:dyDescent="0.2">
      <c r="A967" s="4">
        <v>35</v>
      </c>
      <c r="B967" s="4">
        <v>1</v>
      </c>
      <c r="C967" s="4">
        <v>27.1</v>
      </c>
      <c r="D967" s="4">
        <v>1</v>
      </c>
      <c r="E967" s="4">
        <v>0</v>
      </c>
      <c r="F967" s="4">
        <v>4</v>
      </c>
      <c r="G967" s="4">
        <v>4746.3440000000001</v>
      </c>
      <c r="I967" s="23"/>
      <c r="J967" s="23"/>
      <c r="K967" s="23"/>
      <c r="L967" s="23"/>
      <c r="M967" s="23"/>
      <c r="N967" s="23"/>
      <c r="O967" s="23"/>
      <c r="P967" s="23"/>
      <c r="Q967" s="23"/>
      <c r="R967" s="23"/>
    </row>
    <row r="968" spans="1:18" x14ac:dyDescent="0.2">
      <c r="A968" s="4">
        <v>51</v>
      </c>
      <c r="B968" s="4">
        <v>1</v>
      </c>
      <c r="C968" s="4">
        <v>24.795000000000002</v>
      </c>
      <c r="D968" s="4">
        <v>2</v>
      </c>
      <c r="E968" s="4">
        <v>1</v>
      </c>
      <c r="F968" s="4">
        <v>3</v>
      </c>
      <c r="G968" s="4">
        <v>23967.38305</v>
      </c>
      <c r="I968" s="23"/>
      <c r="J968" s="23"/>
      <c r="K968" s="23"/>
      <c r="L968" s="23"/>
      <c r="M968" s="23"/>
      <c r="N968" s="23"/>
      <c r="O968" s="23"/>
      <c r="P968" s="23"/>
      <c r="Q968" s="23"/>
      <c r="R968" s="23"/>
    </row>
    <row r="969" spans="1:18" x14ac:dyDescent="0.2">
      <c r="A969" s="4">
        <v>44</v>
      </c>
      <c r="B969" s="4">
        <v>1</v>
      </c>
      <c r="C969" s="4">
        <v>25.364999999999998</v>
      </c>
      <c r="D969" s="4">
        <v>1</v>
      </c>
      <c r="E969" s="4">
        <v>0</v>
      </c>
      <c r="F969" s="4">
        <v>3</v>
      </c>
      <c r="G969" s="4">
        <v>7518.0253499999999</v>
      </c>
      <c r="I969" s="23"/>
      <c r="J969" s="23"/>
      <c r="K969" s="23"/>
      <c r="L969" s="23"/>
      <c r="M969" s="23"/>
      <c r="N969" s="23"/>
      <c r="O969" s="23"/>
      <c r="P969" s="23"/>
      <c r="Q969" s="23"/>
      <c r="R969" s="23"/>
    </row>
    <row r="970" spans="1:18" x14ac:dyDescent="0.2">
      <c r="A970" s="4">
        <v>21</v>
      </c>
      <c r="B970" s="4">
        <v>1</v>
      </c>
      <c r="C970" s="4">
        <v>25.745000000000001</v>
      </c>
      <c r="D970" s="4">
        <v>2</v>
      </c>
      <c r="E970" s="4">
        <v>0</v>
      </c>
      <c r="F970" s="4">
        <v>1</v>
      </c>
      <c r="G970" s="4">
        <v>3279.8685500000001</v>
      </c>
      <c r="I970" s="23"/>
      <c r="J970" s="23"/>
      <c r="K970" s="23"/>
      <c r="L970" s="23"/>
      <c r="M970" s="23"/>
      <c r="N970" s="23"/>
      <c r="O970" s="23"/>
      <c r="P970" s="23"/>
      <c r="Q970" s="23"/>
      <c r="R970" s="23"/>
    </row>
    <row r="971" spans="1:18" x14ac:dyDescent="0.2">
      <c r="A971" s="4">
        <v>39</v>
      </c>
      <c r="B971" s="4">
        <v>0</v>
      </c>
      <c r="C971" s="4">
        <v>34.32</v>
      </c>
      <c r="D971" s="4">
        <v>5</v>
      </c>
      <c r="E971" s="4">
        <v>0</v>
      </c>
      <c r="F971" s="4">
        <v>2</v>
      </c>
      <c r="G971" s="4">
        <v>8596.8277999999991</v>
      </c>
      <c r="I971" s="23"/>
      <c r="J971" s="23"/>
      <c r="K971" s="23"/>
      <c r="L971" s="23"/>
      <c r="M971" s="23"/>
      <c r="N971" s="23"/>
      <c r="O971" s="23"/>
      <c r="P971" s="23"/>
      <c r="Q971" s="23"/>
      <c r="R971" s="23"/>
    </row>
    <row r="972" spans="1:18" x14ac:dyDescent="0.2">
      <c r="A972" s="4">
        <v>50</v>
      </c>
      <c r="B972" s="4">
        <v>0</v>
      </c>
      <c r="C972" s="4">
        <v>28.16</v>
      </c>
      <c r="D972" s="4">
        <v>3</v>
      </c>
      <c r="E972" s="4">
        <v>0</v>
      </c>
      <c r="F972" s="4">
        <v>2</v>
      </c>
      <c r="G972" s="4">
        <v>10702.642400000001</v>
      </c>
      <c r="I972" s="23"/>
      <c r="J972" s="23"/>
      <c r="K972" s="23"/>
      <c r="L972" s="23"/>
      <c r="M972" s="23"/>
      <c r="N972" s="23"/>
      <c r="O972" s="23"/>
      <c r="P972" s="23"/>
      <c r="Q972" s="23"/>
      <c r="R972" s="23"/>
    </row>
    <row r="973" spans="1:18" x14ac:dyDescent="0.2">
      <c r="A973" s="4">
        <v>34</v>
      </c>
      <c r="B973" s="4">
        <v>0</v>
      </c>
      <c r="C973" s="4">
        <v>23.56</v>
      </c>
      <c r="D973" s="4">
        <v>0</v>
      </c>
      <c r="E973" s="4">
        <v>0</v>
      </c>
      <c r="F973" s="4">
        <v>1</v>
      </c>
      <c r="G973" s="4">
        <v>4992.3764000000001</v>
      </c>
      <c r="I973" s="23"/>
      <c r="J973" s="23"/>
      <c r="K973" s="23"/>
      <c r="L973" s="23"/>
      <c r="M973" s="23"/>
      <c r="N973" s="23"/>
      <c r="O973" s="23"/>
      <c r="P973" s="23"/>
      <c r="Q973" s="23"/>
      <c r="R973" s="23"/>
    </row>
    <row r="974" spans="1:18" x14ac:dyDescent="0.2">
      <c r="A974" s="4">
        <v>22</v>
      </c>
      <c r="B974" s="4">
        <v>0</v>
      </c>
      <c r="C974" s="4">
        <v>20.234999999999999</v>
      </c>
      <c r="D974" s="4">
        <v>0</v>
      </c>
      <c r="E974" s="4">
        <v>0</v>
      </c>
      <c r="F974" s="4">
        <v>3</v>
      </c>
      <c r="G974" s="4">
        <v>2527.8186500000002</v>
      </c>
      <c r="I974" s="23"/>
      <c r="J974" s="23"/>
      <c r="K974" s="23"/>
      <c r="L974" s="23"/>
      <c r="M974" s="23"/>
      <c r="N974" s="23"/>
      <c r="O974" s="23"/>
      <c r="P974" s="23"/>
      <c r="Q974" s="23"/>
      <c r="R974" s="23"/>
    </row>
    <row r="975" spans="1:18" x14ac:dyDescent="0.2">
      <c r="A975" s="4">
        <v>19</v>
      </c>
      <c r="B975" s="4">
        <v>0</v>
      </c>
      <c r="C975" s="4">
        <v>40.5</v>
      </c>
      <c r="D975" s="4">
        <v>0</v>
      </c>
      <c r="E975" s="4">
        <v>0</v>
      </c>
      <c r="F975" s="4">
        <v>4</v>
      </c>
      <c r="G975" s="4">
        <v>1759.338</v>
      </c>
      <c r="I975" s="23"/>
      <c r="J975" s="23"/>
      <c r="K975" s="23"/>
      <c r="L975" s="23"/>
      <c r="M975" s="23"/>
      <c r="N975" s="23"/>
      <c r="O975" s="23"/>
      <c r="P975" s="23"/>
      <c r="Q975" s="23"/>
      <c r="R975" s="23"/>
    </row>
    <row r="976" spans="1:18" x14ac:dyDescent="0.2">
      <c r="A976" s="4">
        <v>26</v>
      </c>
      <c r="B976" s="4">
        <v>1</v>
      </c>
      <c r="C976" s="4">
        <v>35.42</v>
      </c>
      <c r="D976" s="4">
        <v>0</v>
      </c>
      <c r="E976" s="4">
        <v>0</v>
      </c>
      <c r="F976" s="4">
        <v>2</v>
      </c>
      <c r="G976" s="4">
        <v>2322.6217999999999</v>
      </c>
      <c r="I976" s="23"/>
      <c r="J976" s="23"/>
      <c r="K976" s="23"/>
      <c r="L976" s="23"/>
      <c r="M976" s="23"/>
      <c r="N976" s="23"/>
      <c r="O976" s="23"/>
      <c r="P976" s="23"/>
      <c r="Q976" s="23"/>
      <c r="R976" s="23"/>
    </row>
    <row r="977" spans="1:18" x14ac:dyDescent="0.2">
      <c r="A977" s="4">
        <v>29</v>
      </c>
      <c r="B977" s="4">
        <v>1</v>
      </c>
      <c r="C977" s="4">
        <v>22.895</v>
      </c>
      <c r="D977" s="4">
        <v>0</v>
      </c>
      <c r="E977" s="4">
        <v>1</v>
      </c>
      <c r="F977" s="4">
        <v>1</v>
      </c>
      <c r="G977" s="4">
        <v>16138.762049999999</v>
      </c>
      <c r="I977" s="23"/>
      <c r="J977" s="23"/>
      <c r="K977" s="23"/>
      <c r="L977" s="23"/>
      <c r="M977" s="23"/>
      <c r="N977" s="23"/>
      <c r="O977" s="23"/>
      <c r="P977" s="23"/>
      <c r="Q977" s="23"/>
      <c r="R977" s="23"/>
    </row>
    <row r="978" spans="1:18" x14ac:dyDescent="0.2">
      <c r="A978" s="4">
        <v>48</v>
      </c>
      <c r="B978" s="4">
        <v>1</v>
      </c>
      <c r="C978" s="4">
        <v>40.15</v>
      </c>
      <c r="D978" s="4">
        <v>0</v>
      </c>
      <c r="E978" s="4">
        <v>0</v>
      </c>
      <c r="F978" s="4">
        <v>2</v>
      </c>
      <c r="G978" s="4">
        <v>7804.1605</v>
      </c>
      <c r="I978" s="23"/>
      <c r="J978" s="23"/>
      <c r="K978" s="23"/>
      <c r="L978" s="23"/>
      <c r="M978" s="23"/>
      <c r="N978" s="23"/>
      <c r="O978" s="23"/>
      <c r="P978" s="23"/>
      <c r="Q978" s="23"/>
      <c r="R978" s="23"/>
    </row>
    <row r="979" spans="1:18" x14ac:dyDescent="0.2">
      <c r="A979" s="4">
        <v>26</v>
      </c>
      <c r="B979" s="4">
        <v>1</v>
      </c>
      <c r="C979" s="4">
        <v>29.15</v>
      </c>
      <c r="D979" s="4">
        <v>1</v>
      </c>
      <c r="E979" s="4">
        <v>0</v>
      </c>
      <c r="F979" s="4">
        <v>2</v>
      </c>
      <c r="G979" s="4">
        <v>2902.9065000000001</v>
      </c>
      <c r="I979" s="23"/>
      <c r="J979" s="23"/>
      <c r="K979" s="23"/>
      <c r="L979" s="23"/>
      <c r="M979" s="23"/>
      <c r="N979" s="23"/>
      <c r="O979" s="23"/>
      <c r="P979" s="23"/>
      <c r="Q979" s="23"/>
      <c r="R979" s="23"/>
    </row>
    <row r="980" spans="1:18" x14ac:dyDescent="0.2">
      <c r="A980" s="4">
        <v>45</v>
      </c>
      <c r="B980" s="4">
        <v>0</v>
      </c>
      <c r="C980" s="4">
        <v>39.994999999999997</v>
      </c>
      <c r="D980" s="4">
        <v>3</v>
      </c>
      <c r="E980" s="4">
        <v>0</v>
      </c>
      <c r="F980" s="4">
        <v>1</v>
      </c>
      <c r="G980" s="4">
        <v>9704.6680500000002</v>
      </c>
      <c r="I980" s="23"/>
      <c r="J980" s="23"/>
      <c r="K980" s="23"/>
      <c r="L980" s="23"/>
      <c r="M980" s="23"/>
      <c r="N980" s="23"/>
      <c r="O980" s="23"/>
      <c r="P980" s="23"/>
      <c r="Q980" s="23"/>
      <c r="R980" s="23"/>
    </row>
    <row r="981" spans="1:18" x14ac:dyDescent="0.2">
      <c r="A981" s="4">
        <v>36</v>
      </c>
      <c r="B981" s="4">
        <v>0</v>
      </c>
      <c r="C981" s="4">
        <v>29.92</v>
      </c>
      <c r="D981" s="4">
        <v>0</v>
      </c>
      <c r="E981" s="4">
        <v>0</v>
      </c>
      <c r="F981" s="4">
        <v>2</v>
      </c>
      <c r="G981" s="4">
        <v>4889.0367999999999</v>
      </c>
      <c r="I981" s="23"/>
      <c r="J981" s="23"/>
      <c r="K981" s="23"/>
      <c r="L981" s="23"/>
      <c r="M981" s="23"/>
      <c r="N981" s="23"/>
      <c r="O981" s="23"/>
      <c r="P981" s="23"/>
      <c r="Q981" s="23"/>
      <c r="R981" s="23"/>
    </row>
    <row r="982" spans="1:18" x14ac:dyDescent="0.2">
      <c r="A982" s="4">
        <v>54</v>
      </c>
      <c r="B982" s="4">
        <v>1</v>
      </c>
      <c r="C982" s="4">
        <v>25.46</v>
      </c>
      <c r="D982" s="4">
        <v>1</v>
      </c>
      <c r="E982" s="4">
        <v>0</v>
      </c>
      <c r="F982" s="4">
        <v>1</v>
      </c>
      <c r="G982" s="4">
        <v>25517.11363</v>
      </c>
      <c r="I982" s="23"/>
      <c r="J982" s="23"/>
      <c r="K982" s="23"/>
      <c r="L982" s="23"/>
      <c r="M982" s="23"/>
      <c r="N982" s="23"/>
      <c r="O982" s="23"/>
      <c r="P982" s="23"/>
      <c r="Q982" s="23"/>
      <c r="R982" s="23"/>
    </row>
    <row r="983" spans="1:18" x14ac:dyDescent="0.2">
      <c r="A983" s="4">
        <v>34</v>
      </c>
      <c r="B983" s="4">
        <v>1</v>
      </c>
      <c r="C983" s="4">
        <v>21.375</v>
      </c>
      <c r="D983" s="4">
        <v>0</v>
      </c>
      <c r="E983" s="4">
        <v>0</v>
      </c>
      <c r="F983" s="4">
        <v>1</v>
      </c>
      <c r="G983" s="4">
        <v>4500.33925</v>
      </c>
      <c r="I983" s="23"/>
      <c r="J983" s="23"/>
      <c r="K983" s="23"/>
      <c r="L983" s="23"/>
      <c r="M983" s="23"/>
      <c r="N983" s="23"/>
      <c r="O983" s="23"/>
      <c r="P983" s="23"/>
      <c r="Q983" s="23"/>
      <c r="R983" s="23"/>
    </row>
    <row r="984" spans="1:18" x14ac:dyDescent="0.2">
      <c r="A984" s="4">
        <v>31</v>
      </c>
      <c r="B984" s="4">
        <v>1</v>
      </c>
      <c r="C984" s="4">
        <v>25.9</v>
      </c>
      <c r="D984" s="4">
        <v>3</v>
      </c>
      <c r="E984" s="4">
        <v>1</v>
      </c>
      <c r="F984" s="4">
        <v>4</v>
      </c>
      <c r="G984" s="4">
        <v>19199.944</v>
      </c>
      <c r="I984" s="23"/>
      <c r="J984" s="23"/>
      <c r="K984" s="23"/>
      <c r="L984" s="23"/>
      <c r="M984" s="23"/>
      <c r="N984" s="23"/>
      <c r="O984" s="23"/>
      <c r="P984" s="23"/>
      <c r="Q984" s="23"/>
      <c r="R984" s="23"/>
    </row>
    <row r="985" spans="1:18" x14ac:dyDescent="0.2">
      <c r="A985" s="4">
        <v>27</v>
      </c>
      <c r="B985" s="4">
        <v>0</v>
      </c>
      <c r="C985" s="4">
        <v>30.59</v>
      </c>
      <c r="D985" s="4">
        <v>1</v>
      </c>
      <c r="E985" s="4">
        <v>0</v>
      </c>
      <c r="F985" s="4">
        <v>1</v>
      </c>
      <c r="G985" s="4">
        <v>16796.411940000002</v>
      </c>
      <c r="I985" s="23"/>
      <c r="J985" s="23"/>
      <c r="K985" s="23"/>
      <c r="L985" s="23"/>
      <c r="M985" s="23"/>
      <c r="N985" s="23"/>
      <c r="O985" s="23"/>
      <c r="P985" s="23"/>
      <c r="Q985" s="23"/>
      <c r="R985" s="23"/>
    </row>
    <row r="986" spans="1:18" x14ac:dyDescent="0.2">
      <c r="A986" s="4">
        <v>20</v>
      </c>
      <c r="B986" s="4">
        <v>1</v>
      </c>
      <c r="C986" s="4">
        <v>30.114999999999998</v>
      </c>
      <c r="D986" s="4">
        <v>5</v>
      </c>
      <c r="E986" s="4">
        <v>0</v>
      </c>
      <c r="F986" s="4">
        <v>1</v>
      </c>
      <c r="G986" s="4">
        <v>4915.0598499999996</v>
      </c>
      <c r="I986" s="23"/>
      <c r="J986" s="23"/>
      <c r="K986" s="23"/>
      <c r="L986" s="23"/>
      <c r="M986" s="23"/>
      <c r="N986" s="23"/>
      <c r="O986" s="23"/>
      <c r="P986" s="23"/>
      <c r="Q986" s="23"/>
      <c r="R986" s="23"/>
    </row>
    <row r="987" spans="1:18" x14ac:dyDescent="0.2">
      <c r="A987" s="4">
        <v>44</v>
      </c>
      <c r="B987" s="4">
        <v>0</v>
      </c>
      <c r="C987" s="4">
        <v>25.8</v>
      </c>
      <c r="D987" s="4">
        <v>1</v>
      </c>
      <c r="E987" s="4">
        <v>0</v>
      </c>
      <c r="F987" s="4">
        <v>4</v>
      </c>
      <c r="G987" s="4">
        <v>7624.63</v>
      </c>
      <c r="I987" s="23"/>
      <c r="J987" s="23"/>
      <c r="K987" s="23"/>
      <c r="L987" s="23"/>
      <c r="M987" s="23"/>
      <c r="N987" s="23"/>
      <c r="O987" s="23"/>
      <c r="P987" s="23"/>
      <c r="Q987" s="23"/>
      <c r="R987" s="23"/>
    </row>
    <row r="988" spans="1:18" x14ac:dyDescent="0.2">
      <c r="A988" s="4">
        <v>43</v>
      </c>
      <c r="B988" s="4">
        <v>1</v>
      </c>
      <c r="C988" s="4">
        <v>30.114999999999998</v>
      </c>
      <c r="D988" s="4">
        <v>3</v>
      </c>
      <c r="E988" s="4">
        <v>0</v>
      </c>
      <c r="F988" s="4">
        <v>3</v>
      </c>
      <c r="G988" s="4">
        <v>8410.0468500000006</v>
      </c>
      <c r="I988" s="23"/>
      <c r="J988" s="23"/>
      <c r="K988" s="23"/>
      <c r="L988" s="23"/>
      <c r="M988" s="23"/>
      <c r="N988" s="23"/>
      <c r="O988" s="23"/>
      <c r="P988" s="23"/>
      <c r="Q988" s="23"/>
      <c r="R988" s="23"/>
    </row>
    <row r="989" spans="1:18" x14ac:dyDescent="0.2">
      <c r="A989" s="4">
        <v>45</v>
      </c>
      <c r="B989" s="4">
        <v>0</v>
      </c>
      <c r="C989" s="4">
        <v>27.645</v>
      </c>
      <c r="D989" s="4">
        <v>1</v>
      </c>
      <c r="E989" s="4">
        <v>0</v>
      </c>
      <c r="F989" s="4">
        <v>3</v>
      </c>
      <c r="G989" s="4">
        <v>28340.188849999999</v>
      </c>
      <c r="I989" s="23"/>
      <c r="J989" s="23"/>
      <c r="K989" s="23"/>
      <c r="L989" s="23"/>
      <c r="M989" s="23"/>
      <c r="N989" s="23"/>
      <c r="O989" s="23"/>
      <c r="P989" s="23"/>
      <c r="Q989" s="23"/>
      <c r="R989" s="23"/>
    </row>
    <row r="990" spans="1:18" x14ac:dyDescent="0.2">
      <c r="A990" s="4">
        <v>34</v>
      </c>
      <c r="B990" s="4">
        <v>1</v>
      </c>
      <c r="C990" s="4">
        <v>34.674999999999997</v>
      </c>
      <c r="D990" s="4">
        <v>0</v>
      </c>
      <c r="E990" s="4">
        <v>0</v>
      </c>
      <c r="F990" s="4">
        <v>1</v>
      </c>
      <c r="G990" s="4">
        <v>4518.8262500000001</v>
      </c>
      <c r="I990" s="23"/>
      <c r="J990" s="23"/>
      <c r="K990" s="23"/>
      <c r="L990" s="23"/>
      <c r="M990" s="23"/>
      <c r="N990" s="23"/>
      <c r="O990" s="23"/>
      <c r="P990" s="23"/>
      <c r="Q990" s="23"/>
      <c r="R990" s="23"/>
    </row>
    <row r="991" spans="1:18" x14ac:dyDescent="0.2">
      <c r="A991" s="4">
        <v>24</v>
      </c>
      <c r="B991" s="4">
        <v>0</v>
      </c>
      <c r="C991" s="4">
        <v>20.52</v>
      </c>
      <c r="D991" s="4">
        <v>0</v>
      </c>
      <c r="E991" s="4">
        <v>1</v>
      </c>
      <c r="F991" s="4">
        <v>1</v>
      </c>
      <c r="G991" s="4">
        <v>14571.890799999999</v>
      </c>
      <c r="I991" s="23"/>
      <c r="J991" s="23"/>
      <c r="K991" s="23"/>
      <c r="L991" s="23"/>
      <c r="M991" s="23"/>
      <c r="N991" s="23"/>
      <c r="O991" s="23"/>
      <c r="P991" s="23"/>
      <c r="Q991" s="23"/>
      <c r="R991" s="23"/>
    </row>
    <row r="992" spans="1:18" x14ac:dyDescent="0.2">
      <c r="A992" s="4">
        <v>26</v>
      </c>
      <c r="B992" s="4">
        <v>0</v>
      </c>
      <c r="C992" s="4">
        <v>19.8</v>
      </c>
      <c r="D992" s="4">
        <v>1</v>
      </c>
      <c r="E992" s="4">
        <v>0</v>
      </c>
      <c r="F992" s="4">
        <v>4</v>
      </c>
      <c r="G992" s="4">
        <v>3378.91</v>
      </c>
      <c r="I992" s="23"/>
      <c r="J992" s="23"/>
      <c r="K992" s="23"/>
      <c r="L992" s="23"/>
      <c r="M992" s="23"/>
      <c r="N992" s="23"/>
      <c r="O992" s="23"/>
      <c r="P992" s="23"/>
      <c r="Q992" s="23"/>
      <c r="R992" s="23"/>
    </row>
    <row r="993" spans="1:18" x14ac:dyDescent="0.2">
      <c r="A993" s="4">
        <v>38</v>
      </c>
      <c r="B993" s="4">
        <v>0</v>
      </c>
      <c r="C993" s="4">
        <v>27.835000000000001</v>
      </c>
      <c r="D993" s="4">
        <v>2</v>
      </c>
      <c r="E993" s="4">
        <v>0</v>
      </c>
      <c r="F993" s="4">
        <v>1</v>
      </c>
      <c r="G993" s="4">
        <v>7144.86265</v>
      </c>
      <c r="I993" s="23"/>
      <c r="J993" s="23"/>
      <c r="K993" s="23"/>
      <c r="L993" s="23"/>
      <c r="M993" s="23"/>
      <c r="N993" s="23"/>
      <c r="O993" s="23"/>
      <c r="P993" s="23"/>
      <c r="Q993" s="23"/>
      <c r="R993" s="23"/>
    </row>
    <row r="994" spans="1:18" x14ac:dyDescent="0.2">
      <c r="A994" s="4">
        <v>50</v>
      </c>
      <c r="B994" s="4">
        <v>0</v>
      </c>
      <c r="C994" s="4">
        <v>31.6</v>
      </c>
      <c r="D994" s="4">
        <v>2</v>
      </c>
      <c r="E994" s="4">
        <v>0</v>
      </c>
      <c r="F994" s="4">
        <v>4</v>
      </c>
      <c r="G994" s="4">
        <v>10118.424000000001</v>
      </c>
      <c r="I994" s="23"/>
      <c r="J994" s="23"/>
      <c r="K994" s="23"/>
      <c r="L994" s="23"/>
      <c r="M994" s="23"/>
      <c r="N994" s="23"/>
      <c r="O994" s="23"/>
      <c r="P994" s="23"/>
      <c r="Q994" s="23"/>
      <c r="R994" s="23"/>
    </row>
    <row r="995" spans="1:18" x14ac:dyDescent="0.2">
      <c r="A995" s="4">
        <v>38</v>
      </c>
      <c r="B995" s="4">
        <v>1</v>
      </c>
      <c r="C995" s="4">
        <v>28.27</v>
      </c>
      <c r="D995" s="4">
        <v>1</v>
      </c>
      <c r="E995" s="4">
        <v>0</v>
      </c>
      <c r="F995" s="4">
        <v>2</v>
      </c>
      <c r="G995" s="4">
        <v>5484.4673000000003</v>
      </c>
      <c r="I995" s="23"/>
      <c r="J995" s="23"/>
      <c r="K995" s="23"/>
      <c r="L995" s="23"/>
      <c r="M995" s="23"/>
      <c r="N995" s="23"/>
      <c r="O995" s="23"/>
      <c r="P995" s="23"/>
      <c r="Q995" s="23"/>
      <c r="R995" s="23"/>
    </row>
    <row r="996" spans="1:18" x14ac:dyDescent="0.2">
      <c r="A996" s="4">
        <v>27</v>
      </c>
      <c r="B996" s="4">
        <v>0</v>
      </c>
      <c r="C996" s="4">
        <v>20.045000000000002</v>
      </c>
      <c r="D996" s="4">
        <v>3</v>
      </c>
      <c r="E996" s="4">
        <v>1</v>
      </c>
      <c r="F996" s="4">
        <v>3</v>
      </c>
      <c r="G996" s="4">
        <v>16420.494549999999</v>
      </c>
      <c r="I996" s="23"/>
      <c r="J996" s="23"/>
      <c r="K996" s="23"/>
      <c r="L996" s="23"/>
      <c r="M996" s="23"/>
      <c r="N996" s="23"/>
      <c r="O996" s="23"/>
      <c r="P996" s="23"/>
      <c r="Q996" s="23"/>
      <c r="R996" s="23"/>
    </row>
    <row r="997" spans="1:18" x14ac:dyDescent="0.2">
      <c r="A997" s="4">
        <v>39</v>
      </c>
      <c r="B997" s="4">
        <v>0</v>
      </c>
      <c r="C997" s="4">
        <v>23.274999999999999</v>
      </c>
      <c r="D997" s="4">
        <v>3</v>
      </c>
      <c r="E997" s="4">
        <v>0</v>
      </c>
      <c r="F997" s="4">
        <v>1</v>
      </c>
      <c r="G997" s="4">
        <v>7986.4752500000004</v>
      </c>
      <c r="I997" s="23"/>
      <c r="J997" s="23"/>
      <c r="K997" s="23"/>
      <c r="L997" s="23"/>
      <c r="M997" s="23"/>
      <c r="N997" s="23"/>
      <c r="O997" s="23"/>
      <c r="P997" s="23"/>
      <c r="Q997" s="23"/>
      <c r="R997" s="23"/>
    </row>
    <row r="998" spans="1:18" x14ac:dyDescent="0.2">
      <c r="A998" s="4">
        <v>39</v>
      </c>
      <c r="B998" s="4">
        <v>0</v>
      </c>
      <c r="C998" s="4">
        <v>34.1</v>
      </c>
      <c r="D998" s="4">
        <v>3</v>
      </c>
      <c r="E998" s="4">
        <v>0</v>
      </c>
      <c r="F998" s="4">
        <v>4</v>
      </c>
      <c r="G998" s="4">
        <v>7418.5219999999999</v>
      </c>
      <c r="I998" s="23"/>
      <c r="J998" s="23"/>
      <c r="K998" s="23"/>
      <c r="L998" s="23"/>
      <c r="M998" s="23"/>
      <c r="N998" s="23"/>
      <c r="O998" s="23"/>
      <c r="P998" s="23"/>
      <c r="Q998" s="23"/>
      <c r="R998" s="23"/>
    </row>
    <row r="999" spans="1:18" x14ac:dyDescent="0.2">
      <c r="A999" s="4">
        <v>63</v>
      </c>
      <c r="B999" s="4">
        <v>0</v>
      </c>
      <c r="C999" s="4">
        <v>36.85</v>
      </c>
      <c r="D999" s="4">
        <v>0</v>
      </c>
      <c r="E999" s="4">
        <v>0</v>
      </c>
      <c r="F999" s="4">
        <v>2</v>
      </c>
      <c r="G999" s="4">
        <v>13887.968500000001</v>
      </c>
      <c r="I999" s="23"/>
      <c r="J999" s="23"/>
      <c r="K999" s="23"/>
      <c r="L999" s="23"/>
      <c r="M999" s="23"/>
      <c r="N999" s="23"/>
      <c r="O999" s="23"/>
      <c r="P999" s="23"/>
      <c r="Q999" s="23"/>
      <c r="R999" s="23"/>
    </row>
    <row r="1000" spans="1:18" x14ac:dyDescent="0.2">
      <c r="A1000" s="4">
        <v>33</v>
      </c>
      <c r="B1000" s="4">
        <v>0</v>
      </c>
      <c r="C1000" s="4">
        <v>36.29</v>
      </c>
      <c r="D1000" s="4">
        <v>3</v>
      </c>
      <c r="E1000" s="4">
        <v>0</v>
      </c>
      <c r="F1000" s="4">
        <v>1</v>
      </c>
      <c r="G1000" s="4">
        <v>6551.7501000000002</v>
      </c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</row>
    <row r="1001" spans="1:18" x14ac:dyDescent="0.2">
      <c r="A1001" s="4">
        <v>36</v>
      </c>
      <c r="B1001" s="4">
        <v>0</v>
      </c>
      <c r="C1001" s="4">
        <v>26.885000000000002</v>
      </c>
      <c r="D1001" s="4">
        <v>0</v>
      </c>
      <c r="E1001" s="4">
        <v>0</v>
      </c>
      <c r="F1001" s="4">
        <v>3</v>
      </c>
      <c r="G1001" s="4">
        <v>5267.8181500000001</v>
      </c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</row>
    <row r="1002" spans="1:18" x14ac:dyDescent="0.2">
      <c r="A1002" s="4">
        <v>30</v>
      </c>
      <c r="B1002" s="4">
        <v>1</v>
      </c>
      <c r="C1002" s="4">
        <v>22.99</v>
      </c>
      <c r="D1002" s="4">
        <v>2</v>
      </c>
      <c r="E1002" s="4">
        <v>1</v>
      </c>
      <c r="F1002" s="4">
        <v>3</v>
      </c>
      <c r="G1002" s="4">
        <v>17361.766100000001</v>
      </c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</row>
    <row r="1003" spans="1:18" x14ac:dyDescent="0.2">
      <c r="A1003" s="4">
        <v>24</v>
      </c>
      <c r="B1003" s="4">
        <v>1</v>
      </c>
      <c r="C1003" s="4">
        <v>32.700000000000003</v>
      </c>
      <c r="D1003" s="4">
        <v>0</v>
      </c>
      <c r="E1003" s="4">
        <v>1</v>
      </c>
      <c r="F1003" s="4">
        <v>4</v>
      </c>
      <c r="G1003" s="4">
        <v>34472.841</v>
      </c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</row>
    <row r="1004" spans="1:18" x14ac:dyDescent="0.2">
      <c r="A1004" s="4">
        <v>24</v>
      </c>
      <c r="B1004" s="4">
        <v>1</v>
      </c>
      <c r="C1004" s="4">
        <v>25.8</v>
      </c>
      <c r="D1004" s="4">
        <v>0</v>
      </c>
      <c r="E1004" s="4">
        <v>0</v>
      </c>
      <c r="F1004" s="4">
        <v>4</v>
      </c>
      <c r="G1004" s="4">
        <v>1972.95</v>
      </c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</row>
    <row r="1005" spans="1:18" x14ac:dyDescent="0.2">
      <c r="A1005" s="4">
        <v>48</v>
      </c>
      <c r="B1005" s="4">
        <v>1</v>
      </c>
      <c r="C1005" s="4">
        <v>29.6</v>
      </c>
      <c r="D1005" s="4">
        <v>0</v>
      </c>
      <c r="E1005" s="4">
        <v>0</v>
      </c>
      <c r="F1005" s="4">
        <v>4</v>
      </c>
      <c r="G1005" s="4">
        <v>21232.182260000001</v>
      </c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</row>
    <row r="1006" spans="1:18" x14ac:dyDescent="0.2">
      <c r="A1006" s="4">
        <v>47</v>
      </c>
      <c r="B1006" s="4">
        <v>1</v>
      </c>
      <c r="C1006" s="4">
        <v>19.190000000000001</v>
      </c>
      <c r="D1006" s="4">
        <v>1</v>
      </c>
      <c r="E1006" s="4">
        <v>0</v>
      </c>
      <c r="F1006" s="4">
        <v>1</v>
      </c>
      <c r="G1006" s="4">
        <v>8627.5411000000004</v>
      </c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</row>
    <row r="1007" spans="1:18" x14ac:dyDescent="0.2">
      <c r="A1007" s="4">
        <v>29</v>
      </c>
      <c r="B1007" s="4">
        <v>1</v>
      </c>
      <c r="C1007" s="4">
        <v>31.73</v>
      </c>
      <c r="D1007" s="4">
        <v>2</v>
      </c>
      <c r="E1007" s="4">
        <v>0</v>
      </c>
      <c r="F1007" s="4">
        <v>3</v>
      </c>
      <c r="G1007" s="4">
        <v>4433.3877000000002</v>
      </c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</row>
    <row r="1008" spans="1:18" x14ac:dyDescent="0.2">
      <c r="A1008" s="4">
        <v>28</v>
      </c>
      <c r="B1008" s="4">
        <v>1</v>
      </c>
      <c r="C1008" s="4">
        <v>29.26</v>
      </c>
      <c r="D1008" s="4">
        <v>2</v>
      </c>
      <c r="E1008" s="4">
        <v>0</v>
      </c>
      <c r="F1008" s="4">
        <v>1</v>
      </c>
      <c r="G1008" s="4">
        <v>4438.2633999999998</v>
      </c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</row>
    <row r="1009" spans="1:18" x14ac:dyDescent="0.2">
      <c r="A1009" s="4">
        <v>47</v>
      </c>
      <c r="B1009" s="4">
        <v>1</v>
      </c>
      <c r="C1009" s="4">
        <v>28.215</v>
      </c>
      <c r="D1009" s="4">
        <v>3</v>
      </c>
      <c r="E1009" s="4">
        <v>1</v>
      </c>
      <c r="F1009" s="4">
        <v>3</v>
      </c>
      <c r="G1009" s="4">
        <v>24915.220850000002</v>
      </c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</row>
    <row r="1010" spans="1:18" x14ac:dyDescent="0.2">
      <c r="A1010" s="4">
        <v>25</v>
      </c>
      <c r="B1010" s="4">
        <v>1</v>
      </c>
      <c r="C1010" s="4">
        <v>24.984999999999999</v>
      </c>
      <c r="D1010" s="4">
        <v>2</v>
      </c>
      <c r="E1010" s="4">
        <v>0</v>
      </c>
      <c r="F1010" s="4">
        <v>1</v>
      </c>
      <c r="G1010" s="4">
        <v>23241.47453</v>
      </c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</row>
    <row r="1011" spans="1:18" x14ac:dyDescent="0.2">
      <c r="A1011" s="4">
        <v>51</v>
      </c>
      <c r="B1011" s="4">
        <v>1</v>
      </c>
      <c r="C1011" s="4">
        <v>27.74</v>
      </c>
      <c r="D1011" s="4">
        <v>1</v>
      </c>
      <c r="E1011" s="4">
        <v>0</v>
      </c>
      <c r="F1011" s="4">
        <v>1</v>
      </c>
      <c r="G1011" s="4">
        <v>9957.7216000000008</v>
      </c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</row>
    <row r="1012" spans="1:18" x14ac:dyDescent="0.2">
      <c r="A1012" s="4">
        <v>48</v>
      </c>
      <c r="B1012" s="4">
        <v>0</v>
      </c>
      <c r="C1012" s="4">
        <v>22.8</v>
      </c>
      <c r="D1012" s="4">
        <v>0</v>
      </c>
      <c r="E1012" s="4">
        <v>0</v>
      </c>
      <c r="F1012" s="4">
        <v>4</v>
      </c>
      <c r="G1012" s="4">
        <v>8269.0439999999999</v>
      </c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</row>
    <row r="1013" spans="1:18" x14ac:dyDescent="0.2">
      <c r="A1013" s="4">
        <v>43</v>
      </c>
      <c r="B1013" s="4">
        <v>1</v>
      </c>
      <c r="C1013" s="4">
        <v>20.13</v>
      </c>
      <c r="D1013" s="4">
        <v>2</v>
      </c>
      <c r="E1013" s="4">
        <v>1</v>
      </c>
      <c r="F1013" s="4">
        <v>2</v>
      </c>
      <c r="G1013" s="4">
        <v>18767.737700000001</v>
      </c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</row>
    <row r="1014" spans="1:18" x14ac:dyDescent="0.2">
      <c r="A1014" s="4">
        <v>61</v>
      </c>
      <c r="B1014" s="4">
        <v>0</v>
      </c>
      <c r="C1014" s="4">
        <v>33.33</v>
      </c>
      <c r="D1014" s="4">
        <v>4</v>
      </c>
      <c r="E1014" s="4">
        <v>0</v>
      </c>
      <c r="F1014" s="4">
        <v>2</v>
      </c>
      <c r="G1014" s="4">
        <v>36580.282160000002</v>
      </c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</row>
    <row r="1015" spans="1:18" x14ac:dyDescent="0.2">
      <c r="A1015" s="4">
        <v>48</v>
      </c>
      <c r="B1015" s="4">
        <v>1</v>
      </c>
      <c r="C1015" s="4">
        <v>32.299999999999997</v>
      </c>
      <c r="D1015" s="4">
        <v>1</v>
      </c>
      <c r="E1015" s="4">
        <v>0</v>
      </c>
      <c r="F1015" s="4">
        <v>3</v>
      </c>
      <c r="G1015" s="4">
        <v>8765.2489999999998</v>
      </c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</row>
    <row r="1016" spans="1:18" x14ac:dyDescent="0.2">
      <c r="A1016" s="4">
        <v>38</v>
      </c>
      <c r="B1016" s="4">
        <v>0</v>
      </c>
      <c r="C1016" s="4">
        <v>27.6</v>
      </c>
      <c r="D1016" s="4">
        <v>0</v>
      </c>
      <c r="E1016" s="4">
        <v>0</v>
      </c>
      <c r="F1016" s="4">
        <v>4</v>
      </c>
      <c r="G1016" s="4">
        <v>5383.5360000000001</v>
      </c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</row>
    <row r="1017" spans="1:18" x14ac:dyDescent="0.2">
      <c r="A1017" s="4">
        <v>59</v>
      </c>
      <c r="B1017" s="4">
        <v>1</v>
      </c>
      <c r="C1017" s="4">
        <v>25.46</v>
      </c>
      <c r="D1017" s="4">
        <v>0</v>
      </c>
      <c r="E1017" s="4">
        <v>0</v>
      </c>
      <c r="F1017" s="4">
        <v>3</v>
      </c>
      <c r="G1017" s="4">
        <v>12124.992399999999</v>
      </c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</row>
    <row r="1018" spans="1:18" x14ac:dyDescent="0.2">
      <c r="A1018" s="4">
        <v>19</v>
      </c>
      <c r="B1018" s="4">
        <v>0</v>
      </c>
      <c r="C1018" s="4">
        <v>24.605</v>
      </c>
      <c r="D1018" s="4">
        <v>1</v>
      </c>
      <c r="E1018" s="4">
        <v>0</v>
      </c>
      <c r="F1018" s="4">
        <v>3</v>
      </c>
      <c r="G1018" s="4">
        <v>2709.24395</v>
      </c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</row>
    <row r="1019" spans="1:18" x14ac:dyDescent="0.2">
      <c r="A1019" s="4">
        <v>26</v>
      </c>
      <c r="B1019" s="4">
        <v>0</v>
      </c>
      <c r="C1019" s="4">
        <v>34.200000000000003</v>
      </c>
      <c r="D1019" s="4">
        <v>2</v>
      </c>
      <c r="E1019" s="4">
        <v>0</v>
      </c>
      <c r="F1019" s="4">
        <v>4</v>
      </c>
      <c r="G1019" s="4">
        <v>3987.9259999999999</v>
      </c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</row>
    <row r="1020" spans="1:18" x14ac:dyDescent="0.2">
      <c r="A1020" s="4">
        <v>54</v>
      </c>
      <c r="B1020" s="4">
        <v>0</v>
      </c>
      <c r="C1020" s="4">
        <v>35.814999999999998</v>
      </c>
      <c r="D1020" s="4">
        <v>3</v>
      </c>
      <c r="E1020" s="4">
        <v>0</v>
      </c>
      <c r="F1020" s="4">
        <v>3</v>
      </c>
      <c r="G1020" s="4">
        <v>12495.290849999999</v>
      </c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</row>
    <row r="1021" spans="1:18" x14ac:dyDescent="0.2">
      <c r="A1021" s="4">
        <v>21</v>
      </c>
      <c r="B1021" s="4">
        <v>0</v>
      </c>
      <c r="C1021" s="4">
        <v>32.68</v>
      </c>
      <c r="D1021" s="4">
        <v>2</v>
      </c>
      <c r="E1021" s="4">
        <v>0</v>
      </c>
      <c r="F1021" s="4">
        <v>3</v>
      </c>
      <c r="G1021" s="4">
        <v>26018.950519999999</v>
      </c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</row>
    <row r="1022" spans="1:18" x14ac:dyDescent="0.2">
      <c r="A1022" s="4">
        <v>51</v>
      </c>
      <c r="B1022" s="4">
        <v>1</v>
      </c>
      <c r="C1022" s="4">
        <v>37</v>
      </c>
      <c r="D1022" s="4">
        <v>0</v>
      </c>
      <c r="E1022" s="4">
        <v>0</v>
      </c>
      <c r="F1022" s="4">
        <v>4</v>
      </c>
      <c r="G1022" s="4">
        <v>8798.5930000000008</v>
      </c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</row>
    <row r="1023" spans="1:18" x14ac:dyDescent="0.2">
      <c r="A1023" s="4">
        <v>22</v>
      </c>
      <c r="B1023" s="4">
        <v>0</v>
      </c>
      <c r="C1023" s="4">
        <v>31.02</v>
      </c>
      <c r="D1023" s="4">
        <v>3</v>
      </c>
      <c r="E1023" s="4">
        <v>1</v>
      </c>
      <c r="F1023" s="4">
        <v>2</v>
      </c>
      <c r="G1023" s="4">
        <v>35595.589800000002</v>
      </c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</row>
    <row r="1024" spans="1:18" x14ac:dyDescent="0.2">
      <c r="A1024" s="4">
        <v>47</v>
      </c>
      <c r="B1024" s="4">
        <v>1</v>
      </c>
      <c r="C1024" s="4">
        <v>36.08</v>
      </c>
      <c r="D1024" s="4">
        <v>1</v>
      </c>
      <c r="E1024" s="4">
        <v>1</v>
      </c>
      <c r="F1024" s="4">
        <v>2</v>
      </c>
      <c r="G1024" s="4">
        <v>42211.138200000001</v>
      </c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</row>
    <row r="1025" spans="1:18" x14ac:dyDescent="0.2">
      <c r="A1025" s="4">
        <v>18</v>
      </c>
      <c r="B1025" s="4">
        <v>1</v>
      </c>
      <c r="C1025" s="4">
        <v>23.32</v>
      </c>
      <c r="D1025" s="4">
        <v>1</v>
      </c>
      <c r="E1025" s="4">
        <v>0</v>
      </c>
      <c r="F1025" s="4">
        <v>2</v>
      </c>
      <c r="G1025" s="4">
        <v>1711.0268000000001</v>
      </c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</row>
    <row r="1026" spans="1:18" x14ac:dyDescent="0.2">
      <c r="A1026" s="4">
        <v>47</v>
      </c>
      <c r="B1026" s="4">
        <v>0</v>
      </c>
      <c r="C1026" s="4">
        <v>45.32</v>
      </c>
      <c r="D1026" s="4">
        <v>1</v>
      </c>
      <c r="E1026" s="4">
        <v>0</v>
      </c>
      <c r="F1026" s="4">
        <v>2</v>
      </c>
      <c r="G1026" s="4">
        <v>8569.8618000000006</v>
      </c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</row>
    <row r="1027" spans="1:18" x14ac:dyDescent="0.2">
      <c r="A1027" s="4">
        <v>21</v>
      </c>
      <c r="B1027" s="4">
        <v>0</v>
      </c>
      <c r="C1027" s="4">
        <v>34.6</v>
      </c>
      <c r="D1027" s="4">
        <v>0</v>
      </c>
      <c r="E1027" s="4">
        <v>0</v>
      </c>
      <c r="F1027" s="4">
        <v>4</v>
      </c>
      <c r="G1027" s="4">
        <v>2020.1769999999999</v>
      </c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</row>
    <row r="1028" spans="1:18" x14ac:dyDescent="0.2">
      <c r="A1028" s="4">
        <v>19</v>
      </c>
      <c r="B1028" s="4">
        <v>1</v>
      </c>
      <c r="C1028" s="4">
        <v>26.03</v>
      </c>
      <c r="D1028" s="4">
        <v>1</v>
      </c>
      <c r="E1028" s="4">
        <v>1</v>
      </c>
      <c r="F1028" s="4">
        <v>3</v>
      </c>
      <c r="G1028" s="4">
        <v>16450.894700000001</v>
      </c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</row>
    <row r="1029" spans="1:18" x14ac:dyDescent="0.2">
      <c r="A1029" s="4">
        <v>23</v>
      </c>
      <c r="B1029" s="4">
        <v>1</v>
      </c>
      <c r="C1029" s="4">
        <v>18.715</v>
      </c>
      <c r="D1029" s="4">
        <v>0</v>
      </c>
      <c r="E1029" s="4">
        <v>0</v>
      </c>
      <c r="F1029" s="4">
        <v>3</v>
      </c>
      <c r="G1029" s="4">
        <v>21595.382290000001</v>
      </c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</row>
    <row r="1030" spans="1:18" x14ac:dyDescent="0.2">
      <c r="A1030" s="4">
        <v>54</v>
      </c>
      <c r="B1030" s="4">
        <v>1</v>
      </c>
      <c r="C1030" s="4">
        <v>31.6</v>
      </c>
      <c r="D1030" s="4">
        <v>0</v>
      </c>
      <c r="E1030" s="4">
        <v>0</v>
      </c>
      <c r="F1030" s="4">
        <v>4</v>
      </c>
      <c r="G1030" s="4">
        <v>9850.4320000000007</v>
      </c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</row>
    <row r="1031" spans="1:18" x14ac:dyDescent="0.2">
      <c r="A1031" s="4">
        <v>37</v>
      </c>
      <c r="B1031" s="4">
        <v>0</v>
      </c>
      <c r="C1031" s="4">
        <v>17.29</v>
      </c>
      <c r="D1031" s="4">
        <v>2</v>
      </c>
      <c r="E1031" s="4">
        <v>0</v>
      </c>
      <c r="F1031" s="4">
        <v>1</v>
      </c>
      <c r="G1031" s="4">
        <v>6877.9800999999998</v>
      </c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</row>
    <row r="1032" spans="1:18" x14ac:dyDescent="0.2">
      <c r="A1032" s="4">
        <v>46</v>
      </c>
      <c r="B1032" s="4">
        <v>0</v>
      </c>
      <c r="C1032" s="4">
        <v>23.655000000000001</v>
      </c>
      <c r="D1032" s="4">
        <v>1</v>
      </c>
      <c r="E1032" s="4">
        <v>1</v>
      </c>
      <c r="F1032" s="4">
        <v>3</v>
      </c>
      <c r="G1032" s="4">
        <v>21677.283449999999</v>
      </c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</row>
    <row r="1033" spans="1:18" x14ac:dyDescent="0.2">
      <c r="A1033" s="4">
        <v>55</v>
      </c>
      <c r="B1033" s="4">
        <v>0</v>
      </c>
      <c r="C1033" s="4">
        <v>35.200000000000003</v>
      </c>
      <c r="D1033" s="4">
        <v>0</v>
      </c>
      <c r="E1033" s="4">
        <v>1</v>
      </c>
      <c r="F1033" s="4">
        <v>2</v>
      </c>
      <c r="G1033" s="4">
        <v>44423.803</v>
      </c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</row>
    <row r="1034" spans="1:18" x14ac:dyDescent="0.2">
      <c r="A1034" s="4">
        <v>30</v>
      </c>
      <c r="B1034" s="4">
        <v>0</v>
      </c>
      <c r="C1034" s="4">
        <v>27.93</v>
      </c>
      <c r="D1034" s="4">
        <v>0</v>
      </c>
      <c r="E1034" s="4">
        <v>0</v>
      </c>
      <c r="F1034" s="4">
        <v>1</v>
      </c>
      <c r="G1034" s="4">
        <v>4137.5227000000004</v>
      </c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</row>
    <row r="1035" spans="1:18" x14ac:dyDescent="0.2">
      <c r="A1035" s="4">
        <v>18</v>
      </c>
      <c r="B1035" s="4">
        <v>1</v>
      </c>
      <c r="C1035" s="4">
        <v>21.565000000000001</v>
      </c>
      <c r="D1035" s="4">
        <v>0</v>
      </c>
      <c r="E1035" s="4">
        <v>1</v>
      </c>
      <c r="F1035" s="4">
        <v>1</v>
      </c>
      <c r="G1035" s="4">
        <v>13747.87235</v>
      </c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</row>
    <row r="1036" spans="1:18" x14ac:dyDescent="0.2">
      <c r="A1036" s="4">
        <v>61</v>
      </c>
      <c r="B1036" s="4">
        <v>1</v>
      </c>
      <c r="C1036" s="4">
        <v>38.380000000000003</v>
      </c>
      <c r="D1036" s="4">
        <v>0</v>
      </c>
      <c r="E1036" s="4">
        <v>0</v>
      </c>
      <c r="F1036" s="4">
        <v>3</v>
      </c>
      <c r="G1036" s="4">
        <v>12950.0712</v>
      </c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</row>
    <row r="1037" spans="1:18" x14ac:dyDescent="0.2">
      <c r="A1037" s="4">
        <v>54</v>
      </c>
      <c r="B1037" s="4">
        <v>0</v>
      </c>
      <c r="C1037" s="4">
        <v>23</v>
      </c>
      <c r="D1037" s="4">
        <v>3</v>
      </c>
      <c r="E1037" s="4">
        <v>0</v>
      </c>
      <c r="F1037" s="4">
        <v>4</v>
      </c>
      <c r="G1037" s="4">
        <v>12094.477999999999</v>
      </c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</row>
    <row r="1038" spans="1:18" x14ac:dyDescent="0.2">
      <c r="A1038" s="4">
        <v>22</v>
      </c>
      <c r="B1038" s="4">
        <v>1</v>
      </c>
      <c r="C1038" s="4">
        <v>37.07</v>
      </c>
      <c r="D1038" s="4">
        <v>2</v>
      </c>
      <c r="E1038" s="4">
        <v>1</v>
      </c>
      <c r="F1038" s="4">
        <v>2</v>
      </c>
      <c r="G1038" s="4">
        <v>37484.4493</v>
      </c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</row>
    <row r="1039" spans="1:18" x14ac:dyDescent="0.2">
      <c r="A1039" s="4">
        <v>45</v>
      </c>
      <c r="B1039" s="4">
        <v>0</v>
      </c>
      <c r="C1039" s="4">
        <v>30.495000000000001</v>
      </c>
      <c r="D1039" s="4">
        <v>1</v>
      </c>
      <c r="E1039" s="4">
        <v>1</v>
      </c>
      <c r="F1039" s="4">
        <v>3</v>
      </c>
      <c r="G1039" s="4">
        <v>39725.518049999999</v>
      </c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</row>
    <row r="1040" spans="1:18" x14ac:dyDescent="0.2">
      <c r="A1040" s="4">
        <v>22</v>
      </c>
      <c r="B1040" s="4">
        <v>1</v>
      </c>
      <c r="C1040" s="4">
        <v>28.88</v>
      </c>
      <c r="D1040" s="4">
        <v>0</v>
      </c>
      <c r="E1040" s="4">
        <v>0</v>
      </c>
      <c r="F1040" s="4">
        <v>1</v>
      </c>
      <c r="G1040" s="4">
        <v>2250.8352</v>
      </c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</row>
    <row r="1041" spans="1:18" x14ac:dyDescent="0.2">
      <c r="A1041" s="4">
        <v>19</v>
      </c>
      <c r="B1041" s="4">
        <v>1</v>
      </c>
      <c r="C1041" s="4">
        <v>27.265000000000001</v>
      </c>
      <c r="D1041" s="4">
        <v>2</v>
      </c>
      <c r="E1041" s="4">
        <v>0</v>
      </c>
      <c r="F1041" s="4">
        <v>3</v>
      </c>
      <c r="G1041" s="4">
        <v>22493.659640000002</v>
      </c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</row>
    <row r="1042" spans="1:18" x14ac:dyDescent="0.2">
      <c r="A1042" s="4">
        <v>35</v>
      </c>
      <c r="B1042" s="4">
        <v>0</v>
      </c>
      <c r="C1042" s="4">
        <v>28.024999999999999</v>
      </c>
      <c r="D1042" s="4">
        <v>0</v>
      </c>
      <c r="E1042" s="4">
        <v>1</v>
      </c>
      <c r="F1042" s="4">
        <v>3</v>
      </c>
      <c r="G1042" s="4">
        <v>20234.854749999999</v>
      </c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</row>
    <row r="1043" spans="1:18" x14ac:dyDescent="0.2">
      <c r="A1043" s="4">
        <v>18</v>
      </c>
      <c r="B1043" s="4">
        <v>1</v>
      </c>
      <c r="C1043" s="4">
        <v>23.085000000000001</v>
      </c>
      <c r="D1043" s="4">
        <v>0</v>
      </c>
      <c r="E1043" s="4">
        <v>0</v>
      </c>
      <c r="F1043" s="4">
        <v>1</v>
      </c>
      <c r="G1043" s="4">
        <v>1704.7001499999999</v>
      </c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</row>
    <row r="1044" spans="1:18" x14ac:dyDescent="0.2">
      <c r="A1044" s="4">
        <v>20</v>
      </c>
      <c r="B1044" s="4">
        <v>1</v>
      </c>
      <c r="C1044" s="4">
        <v>30.684999999999999</v>
      </c>
      <c r="D1044" s="4">
        <v>0</v>
      </c>
      <c r="E1044" s="4">
        <v>1</v>
      </c>
      <c r="F1044" s="4">
        <v>1</v>
      </c>
      <c r="G1044" s="4">
        <v>33475.817150000003</v>
      </c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</row>
    <row r="1045" spans="1:18" x14ac:dyDescent="0.2">
      <c r="A1045" s="4">
        <v>28</v>
      </c>
      <c r="B1045" s="4">
        <v>0</v>
      </c>
      <c r="C1045" s="4">
        <v>25.8</v>
      </c>
      <c r="D1045" s="4">
        <v>0</v>
      </c>
      <c r="E1045" s="4">
        <v>0</v>
      </c>
      <c r="F1045" s="4">
        <v>4</v>
      </c>
      <c r="G1045" s="4">
        <v>3161.4540000000002</v>
      </c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</row>
    <row r="1046" spans="1:18" x14ac:dyDescent="0.2">
      <c r="A1046" s="4">
        <v>55</v>
      </c>
      <c r="B1046" s="4">
        <v>1</v>
      </c>
      <c r="C1046" s="4">
        <v>35.244999999999997</v>
      </c>
      <c r="D1046" s="4">
        <v>1</v>
      </c>
      <c r="E1046" s="4">
        <v>0</v>
      </c>
      <c r="F1046" s="4">
        <v>1</v>
      </c>
      <c r="G1046" s="4">
        <v>11394.065549999999</v>
      </c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</row>
    <row r="1047" spans="1:18" x14ac:dyDescent="0.2">
      <c r="A1047" s="4">
        <v>43</v>
      </c>
      <c r="B1047" s="4">
        <v>0</v>
      </c>
      <c r="C1047" s="4">
        <v>24.7</v>
      </c>
      <c r="D1047" s="4">
        <v>2</v>
      </c>
      <c r="E1047" s="4">
        <v>1</v>
      </c>
      <c r="F1047" s="4">
        <v>3</v>
      </c>
      <c r="G1047" s="4">
        <v>21880.82</v>
      </c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</row>
    <row r="1048" spans="1:18" x14ac:dyDescent="0.2">
      <c r="A1048" s="4">
        <v>43</v>
      </c>
      <c r="B1048" s="4">
        <v>0</v>
      </c>
      <c r="C1048" s="4">
        <v>25.08</v>
      </c>
      <c r="D1048" s="4">
        <v>0</v>
      </c>
      <c r="E1048" s="4">
        <v>0</v>
      </c>
      <c r="F1048" s="4">
        <v>1</v>
      </c>
      <c r="G1048" s="4">
        <v>7325.0482000000002</v>
      </c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</row>
    <row r="1049" spans="1:18" x14ac:dyDescent="0.2">
      <c r="A1049" s="4">
        <v>22</v>
      </c>
      <c r="B1049" s="4">
        <v>1</v>
      </c>
      <c r="C1049" s="4">
        <v>52.58</v>
      </c>
      <c r="D1049" s="4">
        <v>1</v>
      </c>
      <c r="E1049" s="4">
        <v>1</v>
      </c>
      <c r="F1049" s="4">
        <v>2</v>
      </c>
      <c r="G1049" s="4">
        <v>44501.398200000003</v>
      </c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</row>
    <row r="1050" spans="1:18" x14ac:dyDescent="0.2">
      <c r="A1050" s="4">
        <v>25</v>
      </c>
      <c r="B1050" s="4">
        <v>0</v>
      </c>
      <c r="C1050" s="4">
        <v>22.515000000000001</v>
      </c>
      <c r="D1050" s="4">
        <v>1</v>
      </c>
      <c r="E1050" s="4">
        <v>0</v>
      </c>
      <c r="F1050" s="4">
        <v>3</v>
      </c>
      <c r="G1050" s="4">
        <v>3594.17085</v>
      </c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</row>
    <row r="1051" spans="1:18" x14ac:dyDescent="0.2">
      <c r="A1051" s="4">
        <v>49</v>
      </c>
      <c r="B1051" s="4">
        <v>1</v>
      </c>
      <c r="C1051" s="4">
        <v>30.9</v>
      </c>
      <c r="D1051" s="4">
        <v>0</v>
      </c>
      <c r="E1051" s="4">
        <v>1</v>
      </c>
      <c r="F1051" s="4">
        <v>4</v>
      </c>
      <c r="G1051" s="4">
        <v>39727.614000000001</v>
      </c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</row>
    <row r="1052" spans="1:18" x14ac:dyDescent="0.2">
      <c r="A1052" s="4">
        <v>44</v>
      </c>
      <c r="B1052" s="4">
        <v>0</v>
      </c>
      <c r="C1052" s="4">
        <v>36.954999999999998</v>
      </c>
      <c r="D1052" s="4">
        <v>1</v>
      </c>
      <c r="E1052" s="4">
        <v>0</v>
      </c>
      <c r="F1052" s="4">
        <v>3</v>
      </c>
      <c r="G1052" s="4">
        <v>8023.1354499999998</v>
      </c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</row>
    <row r="1053" spans="1:18" x14ac:dyDescent="0.2">
      <c r="A1053" s="4">
        <v>64</v>
      </c>
      <c r="B1053" s="4">
        <v>1</v>
      </c>
      <c r="C1053" s="4">
        <v>26.41</v>
      </c>
      <c r="D1053" s="4">
        <v>0</v>
      </c>
      <c r="E1053" s="4">
        <v>0</v>
      </c>
      <c r="F1053" s="4">
        <v>1</v>
      </c>
      <c r="G1053" s="4">
        <v>14394.5579</v>
      </c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</row>
    <row r="1054" spans="1:18" x14ac:dyDescent="0.2">
      <c r="A1054" s="4">
        <v>49</v>
      </c>
      <c r="B1054" s="4">
        <v>1</v>
      </c>
      <c r="C1054" s="4">
        <v>29.83</v>
      </c>
      <c r="D1054" s="4">
        <v>1</v>
      </c>
      <c r="E1054" s="4">
        <v>0</v>
      </c>
      <c r="F1054" s="4">
        <v>1</v>
      </c>
      <c r="G1054" s="4">
        <v>9288.0267000000003</v>
      </c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</row>
    <row r="1055" spans="1:18" x14ac:dyDescent="0.2">
      <c r="A1055" s="4">
        <v>47</v>
      </c>
      <c r="B1055" s="4">
        <v>1</v>
      </c>
      <c r="C1055" s="4">
        <v>29.8</v>
      </c>
      <c r="D1055" s="4">
        <v>3</v>
      </c>
      <c r="E1055" s="4">
        <v>1</v>
      </c>
      <c r="F1055" s="4">
        <v>4</v>
      </c>
      <c r="G1055" s="4">
        <v>25309.489000000001</v>
      </c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</row>
    <row r="1056" spans="1:18" x14ac:dyDescent="0.2">
      <c r="A1056" s="4">
        <v>27</v>
      </c>
      <c r="B1056" s="4">
        <v>0</v>
      </c>
      <c r="C1056" s="4">
        <v>21.47</v>
      </c>
      <c r="D1056" s="4">
        <v>0</v>
      </c>
      <c r="E1056" s="4">
        <v>0</v>
      </c>
      <c r="F1056" s="4">
        <v>3</v>
      </c>
      <c r="G1056" s="4">
        <v>3353.4703</v>
      </c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</row>
    <row r="1057" spans="1:18" x14ac:dyDescent="0.2">
      <c r="A1057" s="4">
        <v>55</v>
      </c>
      <c r="B1057" s="4">
        <v>1</v>
      </c>
      <c r="C1057" s="4">
        <v>27.645</v>
      </c>
      <c r="D1057" s="4">
        <v>0</v>
      </c>
      <c r="E1057" s="4">
        <v>0</v>
      </c>
      <c r="F1057" s="4">
        <v>3</v>
      </c>
      <c r="G1057" s="4">
        <v>10594.501550000001</v>
      </c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</row>
    <row r="1058" spans="1:18" x14ac:dyDescent="0.2">
      <c r="A1058" s="4">
        <v>48</v>
      </c>
      <c r="B1058" s="4">
        <v>0</v>
      </c>
      <c r="C1058" s="4">
        <v>28.9</v>
      </c>
      <c r="D1058" s="4">
        <v>0</v>
      </c>
      <c r="E1058" s="4">
        <v>0</v>
      </c>
      <c r="F1058" s="4">
        <v>4</v>
      </c>
      <c r="G1058" s="4">
        <v>8277.5229999999992</v>
      </c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</row>
    <row r="1059" spans="1:18" x14ac:dyDescent="0.2">
      <c r="A1059" s="4">
        <v>45</v>
      </c>
      <c r="B1059" s="4">
        <v>0</v>
      </c>
      <c r="C1059" s="4">
        <v>31.79</v>
      </c>
      <c r="D1059" s="4">
        <v>0</v>
      </c>
      <c r="E1059" s="4">
        <v>0</v>
      </c>
      <c r="F1059" s="4">
        <v>2</v>
      </c>
      <c r="G1059" s="4">
        <v>17929.303370000001</v>
      </c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</row>
    <row r="1060" spans="1:18" x14ac:dyDescent="0.2">
      <c r="A1060" s="4">
        <v>24</v>
      </c>
      <c r="B1060" s="4">
        <v>0</v>
      </c>
      <c r="C1060" s="4">
        <v>39.49</v>
      </c>
      <c r="D1060" s="4">
        <v>0</v>
      </c>
      <c r="E1060" s="4">
        <v>0</v>
      </c>
      <c r="F1060" s="4">
        <v>2</v>
      </c>
      <c r="G1060" s="4">
        <v>2480.9791</v>
      </c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</row>
    <row r="1061" spans="1:18" x14ac:dyDescent="0.2">
      <c r="A1061" s="4">
        <v>32</v>
      </c>
      <c r="B1061" s="4">
        <v>1</v>
      </c>
      <c r="C1061" s="4">
        <v>33.82</v>
      </c>
      <c r="D1061" s="4">
        <v>1</v>
      </c>
      <c r="E1061" s="4">
        <v>0</v>
      </c>
      <c r="F1061" s="4">
        <v>3</v>
      </c>
      <c r="G1061" s="4">
        <v>4462.7218000000003</v>
      </c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</row>
    <row r="1062" spans="1:18" x14ac:dyDescent="0.2">
      <c r="A1062" s="4">
        <v>24</v>
      </c>
      <c r="B1062" s="4">
        <v>1</v>
      </c>
      <c r="C1062" s="4">
        <v>32.01</v>
      </c>
      <c r="D1062" s="4">
        <v>0</v>
      </c>
      <c r="E1062" s="4">
        <v>0</v>
      </c>
      <c r="F1062" s="4">
        <v>2</v>
      </c>
      <c r="G1062" s="4">
        <v>1981.5818999999999</v>
      </c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</row>
    <row r="1063" spans="1:18" x14ac:dyDescent="0.2">
      <c r="A1063" s="4">
        <v>57</v>
      </c>
      <c r="B1063" s="4">
        <v>1</v>
      </c>
      <c r="C1063" s="4">
        <v>27.94</v>
      </c>
      <c r="D1063" s="4">
        <v>1</v>
      </c>
      <c r="E1063" s="4">
        <v>0</v>
      </c>
      <c r="F1063" s="4">
        <v>2</v>
      </c>
      <c r="G1063" s="4">
        <v>11554.223599999999</v>
      </c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</row>
    <row r="1064" spans="1:18" x14ac:dyDescent="0.2">
      <c r="A1064" s="4">
        <v>59</v>
      </c>
      <c r="B1064" s="4">
        <v>1</v>
      </c>
      <c r="C1064" s="4">
        <v>41.14</v>
      </c>
      <c r="D1064" s="4">
        <v>1</v>
      </c>
      <c r="E1064" s="4">
        <v>1</v>
      </c>
      <c r="F1064" s="4">
        <v>2</v>
      </c>
      <c r="G1064" s="4">
        <v>48970.247600000002</v>
      </c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</row>
    <row r="1065" spans="1:18" x14ac:dyDescent="0.2">
      <c r="A1065" s="4">
        <v>36</v>
      </c>
      <c r="B1065" s="4">
        <v>1</v>
      </c>
      <c r="C1065" s="4">
        <v>28.594999999999999</v>
      </c>
      <c r="D1065" s="4">
        <v>3</v>
      </c>
      <c r="E1065" s="4">
        <v>0</v>
      </c>
      <c r="F1065" s="4">
        <v>3</v>
      </c>
      <c r="G1065" s="4">
        <v>6548.1950500000003</v>
      </c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</row>
    <row r="1066" spans="1:18" x14ac:dyDescent="0.2">
      <c r="A1066" s="4">
        <v>29</v>
      </c>
      <c r="B1066" s="4">
        <v>0</v>
      </c>
      <c r="C1066" s="4">
        <v>25.6</v>
      </c>
      <c r="D1066" s="4">
        <v>4</v>
      </c>
      <c r="E1066" s="4">
        <v>0</v>
      </c>
      <c r="F1066" s="4">
        <v>4</v>
      </c>
      <c r="G1066" s="4">
        <v>5708.8670000000002</v>
      </c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</row>
    <row r="1067" spans="1:18" x14ac:dyDescent="0.2">
      <c r="A1067" s="4">
        <v>42</v>
      </c>
      <c r="B1067" s="4">
        <v>0</v>
      </c>
      <c r="C1067" s="4">
        <v>25.3</v>
      </c>
      <c r="D1067" s="4">
        <v>1</v>
      </c>
      <c r="E1067" s="4">
        <v>0</v>
      </c>
      <c r="F1067" s="4">
        <v>4</v>
      </c>
      <c r="G1067" s="4">
        <v>7045.4989999999998</v>
      </c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</row>
    <row r="1068" spans="1:18" x14ac:dyDescent="0.2">
      <c r="A1068" s="4">
        <v>48</v>
      </c>
      <c r="B1068" s="4">
        <v>1</v>
      </c>
      <c r="C1068" s="4">
        <v>37.29</v>
      </c>
      <c r="D1068" s="4">
        <v>2</v>
      </c>
      <c r="E1068" s="4">
        <v>0</v>
      </c>
      <c r="F1068" s="4">
        <v>2</v>
      </c>
      <c r="G1068" s="4">
        <v>8978.1851000000006</v>
      </c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</row>
    <row r="1069" spans="1:18" x14ac:dyDescent="0.2">
      <c r="A1069" s="4">
        <v>39</v>
      </c>
      <c r="B1069" s="4">
        <v>1</v>
      </c>
      <c r="C1069" s="4">
        <v>42.655000000000001</v>
      </c>
      <c r="D1069" s="4">
        <v>0</v>
      </c>
      <c r="E1069" s="4">
        <v>0</v>
      </c>
      <c r="F1069" s="4">
        <v>1</v>
      </c>
      <c r="G1069" s="4">
        <v>5757.41345</v>
      </c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</row>
    <row r="1070" spans="1:18" x14ac:dyDescent="0.2">
      <c r="A1070" s="4">
        <v>63</v>
      </c>
      <c r="B1070" s="4">
        <v>1</v>
      </c>
      <c r="C1070" s="4">
        <v>21.66</v>
      </c>
      <c r="D1070" s="4">
        <v>1</v>
      </c>
      <c r="E1070" s="4">
        <v>0</v>
      </c>
      <c r="F1070" s="4">
        <v>3</v>
      </c>
      <c r="G1070" s="4">
        <v>14349.8544</v>
      </c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</row>
    <row r="1071" spans="1:18" x14ac:dyDescent="0.2">
      <c r="A1071" s="4">
        <v>54</v>
      </c>
      <c r="B1071" s="4">
        <v>0</v>
      </c>
      <c r="C1071" s="4">
        <v>31.9</v>
      </c>
      <c r="D1071" s="4">
        <v>1</v>
      </c>
      <c r="E1071" s="4">
        <v>0</v>
      </c>
      <c r="F1071" s="4">
        <v>2</v>
      </c>
      <c r="G1071" s="4">
        <v>10928.849</v>
      </c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</row>
    <row r="1072" spans="1:18" x14ac:dyDescent="0.2">
      <c r="A1072" s="4">
        <v>37</v>
      </c>
      <c r="B1072" s="4">
        <v>1</v>
      </c>
      <c r="C1072" s="4">
        <v>37.07</v>
      </c>
      <c r="D1072" s="4">
        <v>1</v>
      </c>
      <c r="E1072" s="4">
        <v>1</v>
      </c>
      <c r="F1072" s="4">
        <v>2</v>
      </c>
      <c r="G1072" s="4">
        <v>39871.704299999998</v>
      </c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</row>
    <row r="1073" spans="1:18" x14ac:dyDescent="0.2">
      <c r="A1073" s="4">
        <v>63</v>
      </c>
      <c r="B1073" s="4">
        <v>1</v>
      </c>
      <c r="C1073" s="4">
        <v>31.445</v>
      </c>
      <c r="D1073" s="4">
        <v>0</v>
      </c>
      <c r="E1073" s="4">
        <v>0</v>
      </c>
      <c r="F1073" s="4">
        <v>1</v>
      </c>
      <c r="G1073" s="4">
        <v>13974.455550000001</v>
      </c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</row>
    <row r="1074" spans="1:18" x14ac:dyDescent="0.2">
      <c r="A1074" s="4">
        <v>21</v>
      </c>
      <c r="B1074" s="4">
        <v>1</v>
      </c>
      <c r="C1074" s="4">
        <v>31.254999999999999</v>
      </c>
      <c r="D1074" s="4">
        <v>0</v>
      </c>
      <c r="E1074" s="4">
        <v>0</v>
      </c>
      <c r="F1074" s="4">
        <v>3</v>
      </c>
      <c r="G1074" s="4">
        <v>1909.52745</v>
      </c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</row>
    <row r="1075" spans="1:18" x14ac:dyDescent="0.2">
      <c r="A1075" s="4">
        <v>54</v>
      </c>
      <c r="B1075" s="4">
        <v>0</v>
      </c>
      <c r="C1075" s="4">
        <v>28.88</v>
      </c>
      <c r="D1075" s="4">
        <v>2</v>
      </c>
      <c r="E1075" s="4">
        <v>0</v>
      </c>
      <c r="F1075" s="4">
        <v>1</v>
      </c>
      <c r="G1075" s="4">
        <v>12096.6512</v>
      </c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</row>
    <row r="1076" spans="1:18" x14ac:dyDescent="0.2">
      <c r="A1076" s="4">
        <v>60</v>
      </c>
      <c r="B1076" s="4">
        <v>0</v>
      </c>
      <c r="C1076" s="4">
        <v>18.335000000000001</v>
      </c>
      <c r="D1076" s="4">
        <v>0</v>
      </c>
      <c r="E1076" s="4">
        <v>0</v>
      </c>
      <c r="F1076" s="4">
        <v>1</v>
      </c>
      <c r="G1076" s="4">
        <v>13204.28565</v>
      </c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</row>
    <row r="1077" spans="1:18" x14ac:dyDescent="0.2">
      <c r="A1077" s="4">
        <v>32</v>
      </c>
      <c r="B1077" s="4">
        <v>0</v>
      </c>
      <c r="C1077" s="4">
        <v>29.59</v>
      </c>
      <c r="D1077" s="4">
        <v>1</v>
      </c>
      <c r="E1077" s="4">
        <v>0</v>
      </c>
      <c r="F1077" s="4">
        <v>2</v>
      </c>
      <c r="G1077" s="4">
        <v>4562.8420999999998</v>
      </c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</row>
    <row r="1078" spans="1:18" x14ac:dyDescent="0.2">
      <c r="A1078" s="4">
        <v>47</v>
      </c>
      <c r="B1078" s="4">
        <v>0</v>
      </c>
      <c r="C1078" s="4">
        <v>32</v>
      </c>
      <c r="D1078" s="4">
        <v>1</v>
      </c>
      <c r="E1078" s="4">
        <v>0</v>
      </c>
      <c r="F1078" s="4">
        <v>4</v>
      </c>
      <c r="G1078" s="4">
        <v>8551.3469999999998</v>
      </c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</row>
    <row r="1079" spans="1:18" x14ac:dyDescent="0.2">
      <c r="A1079" s="4">
        <v>21</v>
      </c>
      <c r="B1079" s="4">
        <v>1</v>
      </c>
      <c r="C1079" s="4">
        <v>26.03</v>
      </c>
      <c r="D1079" s="4">
        <v>0</v>
      </c>
      <c r="E1079" s="4">
        <v>0</v>
      </c>
      <c r="F1079" s="4">
        <v>1</v>
      </c>
      <c r="G1079" s="4">
        <v>2102.2647000000002</v>
      </c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</row>
    <row r="1080" spans="1:18" x14ac:dyDescent="0.2">
      <c r="A1080" s="4">
        <v>28</v>
      </c>
      <c r="B1080" s="4">
        <v>1</v>
      </c>
      <c r="C1080" s="4">
        <v>31.68</v>
      </c>
      <c r="D1080" s="4">
        <v>0</v>
      </c>
      <c r="E1080" s="4">
        <v>1</v>
      </c>
      <c r="F1080" s="4">
        <v>2</v>
      </c>
      <c r="G1080" s="4">
        <v>34672.147199999999</v>
      </c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</row>
    <row r="1081" spans="1:18" x14ac:dyDescent="0.2">
      <c r="A1081" s="4">
        <v>63</v>
      </c>
      <c r="B1081" s="4">
        <v>1</v>
      </c>
      <c r="C1081" s="4">
        <v>33.659999999999997</v>
      </c>
      <c r="D1081" s="4">
        <v>3</v>
      </c>
      <c r="E1081" s="4">
        <v>0</v>
      </c>
      <c r="F1081" s="4">
        <v>2</v>
      </c>
      <c r="G1081" s="4">
        <v>15161.5344</v>
      </c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</row>
    <row r="1082" spans="1:18" x14ac:dyDescent="0.2">
      <c r="A1082" s="4">
        <v>18</v>
      </c>
      <c r="B1082" s="4">
        <v>1</v>
      </c>
      <c r="C1082" s="4">
        <v>21.78</v>
      </c>
      <c r="D1082" s="4">
        <v>2</v>
      </c>
      <c r="E1082" s="4">
        <v>0</v>
      </c>
      <c r="F1082" s="4">
        <v>2</v>
      </c>
      <c r="G1082" s="4">
        <v>11884.048580000001</v>
      </c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</row>
    <row r="1083" spans="1:18" x14ac:dyDescent="0.2">
      <c r="A1083" s="4">
        <v>32</v>
      </c>
      <c r="B1083" s="4">
        <v>1</v>
      </c>
      <c r="C1083" s="4">
        <v>27.835000000000001</v>
      </c>
      <c r="D1083" s="4">
        <v>1</v>
      </c>
      <c r="E1083" s="4">
        <v>0</v>
      </c>
      <c r="F1083" s="4">
        <v>3</v>
      </c>
      <c r="G1083" s="4">
        <v>4454.40265</v>
      </c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</row>
    <row r="1084" spans="1:18" x14ac:dyDescent="0.2">
      <c r="A1084" s="4">
        <v>38</v>
      </c>
      <c r="B1084" s="4">
        <v>1</v>
      </c>
      <c r="C1084" s="4">
        <v>19.95</v>
      </c>
      <c r="D1084" s="4">
        <v>1</v>
      </c>
      <c r="E1084" s="4">
        <v>0</v>
      </c>
      <c r="F1084" s="4">
        <v>3</v>
      </c>
      <c r="G1084" s="4">
        <v>5855.9025000000001</v>
      </c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</row>
    <row r="1085" spans="1:18" x14ac:dyDescent="0.2">
      <c r="A1085" s="4">
        <v>32</v>
      </c>
      <c r="B1085" s="4">
        <v>1</v>
      </c>
      <c r="C1085" s="4">
        <v>31.5</v>
      </c>
      <c r="D1085" s="4">
        <v>1</v>
      </c>
      <c r="E1085" s="4">
        <v>0</v>
      </c>
      <c r="F1085" s="4">
        <v>4</v>
      </c>
      <c r="G1085" s="4">
        <v>4076.4969999999998</v>
      </c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</row>
    <row r="1086" spans="1:18" x14ac:dyDescent="0.2">
      <c r="A1086" s="4">
        <v>62</v>
      </c>
      <c r="B1086" s="4">
        <v>0</v>
      </c>
      <c r="C1086" s="4">
        <v>30.495000000000001</v>
      </c>
      <c r="D1086" s="4">
        <v>2</v>
      </c>
      <c r="E1086" s="4">
        <v>0</v>
      </c>
      <c r="F1086" s="4">
        <v>3</v>
      </c>
      <c r="G1086" s="4">
        <v>15019.760050000001</v>
      </c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</row>
    <row r="1087" spans="1:18" x14ac:dyDescent="0.2">
      <c r="A1087" s="4">
        <v>39</v>
      </c>
      <c r="B1087" s="4">
        <v>0</v>
      </c>
      <c r="C1087" s="4">
        <v>18.3</v>
      </c>
      <c r="D1087" s="4">
        <v>5</v>
      </c>
      <c r="E1087" s="4">
        <v>1</v>
      </c>
      <c r="F1087" s="4">
        <v>4</v>
      </c>
      <c r="G1087" s="4">
        <v>19023.259999999998</v>
      </c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</row>
    <row r="1088" spans="1:18" x14ac:dyDescent="0.2">
      <c r="A1088" s="4">
        <v>55</v>
      </c>
      <c r="B1088" s="4">
        <v>1</v>
      </c>
      <c r="C1088" s="4">
        <v>28.975000000000001</v>
      </c>
      <c r="D1088" s="4">
        <v>0</v>
      </c>
      <c r="E1088" s="4">
        <v>0</v>
      </c>
      <c r="F1088" s="4">
        <v>1</v>
      </c>
      <c r="G1088" s="4">
        <v>10796.35025</v>
      </c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</row>
    <row r="1089" spans="1:18" x14ac:dyDescent="0.2">
      <c r="A1089" s="4">
        <v>57</v>
      </c>
      <c r="B1089" s="4">
        <v>1</v>
      </c>
      <c r="C1089" s="4">
        <v>31.54</v>
      </c>
      <c r="D1089" s="4">
        <v>0</v>
      </c>
      <c r="E1089" s="4">
        <v>0</v>
      </c>
      <c r="F1089" s="4">
        <v>3</v>
      </c>
      <c r="G1089" s="4">
        <v>11353.2276</v>
      </c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</row>
    <row r="1090" spans="1:18" x14ac:dyDescent="0.2">
      <c r="A1090" s="4">
        <v>52</v>
      </c>
      <c r="B1090" s="4">
        <v>1</v>
      </c>
      <c r="C1090" s="4">
        <v>47.74</v>
      </c>
      <c r="D1090" s="4">
        <v>1</v>
      </c>
      <c r="E1090" s="4">
        <v>0</v>
      </c>
      <c r="F1090" s="4">
        <v>2</v>
      </c>
      <c r="G1090" s="4">
        <v>9748.9105999999992</v>
      </c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</row>
    <row r="1091" spans="1:18" x14ac:dyDescent="0.2">
      <c r="A1091" s="4">
        <v>56</v>
      </c>
      <c r="B1091" s="4">
        <v>1</v>
      </c>
      <c r="C1091" s="4">
        <v>22.1</v>
      </c>
      <c r="D1091" s="4">
        <v>0</v>
      </c>
      <c r="E1091" s="4">
        <v>0</v>
      </c>
      <c r="F1091" s="4">
        <v>4</v>
      </c>
      <c r="G1091" s="4">
        <v>10577.087</v>
      </c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</row>
    <row r="1092" spans="1:18" x14ac:dyDescent="0.2">
      <c r="A1092" s="4">
        <v>47</v>
      </c>
      <c r="B1092" s="4">
        <v>1</v>
      </c>
      <c r="C1092" s="4">
        <v>36.19</v>
      </c>
      <c r="D1092" s="4">
        <v>0</v>
      </c>
      <c r="E1092" s="4">
        <v>1</v>
      </c>
      <c r="F1092" s="4">
        <v>2</v>
      </c>
      <c r="G1092" s="4">
        <v>41676.081100000003</v>
      </c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</row>
    <row r="1093" spans="1:18" x14ac:dyDescent="0.2">
      <c r="A1093" s="4">
        <v>55</v>
      </c>
      <c r="B1093" s="4">
        <v>0</v>
      </c>
      <c r="C1093" s="4">
        <v>29.83</v>
      </c>
      <c r="D1093" s="4">
        <v>0</v>
      </c>
      <c r="E1093" s="4">
        <v>0</v>
      </c>
      <c r="F1093" s="4">
        <v>1</v>
      </c>
      <c r="G1093" s="4">
        <v>11286.538699999999</v>
      </c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</row>
    <row r="1094" spans="1:18" x14ac:dyDescent="0.2">
      <c r="A1094" s="4">
        <v>23</v>
      </c>
      <c r="B1094" s="4">
        <v>1</v>
      </c>
      <c r="C1094" s="4">
        <v>32.700000000000003</v>
      </c>
      <c r="D1094" s="4">
        <v>3</v>
      </c>
      <c r="E1094" s="4">
        <v>0</v>
      </c>
      <c r="F1094" s="4">
        <v>4</v>
      </c>
      <c r="G1094" s="4">
        <v>3591.48</v>
      </c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</row>
    <row r="1095" spans="1:18" x14ac:dyDescent="0.2">
      <c r="A1095" s="4">
        <v>22</v>
      </c>
      <c r="B1095" s="4">
        <v>0</v>
      </c>
      <c r="C1095" s="4">
        <v>30.4</v>
      </c>
      <c r="D1095" s="4">
        <v>0</v>
      </c>
      <c r="E1095" s="4">
        <v>1</v>
      </c>
      <c r="F1095" s="4">
        <v>3</v>
      </c>
      <c r="G1095" s="4">
        <v>33907.548000000003</v>
      </c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</row>
    <row r="1096" spans="1:18" x14ac:dyDescent="0.2">
      <c r="A1096" s="4">
        <v>50</v>
      </c>
      <c r="B1096" s="4">
        <v>0</v>
      </c>
      <c r="C1096" s="4">
        <v>33.700000000000003</v>
      </c>
      <c r="D1096" s="4">
        <v>4</v>
      </c>
      <c r="E1096" s="4">
        <v>0</v>
      </c>
      <c r="F1096" s="4">
        <v>4</v>
      </c>
      <c r="G1096" s="4">
        <v>11299.343000000001</v>
      </c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</row>
    <row r="1097" spans="1:18" x14ac:dyDescent="0.2">
      <c r="A1097" s="4">
        <v>18</v>
      </c>
      <c r="B1097" s="4">
        <v>0</v>
      </c>
      <c r="C1097" s="4">
        <v>31.35</v>
      </c>
      <c r="D1097" s="4">
        <v>4</v>
      </c>
      <c r="E1097" s="4">
        <v>0</v>
      </c>
      <c r="F1097" s="4">
        <v>1</v>
      </c>
      <c r="G1097" s="4">
        <v>4561.1885000000002</v>
      </c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</row>
    <row r="1098" spans="1:18" x14ac:dyDescent="0.2">
      <c r="A1098" s="4">
        <v>51</v>
      </c>
      <c r="B1098" s="4">
        <v>0</v>
      </c>
      <c r="C1098" s="4">
        <v>34.96</v>
      </c>
      <c r="D1098" s="4">
        <v>2</v>
      </c>
      <c r="E1098" s="4">
        <v>1</v>
      </c>
      <c r="F1098" s="4">
        <v>1</v>
      </c>
      <c r="G1098" s="4">
        <v>44641.197399999997</v>
      </c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</row>
    <row r="1099" spans="1:18" x14ac:dyDescent="0.2">
      <c r="A1099" s="4">
        <v>22</v>
      </c>
      <c r="B1099" s="4">
        <v>1</v>
      </c>
      <c r="C1099" s="4">
        <v>33.770000000000003</v>
      </c>
      <c r="D1099" s="4">
        <v>0</v>
      </c>
      <c r="E1099" s="4">
        <v>0</v>
      </c>
      <c r="F1099" s="4">
        <v>2</v>
      </c>
      <c r="G1099" s="4">
        <v>1674.6323</v>
      </c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</row>
    <row r="1100" spans="1:18" x14ac:dyDescent="0.2">
      <c r="A1100" s="4">
        <v>52</v>
      </c>
      <c r="B1100" s="4">
        <v>0</v>
      </c>
      <c r="C1100" s="4">
        <v>30.875</v>
      </c>
      <c r="D1100" s="4">
        <v>0</v>
      </c>
      <c r="E1100" s="4">
        <v>0</v>
      </c>
      <c r="F1100" s="4">
        <v>1</v>
      </c>
      <c r="G1100" s="4">
        <v>23045.566159999998</v>
      </c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</row>
    <row r="1101" spans="1:18" x14ac:dyDescent="0.2">
      <c r="A1101" s="4">
        <v>25</v>
      </c>
      <c r="B1101" s="4">
        <v>0</v>
      </c>
      <c r="C1101" s="4">
        <v>33.99</v>
      </c>
      <c r="D1101" s="4">
        <v>1</v>
      </c>
      <c r="E1101" s="4">
        <v>0</v>
      </c>
      <c r="F1101" s="4">
        <v>2</v>
      </c>
      <c r="G1101" s="4">
        <v>3227.1210999999998</v>
      </c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</row>
    <row r="1102" spans="1:18" x14ac:dyDescent="0.2">
      <c r="A1102" s="4">
        <v>33</v>
      </c>
      <c r="B1102" s="4">
        <v>0</v>
      </c>
      <c r="C1102" s="4">
        <v>19.094999999999999</v>
      </c>
      <c r="D1102" s="4">
        <v>2</v>
      </c>
      <c r="E1102" s="4">
        <v>1</v>
      </c>
      <c r="F1102" s="4">
        <v>1</v>
      </c>
      <c r="G1102" s="4">
        <v>16776.304049999999</v>
      </c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</row>
    <row r="1103" spans="1:18" x14ac:dyDescent="0.2">
      <c r="A1103" s="4">
        <v>53</v>
      </c>
      <c r="B1103" s="4">
        <v>1</v>
      </c>
      <c r="C1103" s="4">
        <v>28.6</v>
      </c>
      <c r="D1103" s="4">
        <v>3</v>
      </c>
      <c r="E1103" s="4">
        <v>0</v>
      </c>
      <c r="F1103" s="4">
        <v>4</v>
      </c>
      <c r="G1103" s="4">
        <v>11253.421</v>
      </c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</row>
    <row r="1104" spans="1:18" x14ac:dyDescent="0.2">
      <c r="A1104" s="4">
        <v>29</v>
      </c>
      <c r="B1104" s="4">
        <v>1</v>
      </c>
      <c r="C1104" s="4">
        <v>38.94</v>
      </c>
      <c r="D1104" s="4">
        <v>1</v>
      </c>
      <c r="E1104" s="4">
        <v>0</v>
      </c>
      <c r="F1104" s="4">
        <v>2</v>
      </c>
      <c r="G1104" s="4">
        <v>3471.4096</v>
      </c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</row>
    <row r="1105" spans="1:18" x14ac:dyDescent="0.2">
      <c r="A1105" s="4">
        <v>58</v>
      </c>
      <c r="B1105" s="4">
        <v>1</v>
      </c>
      <c r="C1105" s="4">
        <v>36.08</v>
      </c>
      <c r="D1105" s="4">
        <v>0</v>
      </c>
      <c r="E1105" s="4">
        <v>0</v>
      </c>
      <c r="F1105" s="4">
        <v>2</v>
      </c>
      <c r="G1105" s="4">
        <v>11363.2832</v>
      </c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</row>
    <row r="1106" spans="1:18" x14ac:dyDescent="0.2">
      <c r="A1106" s="4">
        <v>37</v>
      </c>
      <c r="B1106" s="4">
        <v>1</v>
      </c>
      <c r="C1106" s="4">
        <v>29.8</v>
      </c>
      <c r="D1106" s="4">
        <v>0</v>
      </c>
      <c r="E1106" s="4">
        <v>0</v>
      </c>
      <c r="F1106" s="4">
        <v>4</v>
      </c>
      <c r="G1106" s="4">
        <v>20420.604650000001</v>
      </c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</row>
    <row r="1107" spans="1:18" x14ac:dyDescent="0.2">
      <c r="A1107" s="4">
        <v>54</v>
      </c>
      <c r="B1107" s="4">
        <v>0</v>
      </c>
      <c r="C1107" s="4">
        <v>31.24</v>
      </c>
      <c r="D1107" s="4">
        <v>0</v>
      </c>
      <c r="E1107" s="4">
        <v>0</v>
      </c>
      <c r="F1107" s="4">
        <v>2</v>
      </c>
      <c r="G1107" s="4">
        <v>10338.9316</v>
      </c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</row>
    <row r="1108" spans="1:18" x14ac:dyDescent="0.2">
      <c r="A1108" s="4">
        <v>49</v>
      </c>
      <c r="B1108" s="4">
        <v>0</v>
      </c>
      <c r="C1108" s="4">
        <v>29.925000000000001</v>
      </c>
      <c r="D1108" s="4">
        <v>0</v>
      </c>
      <c r="E1108" s="4">
        <v>0</v>
      </c>
      <c r="F1108" s="4">
        <v>3</v>
      </c>
      <c r="G1108" s="4">
        <v>8988.1587500000005</v>
      </c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</row>
    <row r="1109" spans="1:18" x14ac:dyDescent="0.2">
      <c r="A1109" s="4">
        <v>50</v>
      </c>
      <c r="B1109" s="4">
        <v>0</v>
      </c>
      <c r="C1109" s="4">
        <v>26.22</v>
      </c>
      <c r="D1109" s="4">
        <v>2</v>
      </c>
      <c r="E1109" s="4">
        <v>0</v>
      </c>
      <c r="F1109" s="4">
        <v>3</v>
      </c>
      <c r="G1109" s="4">
        <v>10493.9458</v>
      </c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</row>
    <row r="1110" spans="1:18" x14ac:dyDescent="0.2">
      <c r="A1110" s="4">
        <v>26</v>
      </c>
      <c r="B1110" s="4">
        <v>1</v>
      </c>
      <c r="C1110" s="4">
        <v>30</v>
      </c>
      <c r="D1110" s="4">
        <v>1</v>
      </c>
      <c r="E1110" s="4">
        <v>0</v>
      </c>
      <c r="F1110" s="4">
        <v>4</v>
      </c>
      <c r="G1110" s="4">
        <v>2904.0880000000002</v>
      </c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</row>
    <row r="1111" spans="1:18" x14ac:dyDescent="0.2">
      <c r="A1111" s="4">
        <v>45</v>
      </c>
      <c r="B1111" s="4">
        <v>1</v>
      </c>
      <c r="C1111" s="4">
        <v>20.350000000000001</v>
      </c>
      <c r="D1111" s="4">
        <v>3</v>
      </c>
      <c r="E1111" s="4">
        <v>0</v>
      </c>
      <c r="F1111" s="4">
        <v>2</v>
      </c>
      <c r="G1111" s="4">
        <v>8605.3615000000009</v>
      </c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</row>
    <row r="1112" spans="1:18" x14ac:dyDescent="0.2">
      <c r="A1112" s="4">
        <v>54</v>
      </c>
      <c r="B1112" s="4">
        <v>0</v>
      </c>
      <c r="C1112" s="4">
        <v>32.299999999999997</v>
      </c>
      <c r="D1112" s="4">
        <v>1</v>
      </c>
      <c r="E1112" s="4">
        <v>0</v>
      </c>
      <c r="F1112" s="4">
        <v>1</v>
      </c>
      <c r="G1112" s="4">
        <v>11512.405000000001</v>
      </c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</row>
    <row r="1113" spans="1:18" x14ac:dyDescent="0.2">
      <c r="A1113" s="4">
        <v>38</v>
      </c>
      <c r="B1113" s="4">
        <v>1</v>
      </c>
      <c r="C1113" s="4">
        <v>38.39</v>
      </c>
      <c r="D1113" s="4">
        <v>3</v>
      </c>
      <c r="E1113" s="4">
        <v>1</v>
      </c>
      <c r="F1113" s="4">
        <v>2</v>
      </c>
      <c r="G1113" s="4">
        <v>41949.244100000004</v>
      </c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</row>
    <row r="1114" spans="1:18" x14ac:dyDescent="0.2">
      <c r="A1114" s="4">
        <v>48</v>
      </c>
      <c r="B1114" s="4">
        <v>0</v>
      </c>
      <c r="C1114" s="4">
        <v>25.85</v>
      </c>
      <c r="D1114" s="4">
        <v>3</v>
      </c>
      <c r="E1114" s="4">
        <v>1</v>
      </c>
      <c r="F1114" s="4">
        <v>2</v>
      </c>
      <c r="G1114" s="4">
        <v>24180.933499999999</v>
      </c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</row>
    <row r="1115" spans="1:18" x14ac:dyDescent="0.2">
      <c r="A1115" s="4">
        <v>28</v>
      </c>
      <c r="B1115" s="4">
        <v>0</v>
      </c>
      <c r="C1115" s="4">
        <v>26.315000000000001</v>
      </c>
      <c r="D1115" s="4">
        <v>3</v>
      </c>
      <c r="E1115" s="4">
        <v>0</v>
      </c>
      <c r="F1115" s="4">
        <v>3</v>
      </c>
      <c r="G1115" s="4">
        <v>5312.1698500000002</v>
      </c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</row>
    <row r="1116" spans="1:18" x14ac:dyDescent="0.2">
      <c r="A1116" s="4">
        <v>23</v>
      </c>
      <c r="B1116" s="4">
        <v>1</v>
      </c>
      <c r="C1116" s="4">
        <v>24.51</v>
      </c>
      <c r="D1116" s="4">
        <v>0</v>
      </c>
      <c r="E1116" s="4">
        <v>0</v>
      </c>
      <c r="F1116" s="4">
        <v>1</v>
      </c>
      <c r="G1116" s="4">
        <v>2396.0958999999998</v>
      </c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</row>
    <row r="1117" spans="1:18" x14ac:dyDescent="0.2">
      <c r="A1117" s="4">
        <v>55</v>
      </c>
      <c r="B1117" s="4">
        <v>1</v>
      </c>
      <c r="C1117" s="4">
        <v>32.67</v>
      </c>
      <c r="D1117" s="4">
        <v>1</v>
      </c>
      <c r="E1117" s="4">
        <v>0</v>
      </c>
      <c r="F1117" s="4">
        <v>2</v>
      </c>
      <c r="G1117" s="4">
        <v>10807.4863</v>
      </c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</row>
    <row r="1118" spans="1:18" x14ac:dyDescent="0.2">
      <c r="A1118" s="4">
        <v>41</v>
      </c>
      <c r="B1118" s="4">
        <v>1</v>
      </c>
      <c r="C1118" s="4">
        <v>29.64</v>
      </c>
      <c r="D1118" s="4">
        <v>5</v>
      </c>
      <c r="E1118" s="4">
        <v>0</v>
      </c>
      <c r="F1118" s="4">
        <v>1</v>
      </c>
      <c r="G1118" s="4">
        <v>9222.4025999999994</v>
      </c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</row>
    <row r="1119" spans="1:18" x14ac:dyDescent="0.2">
      <c r="A1119" s="4">
        <v>25</v>
      </c>
      <c r="B1119" s="4">
        <v>1</v>
      </c>
      <c r="C1119" s="4">
        <v>33.33</v>
      </c>
      <c r="D1119" s="4">
        <v>2</v>
      </c>
      <c r="E1119" s="4">
        <v>1</v>
      </c>
      <c r="F1119" s="4">
        <v>2</v>
      </c>
      <c r="G1119" s="4">
        <v>36124.573700000001</v>
      </c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</row>
    <row r="1120" spans="1:18" x14ac:dyDescent="0.2">
      <c r="A1120" s="4">
        <v>33</v>
      </c>
      <c r="B1120" s="4">
        <v>1</v>
      </c>
      <c r="C1120" s="4">
        <v>35.75</v>
      </c>
      <c r="D1120" s="4">
        <v>1</v>
      </c>
      <c r="E1120" s="4">
        <v>1</v>
      </c>
      <c r="F1120" s="4">
        <v>2</v>
      </c>
      <c r="G1120" s="4">
        <v>38282.749499999998</v>
      </c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</row>
    <row r="1121" spans="1:18" x14ac:dyDescent="0.2">
      <c r="A1121" s="4">
        <v>30</v>
      </c>
      <c r="B1121" s="4">
        <v>0</v>
      </c>
      <c r="C1121" s="4">
        <v>19.95</v>
      </c>
      <c r="D1121" s="4">
        <v>3</v>
      </c>
      <c r="E1121" s="4">
        <v>0</v>
      </c>
      <c r="F1121" s="4">
        <v>3</v>
      </c>
      <c r="G1121" s="4">
        <v>5693.4305000000004</v>
      </c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</row>
    <row r="1122" spans="1:18" x14ac:dyDescent="0.2">
      <c r="A1122" s="4">
        <v>23</v>
      </c>
      <c r="B1122" s="4">
        <v>0</v>
      </c>
      <c r="C1122" s="4">
        <v>31.4</v>
      </c>
      <c r="D1122" s="4">
        <v>0</v>
      </c>
      <c r="E1122" s="4">
        <v>1</v>
      </c>
      <c r="F1122" s="4">
        <v>4</v>
      </c>
      <c r="G1122" s="4">
        <v>34166.273000000001</v>
      </c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</row>
    <row r="1123" spans="1:18" x14ac:dyDescent="0.2">
      <c r="A1123" s="4">
        <v>46</v>
      </c>
      <c r="B1123" s="4">
        <v>1</v>
      </c>
      <c r="C1123" s="4">
        <v>38.17</v>
      </c>
      <c r="D1123" s="4">
        <v>2</v>
      </c>
      <c r="E1123" s="4">
        <v>0</v>
      </c>
      <c r="F1123" s="4">
        <v>2</v>
      </c>
      <c r="G1123" s="4">
        <v>8347.1643000000004</v>
      </c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</row>
    <row r="1124" spans="1:18" x14ac:dyDescent="0.2">
      <c r="A1124" s="4">
        <v>53</v>
      </c>
      <c r="B1124" s="4">
        <v>0</v>
      </c>
      <c r="C1124" s="4">
        <v>36.86</v>
      </c>
      <c r="D1124" s="4">
        <v>3</v>
      </c>
      <c r="E1124" s="4">
        <v>1</v>
      </c>
      <c r="F1124" s="4">
        <v>3</v>
      </c>
      <c r="G1124" s="4">
        <v>46661.4424</v>
      </c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</row>
    <row r="1125" spans="1:18" x14ac:dyDescent="0.2">
      <c r="A1125" s="4">
        <v>27</v>
      </c>
      <c r="B1125" s="4">
        <v>0</v>
      </c>
      <c r="C1125" s="4">
        <v>32.395000000000003</v>
      </c>
      <c r="D1125" s="4">
        <v>1</v>
      </c>
      <c r="E1125" s="4">
        <v>0</v>
      </c>
      <c r="F1125" s="4">
        <v>1</v>
      </c>
      <c r="G1125" s="4">
        <v>18903.491409999999</v>
      </c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</row>
    <row r="1126" spans="1:18" x14ac:dyDescent="0.2">
      <c r="A1126" s="4">
        <v>23</v>
      </c>
      <c r="B1126" s="4">
        <v>0</v>
      </c>
      <c r="C1126" s="4">
        <v>42.75</v>
      </c>
      <c r="D1126" s="4">
        <v>1</v>
      </c>
      <c r="E1126" s="4">
        <v>1</v>
      </c>
      <c r="F1126" s="4">
        <v>1</v>
      </c>
      <c r="G1126" s="4">
        <v>40904.199500000002</v>
      </c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</row>
    <row r="1127" spans="1:18" x14ac:dyDescent="0.2">
      <c r="A1127" s="4">
        <v>63</v>
      </c>
      <c r="B1127" s="4">
        <v>0</v>
      </c>
      <c r="C1127" s="4">
        <v>25.08</v>
      </c>
      <c r="D1127" s="4">
        <v>0</v>
      </c>
      <c r="E1127" s="4">
        <v>0</v>
      </c>
      <c r="F1127" s="4">
        <v>3</v>
      </c>
      <c r="G1127" s="4">
        <v>14254.608200000001</v>
      </c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</row>
    <row r="1128" spans="1:18" x14ac:dyDescent="0.2">
      <c r="A1128" s="4">
        <v>55</v>
      </c>
      <c r="B1128" s="4">
        <v>1</v>
      </c>
      <c r="C1128" s="4">
        <v>29.9</v>
      </c>
      <c r="D1128" s="4">
        <v>0</v>
      </c>
      <c r="E1128" s="4">
        <v>0</v>
      </c>
      <c r="F1128" s="4">
        <v>4</v>
      </c>
      <c r="G1128" s="4">
        <v>10214.636</v>
      </c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</row>
    <row r="1129" spans="1:18" x14ac:dyDescent="0.2">
      <c r="A1129" s="4">
        <v>35</v>
      </c>
      <c r="B1129" s="4">
        <v>0</v>
      </c>
      <c r="C1129" s="4">
        <v>35.86</v>
      </c>
      <c r="D1129" s="4">
        <v>2</v>
      </c>
      <c r="E1129" s="4">
        <v>0</v>
      </c>
      <c r="F1129" s="4">
        <v>2</v>
      </c>
      <c r="G1129" s="4">
        <v>5836.5204000000003</v>
      </c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</row>
    <row r="1130" spans="1:18" x14ac:dyDescent="0.2">
      <c r="A1130" s="4">
        <v>34</v>
      </c>
      <c r="B1130" s="4">
        <v>1</v>
      </c>
      <c r="C1130" s="4">
        <v>32.799999999999997</v>
      </c>
      <c r="D1130" s="4">
        <v>1</v>
      </c>
      <c r="E1130" s="4">
        <v>0</v>
      </c>
      <c r="F1130" s="4">
        <v>4</v>
      </c>
      <c r="G1130" s="4">
        <v>14358.364369999999</v>
      </c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</row>
    <row r="1131" spans="1:18" x14ac:dyDescent="0.2">
      <c r="A1131" s="4">
        <v>19</v>
      </c>
      <c r="B1131" s="4">
        <v>0</v>
      </c>
      <c r="C1131" s="4">
        <v>18.600000000000001</v>
      </c>
      <c r="D1131" s="4">
        <v>0</v>
      </c>
      <c r="E1131" s="4">
        <v>0</v>
      </c>
      <c r="F1131" s="4">
        <v>4</v>
      </c>
      <c r="G1131" s="4">
        <v>1728.8969999999999</v>
      </c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</row>
    <row r="1132" spans="1:18" x14ac:dyDescent="0.2">
      <c r="A1132" s="4">
        <v>39</v>
      </c>
      <c r="B1132" s="4">
        <v>0</v>
      </c>
      <c r="C1132" s="4">
        <v>23.87</v>
      </c>
      <c r="D1132" s="4">
        <v>5</v>
      </c>
      <c r="E1132" s="4">
        <v>0</v>
      </c>
      <c r="F1132" s="4">
        <v>2</v>
      </c>
      <c r="G1132" s="4">
        <v>8582.3022999999994</v>
      </c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</row>
    <row r="1133" spans="1:18" x14ac:dyDescent="0.2">
      <c r="A1133" s="4">
        <v>27</v>
      </c>
      <c r="B1133" s="4">
        <v>1</v>
      </c>
      <c r="C1133" s="4">
        <v>45.9</v>
      </c>
      <c r="D1133" s="4">
        <v>2</v>
      </c>
      <c r="E1133" s="4">
        <v>0</v>
      </c>
      <c r="F1133" s="4">
        <v>4</v>
      </c>
      <c r="G1133" s="4">
        <v>3693.4279999999999</v>
      </c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</row>
    <row r="1134" spans="1:18" x14ac:dyDescent="0.2">
      <c r="A1134" s="4">
        <v>57</v>
      </c>
      <c r="B1134" s="4">
        <v>1</v>
      </c>
      <c r="C1134" s="4">
        <v>40.28</v>
      </c>
      <c r="D1134" s="4">
        <v>0</v>
      </c>
      <c r="E1134" s="4">
        <v>0</v>
      </c>
      <c r="F1134" s="4">
        <v>1</v>
      </c>
      <c r="G1134" s="4">
        <v>20709.020339999999</v>
      </c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</row>
    <row r="1135" spans="1:18" x14ac:dyDescent="0.2">
      <c r="A1135" s="4">
        <v>52</v>
      </c>
      <c r="B1135" s="4">
        <v>0</v>
      </c>
      <c r="C1135" s="4">
        <v>18.335000000000001</v>
      </c>
      <c r="D1135" s="4">
        <v>0</v>
      </c>
      <c r="E1135" s="4">
        <v>0</v>
      </c>
      <c r="F1135" s="4">
        <v>3</v>
      </c>
      <c r="G1135" s="4">
        <v>9991.0376500000002</v>
      </c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</row>
    <row r="1136" spans="1:18" x14ac:dyDescent="0.2">
      <c r="A1136" s="4">
        <v>28</v>
      </c>
      <c r="B1136" s="4">
        <v>1</v>
      </c>
      <c r="C1136" s="4">
        <v>33.82</v>
      </c>
      <c r="D1136" s="4">
        <v>0</v>
      </c>
      <c r="E1136" s="4">
        <v>0</v>
      </c>
      <c r="F1136" s="4">
        <v>3</v>
      </c>
      <c r="G1136" s="4">
        <v>19673.335729999999</v>
      </c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</row>
    <row r="1137" spans="1:18" x14ac:dyDescent="0.2">
      <c r="A1137" s="4">
        <v>50</v>
      </c>
      <c r="B1137" s="4">
        <v>0</v>
      </c>
      <c r="C1137" s="4">
        <v>28.12</v>
      </c>
      <c r="D1137" s="4">
        <v>3</v>
      </c>
      <c r="E1137" s="4">
        <v>0</v>
      </c>
      <c r="F1137" s="4">
        <v>3</v>
      </c>
      <c r="G1137" s="4">
        <v>11085.586799999999</v>
      </c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</row>
    <row r="1138" spans="1:18" x14ac:dyDescent="0.2">
      <c r="A1138" s="4">
        <v>44</v>
      </c>
      <c r="B1138" s="4">
        <v>0</v>
      </c>
      <c r="C1138" s="4">
        <v>25</v>
      </c>
      <c r="D1138" s="4">
        <v>1</v>
      </c>
      <c r="E1138" s="4">
        <v>0</v>
      </c>
      <c r="F1138" s="4">
        <v>4</v>
      </c>
      <c r="G1138" s="4">
        <v>7623.518</v>
      </c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</row>
    <row r="1139" spans="1:18" x14ac:dyDescent="0.2">
      <c r="A1139" s="4">
        <v>26</v>
      </c>
      <c r="B1139" s="4">
        <v>0</v>
      </c>
      <c r="C1139" s="4">
        <v>22.23</v>
      </c>
      <c r="D1139" s="4">
        <v>0</v>
      </c>
      <c r="E1139" s="4">
        <v>0</v>
      </c>
      <c r="F1139" s="4">
        <v>3</v>
      </c>
      <c r="G1139" s="4">
        <v>3176.2876999999999</v>
      </c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</row>
    <row r="1140" spans="1:18" x14ac:dyDescent="0.2">
      <c r="A1140" s="4">
        <v>33</v>
      </c>
      <c r="B1140" s="4">
        <v>1</v>
      </c>
      <c r="C1140" s="4">
        <v>30.25</v>
      </c>
      <c r="D1140" s="4">
        <v>0</v>
      </c>
      <c r="E1140" s="4">
        <v>0</v>
      </c>
      <c r="F1140" s="4">
        <v>2</v>
      </c>
      <c r="G1140" s="4">
        <v>3704.3544999999999</v>
      </c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</row>
    <row r="1141" spans="1:18" x14ac:dyDescent="0.2">
      <c r="A1141" s="4">
        <v>19</v>
      </c>
      <c r="B1141" s="4">
        <v>0</v>
      </c>
      <c r="C1141" s="4">
        <v>32.49</v>
      </c>
      <c r="D1141" s="4">
        <v>0</v>
      </c>
      <c r="E1141" s="4">
        <v>1</v>
      </c>
      <c r="F1141" s="4">
        <v>3</v>
      </c>
      <c r="G1141" s="4">
        <v>36898.733079999998</v>
      </c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</row>
    <row r="1142" spans="1:18" x14ac:dyDescent="0.2">
      <c r="A1142" s="4">
        <v>50</v>
      </c>
      <c r="B1142" s="4">
        <v>1</v>
      </c>
      <c r="C1142" s="4">
        <v>37.07</v>
      </c>
      <c r="D1142" s="4">
        <v>1</v>
      </c>
      <c r="E1142" s="4">
        <v>0</v>
      </c>
      <c r="F1142" s="4">
        <v>2</v>
      </c>
      <c r="G1142" s="4">
        <v>9048.0272999999997</v>
      </c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</row>
    <row r="1143" spans="1:18" x14ac:dyDescent="0.2">
      <c r="A1143" s="4">
        <v>41</v>
      </c>
      <c r="B1143" s="4">
        <v>0</v>
      </c>
      <c r="C1143" s="4">
        <v>32.6</v>
      </c>
      <c r="D1143" s="4">
        <v>3</v>
      </c>
      <c r="E1143" s="4">
        <v>0</v>
      </c>
      <c r="F1143" s="4">
        <v>4</v>
      </c>
      <c r="G1143" s="4">
        <v>7954.5169999999998</v>
      </c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</row>
    <row r="1144" spans="1:18" x14ac:dyDescent="0.2">
      <c r="A1144" s="4">
        <v>52</v>
      </c>
      <c r="B1144" s="4">
        <v>0</v>
      </c>
      <c r="C1144" s="4">
        <v>24.86</v>
      </c>
      <c r="D1144" s="4">
        <v>0</v>
      </c>
      <c r="E1144" s="4">
        <v>0</v>
      </c>
      <c r="F1144" s="4">
        <v>2</v>
      </c>
      <c r="G1144" s="4">
        <v>27117.993780000001</v>
      </c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</row>
    <row r="1145" spans="1:18" x14ac:dyDescent="0.2">
      <c r="A1145" s="4">
        <v>39</v>
      </c>
      <c r="B1145" s="4">
        <v>1</v>
      </c>
      <c r="C1145" s="4">
        <v>32.340000000000003</v>
      </c>
      <c r="D1145" s="4">
        <v>2</v>
      </c>
      <c r="E1145" s="4">
        <v>0</v>
      </c>
      <c r="F1145" s="4">
        <v>2</v>
      </c>
      <c r="G1145" s="4">
        <v>6338.0756000000001</v>
      </c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</row>
    <row r="1146" spans="1:18" x14ac:dyDescent="0.2">
      <c r="A1146" s="4">
        <v>50</v>
      </c>
      <c r="B1146" s="4">
        <v>1</v>
      </c>
      <c r="C1146" s="4">
        <v>32.299999999999997</v>
      </c>
      <c r="D1146" s="4">
        <v>2</v>
      </c>
      <c r="E1146" s="4">
        <v>0</v>
      </c>
      <c r="F1146" s="4">
        <v>4</v>
      </c>
      <c r="G1146" s="4">
        <v>9630.3970000000008</v>
      </c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</row>
    <row r="1147" spans="1:18" x14ac:dyDescent="0.2">
      <c r="A1147" s="4">
        <v>52</v>
      </c>
      <c r="B1147" s="4">
        <v>1</v>
      </c>
      <c r="C1147" s="4">
        <v>32.774999999999999</v>
      </c>
      <c r="D1147" s="4">
        <v>3</v>
      </c>
      <c r="E1147" s="4">
        <v>0</v>
      </c>
      <c r="F1147" s="4">
        <v>3</v>
      </c>
      <c r="G1147" s="4">
        <v>11289.10925</v>
      </c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</row>
    <row r="1148" spans="1:18" x14ac:dyDescent="0.2">
      <c r="A1148" s="4">
        <v>60</v>
      </c>
      <c r="B1148" s="4">
        <v>1</v>
      </c>
      <c r="C1148" s="4">
        <v>32.799999999999997</v>
      </c>
      <c r="D1148" s="4">
        <v>0</v>
      </c>
      <c r="E1148" s="4">
        <v>1</v>
      </c>
      <c r="F1148" s="4">
        <v>4</v>
      </c>
      <c r="G1148" s="4">
        <v>52590.829389999999</v>
      </c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</row>
    <row r="1149" spans="1:18" x14ac:dyDescent="0.2">
      <c r="A1149" s="4">
        <v>20</v>
      </c>
      <c r="B1149" s="4">
        <v>0</v>
      </c>
      <c r="C1149" s="4">
        <v>31.92</v>
      </c>
      <c r="D1149" s="4">
        <v>0</v>
      </c>
      <c r="E1149" s="4">
        <v>0</v>
      </c>
      <c r="F1149" s="4">
        <v>3</v>
      </c>
      <c r="G1149" s="4">
        <v>2261.5688</v>
      </c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</row>
    <row r="1150" spans="1:18" x14ac:dyDescent="0.2">
      <c r="A1150" s="4">
        <v>55</v>
      </c>
      <c r="B1150" s="4">
        <v>1</v>
      </c>
      <c r="C1150" s="4">
        <v>21.5</v>
      </c>
      <c r="D1150" s="4">
        <v>1</v>
      </c>
      <c r="E1150" s="4">
        <v>0</v>
      </c>
      <c r="F1150" s="4">
        <v>4</v>
      </c>
      <c r="G1150" s="4">
        <v>10791.96</v>
      </c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</row>
    <row r="1151" spans="1:18" x14ac:dyDescent="0.2">
      <c r="A1151" s="4">
        <v>42</v>
      </c>
      <c r="B1151" s="4">
        <v>1</v>
      </c>
      <c r="C1151" s="4">
        <v>34.1</v>
      </c>
      <c r="D1151" s="4">
        <v>0</v>
      </c>
      <c r="E1151" s="4">
        <v>0</v>
      </c>
      <c r="F1151" s="4">
        <v>4</v>
      </c>
      <c r="G1151" s="4">
        <v>5979.7309999999998</v>
      </c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</row>
    <row r="1152" spans="1:18" x14ac:dyDescent="0.2">
      <c r="A1152" s="4">
        <v>18</v>
      </c>
      <c r="B1152" s="4">
        <v>0</v>
      </c>
      <c r="C1152" s="4">
        <v>30.305</v>
      </c>
      <c r="D1152" s="4">
        <v>0</v>
      </c>
      <c r="E1152" s="4">
        <v>0</v>
      </c>
      <c r="F1152" s="4">
        <v>1</v>
      </c>
      <c r="G1152" s="4">
        <v>2203.7359499999998</v>
      </c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</row>
    <row r="1153" spans="1:18" x14ac:dyDescent="0.2">
      <c r="A1153" s="4">
        <v>58</v>
      </c>
      <c r="B1153" s="4">
        <v>0</v>
      </c>
      <c r="C1153" s="4">
        <v>36.479999999999997</v>
      </c>
      <c r="D1153" s="4">
        <v>0</v>
      </c>
      <c r="E1153" s="4">
        <v>0</v>
      </c>
      <c r="F1153" s="4">
        <v>3</v>
      </c>
      <c r="G1153" s="4">
        <v>12235.8392</v>
      </c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</row>
    <row r="1154" spans="1:18" x14ac:dyDescent="0.2">
      <c r="A1154" s="4">
        <v>43</v>
      </c>
      <c r="B1154" s="4">
        <v>0</v>
      </c>
      <c r="C1154" s="4">
        <v>32.56</v>
      </c>
      <c r="D1154" s="4">
        <v>3</v>
      </c>
      <c r="E1154" s="4">
        <v>1</v>
      </c>
      <c r="F1154" s="4">
        <v>2</v>
      </c>
      <c r="G1154" s="4">
        <v>40941.285400000001</v>
      </c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</row>
    <row r="1155" spans="1:18" x14ac:dyDescent="0.2">
      <c r="A1155" s="4">
        <v>35</v>
      </c>
      <c r="B1155" s="4">
        <v>0</v>
      </c>
      <c r="C1155" s="4">
        <v>35.814999999999998</v>
      </c>
      <c r="D1155" s="4">
        <v>1</v>
      </c>
      <c r="E1155" s="4">
        <v>0</v>
      </c>
      <c r="F1155" s="4">
        <v>3</v>
      </c>
      <c r="G1155" s="4">
        <v>5630.4578499999998</v>
      </c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</row>
    <row r="1156" spans="1:18" x14ac:dyDescent="0.2">
      <c r="A1156" s="4">
        <v>48</v>
      </c>
      <c r="B1156" s="4">
        <v>0</v>
      </c>
      <c r="C1156" s="4">
        <v>27.93</v>
      </c>
      <c r="D1156" s="4">
        <v>4</v>
      </c>
      <c r="E1156" s="4">
        <v>0</v>
      </c>
      <c r="F1156" s="4">
        <v>3</v>
      </c>
      <c r="G1156" s="4">
        <v>11015.1747</v>
      </c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</row>
    <row r="1157" spans="1:18" x14ac:dyDescent="0.2">
      <c r="A1157" s="4">
        <v>36</v>
      </c>
      <c r="B1157" s="4">
        <v>0</v>
      </c>
      <c r="C1157" s="4">
        <v>22.135000000000002</v>
      </c>
      <c r="D1157" s="4">
        <v>3</v>
      </c>
      <c r="E1157" s="4">
        <v>0</v>
      </c>
      <c r="F1157" s="4">
        <v>1</v>
      </c>
      <c r="G1157" s="4">
        <v>7228.2156500000001</v>
      </c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</row>
    <row r="1158" spans="1:18" x14ac:dyDescent="0.2">
      <c r="A1158" s="4">
        <v>19</v>
      </c>
      <c r="B1158" s="4">
        <v>1</v>
      </c>
      <c r="C1158" s="4">
        <v>44.88</v>
      </c>
      <c r="D1158" s="4">
        <v>0</v>
      </c>
      <c r="E1158" s="4">
        <v>1</v>
      </c>
      <c r="F1158" s="4">
        <v>2</v>
      </c>
      <c r="G1158" s="4">
        <v>39722.746200000001</v>
      </c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</row>
    <row r="1159" spans="1:18" x14ac:dyDescent="0.2">
      <c r="A1159" s="4">
        <v>23</v>
      </c>
      <c r="B1159" s="4">
        <v>0</v>
      </c>
      <c r="C1159" s="4">
        <v>23.18</v>
      </c>
      <c r="D1159" s="4">
        <v>2</v>
      </c>
      <c r="E1159" s="4">
        <v>0</v>
      </c>
      <c r="F1159" s="4">
        <v>3</v>
      </c>
      <c r="G1159" s="4">
        <v>14426.073850000001</v>
      </c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</row>
    <row r="1160" spans="1:18" x14ac:dyDescent="0.2">
      <c r="A1160" s="4">
        <v>20</v>
      </c>
      <c r="B1160" s="4">
        <v>0</v>
      </c>
      <c r="C1160" s="4">
        <v>30.59</v>
      </c>
      <c r="D1160" s="4">
        <v>0</v>
      </c>
      <c r="E1160" s="4">
        <v>0</v>
      </c>
      <c r="F1160" s="4">
        <v>1</v>
      </c>
      <c r="G1160" s="4">
        <v>2459.7201</v>
      </c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</row>
    <row r="1161" spans="1:18" x14ac:dyDescent="0.2">
      <c r="A1161" s="4">
        <v>32</v>
      </c>
      <c r="B1161" s="4">
        <v>0</v>
      </c>
      <c r="C1161" s="4">
        <v>41.1</v>
      </c>
      <c r="D1161" s="4">
        <v>0</v>
      </c>
      <c r="E1161" s="4">
        <v>0</v>
      </c>
      <c r="F1161" s="4">
        <v>4</v>
      </c>
      <c r="G1161" s="4">
        <v>3989.8409999999999</v>
      </c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</row>
    <row r="1162" spans="1:18" x14ac:dyDescent="0.2">
      <c r="A1162" s="4">
        <v>43</v>
      </c>
      <c r="B1162" s="4">
        <v>0</v>
      </c>
      <c r="C1162" s="4">
        <v>34.58</v>
      </c>
      <c r="D1162" s="4">
        <v>1</v>
      </c>
      <c r="E1162" s="4">
        <v>0</v>
      </c>
      <c r="F1162" s="4">
        <v>3</v>
      </c>
      <c r="G1162" s="4">
        <v>7727.2532000000001</v>
      </c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</row>
    <row r="1163" spans="1:18" x14ac:dyDescent="0.2">
      <c r="A1163" s="4">
        <v>34</v>
      </c>
      <c r="B1163" s="4">
        <v>1</v>
      </c>
      <c r="C1163" s="4">
        <v>42.13</v>
      </c>
      <c r="D1163" s="4">
        <v>2</v>
      </c>
      <c r="E1163" s="4">
        <v>0</v>
      </c>
      <c r="F1163" s="4">
        <v>2</v>
      </c>
      <c r="G1163" s="4">
        <v>5124.1886999999997</v>
      </c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</row>
    <row r="1164" spans="1:18" x14ac:dyDescent="0.2">
      <c r="A1164" s="4">
        <v>30</v>
      </c>
      <c r="B1164" s="4">
        <v>1</v>
      </c>
      <c r="C1164" s="4">
        <v>38.83</v>
      </c>
      <c r="D1164" s="4">
        <v>1</v>
      </c>
      <c r="E1164" s="4">
        <v>0</v>
      </c>
      <c r="F1164" s="4">
        <v>2</v>
      </c>
      <c r="G1164" s="4">
        <v>18963.171920000001</v>
      </c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</row>
    <row r="1165" spans="1:18" x14ac:dyDescent="0.2">
      <c r="A1165" s="4">
        <v>18</v>
      </c>
      <c r="B1165" s="4">
        <v>0</v>
      </c>
      <c r="C1165" s="4">
        <v>28.215</v>
      </c>
      <c r="D1165" s="4">
        <v>0</v>
      </c>
      <c r="E1165" s="4">
        <v>0</v>
      </c>
      <c r="F1165" s="4">
        <v>1</v>
      </c>
      <c r="G1165" s="4">
        <v>2200.8308499999998</v>
      </c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</row>
    <row r="1166" spans="1:18" x14ac:dyDescent="0.2">
      <c r="A1166" s="4">
        <v>41</v>
      </c>
      <c r="B1166" s="4">
        <v>0</v>
      </c>
      <c r="C1166" s="4">
        <v>28.31</v>
      </c>
      <c r="D1166" s="4">
        <v>1</v>
      </c>
      <c r="E1166" s="4">
        <v>0</v>
      </c>
      <c r="F1166" s="4">
        <v>3</v>
      </c>
      <c r="G1166" s="4">
        <v>7153.5538999999999</v>
      </c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</row>
    <row r="1167" spans="1:18" x14ac:dyDescent="0.2">
      <c r="A1167" s="4">
        <v>35</v>
      </c>
      <c r="B1167" s="4">
        <v>0</v>
      </c>
      <c r="C1167" s="4">
        <v>26.125</v>
      </c>
      <c r="D1167" s="4">
        <v>0</v>
      </c>
      <c r="E1167" s="4">
        <v>0</v>
      </c>
      <c r="F1167" s="4">
        <v>1</v>
      </c>
      <c r="G1167" s="4">
        <v>5227.9887500000004</v>
      </c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</row>
    <row r="1168" spans="1:18" x14ac:dyDescent="0.2">
      <c r="A1168" s="4">
        <v>57</v>
      </c>
      <c r="B1168" s="4">
        <v>1</v>
      </c>
      <c r="C1168" s="4">
        <v>40.369999999999997</v>
      </c>
      <c r="D1168" s="4">
        <v>0</v>
      </c>
      <c r="E1168" s="4">
        <v>0</v>
      </c>
      <c r="F1168" s="4">
        <v>2</v>
      </c>
      <c r="G1168" s="4">
        <v>10982.5013</v>
      </c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</row>
    <row r="1169" spans="1:18" x14ac:dyDescent="0.2">
      <c r="A1169" s="4">
        <v>29</v>
      </c>
      <c r="B1169" s="4">
        <v>0</v>
      </c>
      <c r="C1169" s="4">
        <v>24.6</v>
      </c>
      <c r="D1169" s="4">
        <v>2</v>
      </c>
      <c r="E1169" s="4">
        <v>0</v>
      </c>
      <c r="F1169" s="4">
        <v>4</v>
      </c>
      <c r="G1169" s="4">
        <v>4529.4769999999999</v>
      </c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</row>
    <row r="1170" spans="1:18" x14ac:dyDescent="0.2">
      <c r="A1170" s="4">
        <v>32</v>
      </c>
      <c r="B1170" s="4">
        <v>1</v>
      </c>
      <c r="C1170" s="4">
        <v>35.200000000000003</v>
      </c>
      <c r="D1170" s="4">
        <v>2</v>
      </c>
      <c r="E1170" s="4">
        <v>0</v>
      </c>
      <c r="F1170" s="4">
        <v>4</v>
      </c>
      <c r="G1170" s="4">
        <v>4670.6400000000003</v>
      </c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</row>
    <row r="1171" spans="1:18" x14ac:dyDescent="0.2">
      <c r="A1171" s="4">
        <v>37</v>
      </c>
      <c r="B1171" s="4">
        <v>0</v>
      </c>
      <c r="C1171" s="4">
        <v>34.104999999999997</v>
      </c>
      <c r="D1171" s="4">
        <v>1</v>
      </c>
      <c r="E1171" s="4">
        <v>0</v>
      </c>
      <c r="F1171" s="4">
        <v>3</v>
      </c>
      <c r="G1171" s="4">
        <v>6112.3529500000004</v>
      </c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</row>
    <row r="1172" spans="1:18" x14ac:dyDescent="0.2">
      <c r="A1172" s="4">
        <v>18</v>
      </c>
      <c r="B1172" s="4">
        <v>1</v>
      </c>
      <c r="C1172" s="4">
        <v>27.36</v>
      </c>
      <c r="D1172" s="4">
        <v>1</v>
      </c>
      <c r="E1172" s="4">
        <v>1</v>
      </c>
      <c r="F1172" s="4">
        <v>1</v>
      </c>
      <c r="G1172" s="4">
        <v>17178.682400000002</v>
      </c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</row>
    <row r="1173" spans="1:18" x14ac:dyDescent="0.2">
      <c r="A1173" s="4">
        <v>43</v>
      </c>
      <c r="B1173" s="4">
        <v>0</v>
      </c>
      <c r="C1173" s="4">
        <v>26.7</v>
      </c>
      <c r="D1173" s="4">
        <v>2</v>
      </c>
      <c r="E1173" s="4">
        <v>1</v>
      </c>
      <c r="F1173" s="4">
        <v>4</v>
      </c>
      <c r="G1173" s="4">
        <v>22478.6</v>
      </c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</row>
    <row r="1174" spans="1:18" x14ac:dyDescent="0.2">
      <c r="A1174" s="4">
        <v>56</v>
      </c>
      <c r="B1174" s="4">
        <v>0</v>
      </c>
      <c r="C1174" s="4">
        <v>41.91</v>
      </c>
      <c r="D1174" s="4">
        <v>0</v>
      </c>
      <c r="E1174" s="4">
        <v>0</v>
      </c>
      <c r="F1174" s="4">
        <v>2</v>
      </c>
      <c r="G1174" s="4">
        <v>11093.6229</v>
      </c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</row>
    <row r="1175" spans="1:18" x14ac:dyDescent="0.2">
      <c r="A1175" s="4">
        <v>38</v>
      </c>
      <c r="B1175" s="4">
        <v>1</v>
      </c>
      <c r="C1175" s="4">
        <v>29.26</v>
      </c>
      <c r="D1175" s="4">
        <v>2</v>
      </c>
      <c r="E1175" s="4">
        <v>0</v>
      </c>
      <c r="F1175" s="4">
        <v>3</v>
      </c>
      <c r="G1175" s="4">
        <v>6457.8433999999997</v>
      </c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</row>
    <row r="1176" spans="1:18" x14ac:dyDescent="0.2">
      <c r="A1176" s="4">
        <v>29</v>
      </c>
      <c r="B1176" s="4">
        <v>1</v>
      </c>
      <c r="C1176" s="4">
        <v>32.11</v>
      </c>
      <c r="D1176" s="4">
        <v>2</v>
      </c>
      <c r="E1176" s="4">
        <v>0</v>
      </c>
      <c r="F1176" s="4">
        <v>3</v>
      </c>
      <c r="G1176" s="4">
        <v>4433.9159</v>
      </c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</row>
    <row r="1177" spans="1:18" x14ac:dyDescent="0.2">
      <c r="A1177" s="4">
        <v>22</v>
      </c>
      <c r="B1177" s="4">
        <v>0</v>
      </c>
      <c r="C1177" s="4">
        <v>27.1</v>
      </c>
      <c r="D1177" s="4">
        <v>0</v>
      </c>
      <c r="E1177" s="4">
        <v>0</v>
      </c>
      <c r="F1177" s="4">
        <v>4</v>
      </c>
      <c r="G1177" s="4">
        <v>2154.3609999999999</v>
      </c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</row>
    <row r="1178" spans="1:18" x14ac:dyDescent="0.2">
      <c r="A1178" s="4">
        <v>52</v>
      </c>
      <c r="B1178" s="4">
        <v>0</v>
      </c>
      <c r="C1178" s="4">
        <v>24.13</v>
      </c>
      <c r="D1178" s="4">
        <v>1</v>
      </c>
      <c r="E1178" s="4">
        <v>1</v>
      </c>
      <c r="F1178" s="4">
        <v>3</v>
      </c>
      <c r="G1178" s="4">
        <v>23887.662700000001</v>
      </c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</row>
    <row r="1179" spans="1:18" x14ac:dyDescent="0.2">
      <c r="A1179" s="4">
        <v>40</v>
      </c>
      <c r="B1179" s="4">
        <v>0</v>
      </c>
      <c r="C1179" s="4">
        <v>27.4</v>
      </c>
      <c r="D1179" s="4">
        <v>1</v>
      </c>
      <c r="E1179" s="4">
        <v>0</v>
      </c>
      <c r="F1179" s="4">
        <v>4</v>
      </c>
      <c r="G1179" s="4">
        <v>6496.8860000000004</v>
      </c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</row>
    <row r="1180" spans="1:18" x14ac:dyDescent="0.2">
      <c r="A1180" s="4">
        <v>23</v>
      </c>
      <c r="B1180" s="4">
        <v>0</v>
      </c>
      <c r="C1180" s="4">
        <v>34.865000000000002</v>
      </c>
      <c r="D1180" s="4">
        <v>0</v>
      </c>
      <c r="E1180" s="4">
        <v>0</v>
      </c>
      <c r="F1180" s="4">
        <v>1</v>
      </c>
      <c r="G1180" s="4">
        <v>2899.4893499999998</v>
      </c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</row>
    <row r="1181" spans="1:18" x14ac:dyDescent="0.2">
      <c r="A1181" s="4">
        <v>31</v>
      </c>
      <c r="B1181" s="4">
        <v>1</v>
      </c>
      <c r="C1181" s="4">
        <v>29.81</v>
      </c>
      <c r="D1181" s="4">
        <v>0</v>
      </c>
      <c r="E1181" s="4">
        <v>1</v>
      </c>
      <c r="F1181" s="4">
        <v>2</v>
      </c>
      <c r="G1181" s="4">
        <v>19350.368900000001</v>
      </c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</row>
    <row r="1182" spans="1:18" x14ac:dyDescent="0.2">
      <c r="A1182" s="4">
        <v>42</v>
      </c>
      <c r="B1182" s="4">
        <v>0</v>
      </c>
      <c r="C1182" s="4">
        <v>41.325000000000003</v>
      </c>
      <c r="D1182" s="4">
        <v>1</v>
      </c>
      <c r="E1182" s="4">
        <v>0</v>
      </c>
      <c r="F1182" s="4">
        <v>1</v>
      </c>
      <c r="G1182" s="4">
        <v>7650.7737500000003</v>
      </c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</row>
    <row r="1183" spans="1:18" x14ac:dyDescent="0.2">
      <c r="A1183" s="4">
        <v>24</v>
      </c>
      <c r="B1183" s="4">
        <v>0</v>
      </c>
      <c r="C1183" s="4">
        <v>29.925000000000001</v>
      </c>
      <c r="D1183" s="4">
        <v>0</v>
      </c>
      <c r="E1183" s="4">
        <v>0</v>
      </c>
      <c r="F1183" s="4">
        <v>3</v>
      </c>
      <c r="G1183" s="4">
        <v>2850.6837500000001</v>
      </c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</row>
    <row r="1184" spans="1:18" x14ac:dyDescent="0.2">
      <c r="A1184" s="4">
        <v>25</v>
      </c>
      <c r="B1184" s="4">
        <v>0</v>
      </c>
      <c r="C1184" s="4">
        <v>30.3</v>
      </c>
      <c r="D1184" s="4">
        <v>0</v>
      </c>
      <c r="E1184" s="4">
        <v>0</v>
      </c>
      <c r="F1184" s="4">
        <v>4</v>
      </c>
      <c r="G1184" s="4">
        <v>2632.9920000000002</v>
      </c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</row>
    <row r="1185" spans="1:18" x14ac:dyDescent="0.2">
      <c r="A1185" s="4">
        <v>48</v>
      </c>
      <c r="B1185" s="4">
        <v>0</v>
      </c>
      <c r="C1185" s="4">
        <v>27.36</v>
      </c>
      <c r="D1185" s="4">
        <v>1</v>
      </c>
      <c r="E1185" s="4">
        <v>0</v>
      </c>
      <c r="F1185" s="4">
        <v>1</v>
      </c>
      <c r="G1185" s="4">
        <v>9447.3824000000004</v>
      </c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</row>
    <row r="1186" spans="1:18" x14ac:dyDescent="0.2">
      <c r="A1186" s="4">
        <v>23</v>
      </c>
      <c r="B1186" s="4">
        <v>0</v>
      </c>
      <c r="C1186" s="4">
        <v>28.49</v>
      </c>
      <c r="D1186" s="4">
        <v>1</v>
      </c>
      <c r="E1186" s="4">
        <v>1</v>
      </c>
      <c r="F1186" s="4">
        <v>2</v>
      </c>
      <c r="G1186" s="4">
        <v>18328.238099999999</v>
      </c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</row>
    <row r="1187" spans="1:18" x14ac:dyDescent="0.2">
      <c r="A1187" s="4">
        <v>45</v>
      </c>
      <c r="B1187" s="4">
        <v>1</v>
      </c>
      <c r="C1187" s="4">
        <v>23.56</v>
      </c>
      <c r="D1187" s="4">
        <v>2</v>
      </c>
      <c r="E1187" s="4">
        <v>0</v>
      </c>
      <c r="F1187" s="4">
        <v>1</v>
      </c>
      <c r="G1187" s="4">
        <v>8603.8233999999993</v>
      </c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</row>
    <row r="1188" spans="1:18" x14ac:dyDescent="0.2">
      <c r="A1188" s="4">
        <v>20</v>
      </c>
      <c r="B1188" s="4">
        <v>1</v>
      </c>
      <c r="C1188" s="4">
        <v>35.625</v>
      </c>
      <c r="D1188" s="4">
        <v>3</v>
      </c>
      <c r="E1188" s="4">
        <v>1</v>
      </c>
      <c r="F1188" s="4">
        <v>3</v>
      </c>
      <c r="G1188" s="4">
        <v>37465.34375</v>
      </c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</row>
    <row r="1189" spans="1:18" x14ac:dyDescent="0.2">
      <c r="A1189" s="4">
        <v>62</v>
      </c>
      <c r="B1189" s="4">
        <v>0</v>
      </c>
      <c r="C1189" s="4">
        <v>32.68</v>
      </c>
      <c r="D1189" s="4">
        <v>0</v>
      </c>
      <c r="E1189" s="4">
        <v>0</v>
      </c>
      <c r="F1189" s="4">
        <v>3</v>
      </c>
      <c r="G1189" s="4">
        <v>13844.797200000001</v>
      </c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</row>
    <row r="1190" spans="1:18" x14ac:dyDescent="0.2">
      <c r="A1190" s="4">
        <v>43</v>
      </c>
      <c r="B1190" s="4">
        <v>0</v>
      </c>
      <c r="C1190" s="4">
        <v>25.27</v>
      </c>
      <c r="D1190" s="4">
        <v>1</v>
      </c>
      <c r="E1190" s="4">
        <v>1</v>
      </c>
      <c r="F1190" s="4">
        <v>1</v>
      </c>
      <c r="G1190" s="4">
        <v>21771.3423</v>
      </c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</row>
    <row r="1191" spans="1:18" x14ac:dyDescent="0.2">
      <c r="A1191" s="4">
        <v>23</v>
      </c>
      <c r="B1191" s="4">
        <v>0</v>
      </c>
      <c r="C1191" s="4">
        <v>28</v>
      </c>
      <c r="D1191" s="4">
        <v>0</v>
      </c>
      <c r="E1191" s="4">
        <v>0</v>
      </c>
      <c r="F1191" s="4">
        <v>4</v>
      </c>
      <c r="G1191" s="4">
        <v>13126.677449999999</v>
      </c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</row>
    <row r="1192" spans="1:18" x14ac:dyDescent="0.2">
      <c r="A1192" s="4">
        <v>31</v>
      </c>
      <c r="B1192" s="4">
        <v>0</v>
      </c>
      <c r="C1192" s="4">
        <v>32.774999999999999</v>
      </c>
      <c r="D1192" s="4">
        <v>2</v>
      </c>
      <c r="E1192" s="4">
        <v>0</v>
      </c>
      <c r="F1192" s="4">
        <v>3</v>
      </c>
      <c r="G1192" s="4">
        <v>5327.4002499999997</v>
      </c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</row>
    <row r="1193" spans="1:18" x14ac:dyDescent="0.2">
      <c r="A1193" s="4">
        <v>41</v>
      </c>
      <c r="B1193" s="4">
        <v>0</v>
      </c>
      <c r="C1193" s="4">
        <v>21.754999999999999</v>
      </c>
      <c r="D1193" s="4">
        <v>1</v>
      </c>
      <c r="E1193" s="4">
        <v>0</v>
      </c>
      <c r="F1193" s="4">
        <v>1</v>
      </c>
      <c r="G1193" s="4">
        <v>13725.47184</v>
      </c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</row>
    <row r="1194" spans="1:18" x14ac:dyDescent="0.2">
      <c r="A1194" s="4">
        <v>58</v>
      </c>
      <c r="B1194" s="4">
        <v>0</v>
      </c>
      <c r="C1194" s="4">
        <v>32.395000000000003</v>
      </c>
      <c r="D1194" s="4">
        <v>1</v>
      </c>
      <c r="E1194" s="4">
        <v>0</v>
      </c>
      <c r="F1194" s="4">
        <v>1</v>
      </c>
      <c r="G1194" s="4">
        <v>13019.161050000001</v>
      </c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</row>
    <row r="1195" spans="1:18" x14ac:dyDescent="0.2">
      <c r="A1195" s="4">
        <v>48</v>
      </c>
      <c r="B1195" s="4">
        <v>0</v>
      </c>
      <c r="C1195" s="4">
        <v>36.575000000000003</v>
      </c>
      <c r="D1195" s="4">
        <v>0</v>
      </c>
      <c r="E1195" s="4">
        <v>0</v>
      </c>
      <c r="F1195" s="4">
        <v>3</v>
      </c>
      <c r="G1195" s="4">
        <v>8671.1912499999999</v>
      </c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</row>
    <row r="1196" spans="1:18" x14ac:dyDescent="0.2">
      <c r="A1196" s="4">
        <v>31</v>
      </c>
      <c r="B1196" s="4">
        <v>0</v>
      </c>
      <c r="C1196" s="4">
        <v>21.754999999999999</v>
      </c>
      <c r="D1196" s="4">
        <v>0</v>
      </c>
      <c r="E1196" s="4">
        <v>0</v>
      </c>
      <c r="F1196" s="4">
        <v>3</v>
      </c>
      <c r="G1196" s="4">
        <v>4134.0824499999999</v>
      </c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</row>
    <row r="1197" spans="1:18" x14ac:dyDescent="0.2">
      <c r="A1197" s="4">
        <v>19</v>
      </c>
      <c r="B1197" s="4">
        <v>0</v>
      </c>
      <c r="C1197" s="4">
        <v>27.93</v>
      </c>
      <c r="D1197" s="4">
        <v>3</v>
      </c>
      <c r="E1197" s="4">
        <v>0</v>
      </c>
      <c r="F1197" s="4">
        <v>3</v>
      </c>
      <c r="G1197" s="4">
        <v>18838.703659999999</v>
      </c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</row>
    <row r="1198" spans="1:18" x14ac:dyDescent="0.2">
      <c r="A1198" s="4">
        <v>19</v>
      </c>
      <c r="B1198" s="4">
        <v>0</v>
      </c>
      <c r="C1198" s="4">
        <v>30.02</v>
      </c>
      <c r="D1198" s="4">
        <v>0</v>
      </c>
      <c r="E1198" s="4">
        <v>1</v>
      </c>
      <c r="F1198" s="4">
        <v>3</v>
      </c>
      <c r="G1198" s="4">
        <v>33307.550799999997</v>
      </c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</row>
    <row r="1199" spans="1:18" x14ac:dyDescent="0.2">
      <c r="A1199" s="4">
        <v>41</v>
      </c>
      <c r="B1199" s="4">
        <v>1</v>
      </c>
      <c r="C1199" s="4">
        <v>33.549999999999997</v>
      </c>
      <c r="D1199" s="4">
        <v>0</v>
      </c>
      <c r="E1199" s="4">
        <v>0</v>
      </c>
      <c r="F1199" s="4">
        <v>2</v>
      </c>
      <c r="G1199" s="4">
        <v>5699.8374999999996</v>
      </c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</row>
    <row r="1200" spans="1:18" x14ac:dyDescent="0.2">
      <c r="A1200" s="4">
        <v>40</v>
      </c>
      <c r="B1200" s="4">
        <v>1</v>
      </c>
      <c r="C1200" s="4">
        <v>29.355</v>
      </c>
      <c r="D1200" s="4">
        <v>1</v>
      </c>
      <c r="E1200" s="4">
        <v>0</v>
      </c>
      <c r="F1200" s="4">
        <v>3</v>
      </c>
      <c r="G1200" s="4">
        <v>6393.6034499999996</v>
      </c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</row>
    <row r="1201" spans="1:18" x14ac:dyDescent="0.2">
      <c r="A1201" s="4">
        <v>31</v>
      </c>
      <c r="B1201" s="4">
        <v>0</v>
      </c>
      <c r="C1201" s="4">
        <v>25.8</v>
      </c>
      <c r="D1201" s="4">
        <v>2</v>
      </c>
      <c r="E1201" s="4">
        <v>0</v>
      </c>
      <c r="F1201" s="4">
        <v>4</v>
      </c>
      <c r="G1201" s="4">
        <v>4934.7049999999999</v>
      </c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</row>
    <row r="1202" spans="1:18" x14ac:dyDescent="0.2">
      <c r="A1202" s="4">
        <v>37</v>
      </c>
      <c r="B1202" s="4">
        <v>1</v>
      </c>
      <c r="C1202" s="4">
        <v>24.32</v>
      </c>
      <c r="D1202" s="4">
        <v>2</v>
      </c>
      <c r="E1202" s="4">
        <v>0</v>
      </c>
      <c r="F1202" s="4">
        <v>3</v>
      </c>
      <c r="G1202" s="4">
        <v>6198.7518</v>
      </c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</row>
    <row r="1203" spans="1:18" x14ac:dyDescent="0.2">
      <c r="A1203" s="4">
        <v>46</v>
      </c>
      <c r="B1203" s="4">
        <v>1</v>
      </c>
      <c r="C1203" s="4">
        <v>40.375</v>
      </c>
      <c r="D1203" s="4">
        <v>2</v>
      </c>
      <c r="E1203" s="4">
        <v>0</v>
      </c>
      <c r="F1203" s="4">
        <v>3</v>
      </c>
      <c r="G1203" s="4">
        <v>8733.2292500000003</v>
      </c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</row>
    <row r="1204" spans="1:18" x14ac:dyDescent="0.2">
      <c r="A1204" s="4">
        <v>22</v>
      </c>
      <c r="B1204" s="4">
        <v>1</v>
      </c>
      <c r="C1204" s="4">
        <v>32.11</v>
      </c>
      <c r="D1204" s="4">
        <v>0</v>
      </c>
      <c r="E1204" s="4">
        <v>0</v>
      </c>
      <c r="F1204" s="4">
        <v>3</v>
      </c>
      <c r="G1204" s="4">
        <v>2055.3249000000001</v>
      </c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</row>
    <row r="1205" spans="1:18" x14ac:dyDescent="0.2">
      <c r="A1205" s="4">
        <v>51</v>
      </c>
      <c r="B1205" s="4">
        <v>1</v>
      </c>
      <c r="C1205" s="4">
        <v>32.299999999999997</v>
      </c>
      <c r="D1205" s="4">
        <v>1</v>
      </c>
      <c r="E1205" s="4">
        <v>0</v>
      </c>
      <c r="F1205" s="4">
        <v>1</v>
      </c>
      <c r="G1205" s="4">
        <v>9964.06</v>
      </c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</row>
    <row r="1206" spans="1:18" x14ac:dyDescent="0.2">
      <c r="A1206" s="4">
        <v>18</v>
      </c>
      <c r="B1206" s="4">
        <v>0</v>
      </c>
      <c r="C1206" s="4">
        <v>27.28</v>
      </c>
      <c r="D1206" s="4">
        <v>3</v>
      </c>
      <c r="E1206" s="4">
        <v>1</v>
      </c>
      <c r="F1206" s="4">
        <v>2</v>
      </c>
      <c r="G1206" s="4">
        <v>18223.4512</v>
      </c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</row>
    <row r="1207" spans="1:18" x14ac:dyDescent="0.2">
      <c r="A1207" s="4">
        <v>35</v>
      </c>
      <c r="B1207" s="4">
        <v>1</v>
      </c>
      <c r="C1207" s="4">
        <v>17.86</v>
      </c>
      <c r="D1207" s="4">
        <v>1</v>
      </c>
      <c r="E1207" s="4">
        <v>0</v>
      </c>
      <c r="F1207" s="4">
        <v>3</v>
      </c>
      <c r="G1207" s="4">
        <v>5116.5003999999999</v>
      </c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</row>
    <row r="1208" spans="1:18" x14ac:dyDescent="0.2">
      <c r="A1208" s="4">
        <v>59</v>
      </c>
      <c r="B1208" s="4">
        <v>0</v>
      </c>
      <c r="C1208" s="4">
        <v>34.799999999999997</v>
      </c>
      <c r="D1208" s="4">
        <v>2</v>
      </c>
      <c r="E1208" s="4">
        <v>0</v>
      </c>
      <c r="F1208" s="4">
        <v>4</v>
      </c>
      <c r="G1208" s="4">
        <v>36910.608030000003</v>
      </c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</row>
    <row r="1209" spans="1:18" x14ac:dyDescent="0.2">
      <c r="A1209" s="4">
        <v>36</v>
      </c>
      <c r="B1209" s="4">
        <v>1</v>
      </c>
      <c r="C1209" s="4">
        <v>33.4</v>
      </c>
      <c r="D1209" s="4">
        <v>2</v>
      </c>
      <c r="E1209" s="4">
        <v>1</v>
      </c>
      <c r="F1209" s="4">
        <v>4</v>
      </c>
      <c r="G1209" s="4">
        <v>38415.474000000002</v>
      </c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</row>
    <row r="1210" spans="1:18" x14ac:dyDescent="0.2">
      <c r="A1210" s="4">
        <v>37</v>
      </c>
      <c r="B1210" s="4">
        <v>0</v>
      </c>
      <c r="C1210" s="4">
        <v>25.555</v>
      </c>
      <c r="D1210" s="4">
        <v>1</v>
      </c>
      <c r="E1210" s="4">
        <v>1</v>
      </c>
      <c r="F1210" s="4">
        <v>1</v>
      </c>
      <c r="G1210" s="4">
        <v>20296.863450000001</v>
      </c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</row>
    <row r="1211" spans="1:18" x14ac:dyDescent="0.2">
      <c r="A1211" s="4">
        <v>59</v>
      </c>
      <c r="B1211" s="4">
        <v>1</v>
      </c>
      <c r="C1211" s="4">
        <v>37.1</v>
      </c>
      <c r="D1211" s="4">
        <v>1</v>
      </c>
      <c r="E1211" s="4">
        <v>0</v>
      </c>
      <c r="F1211" s="4">
        <v>4</v>
      </c>
      <c r="G1211" s="4">
        <v>12347.172</v>
      </c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</row>
    <row r="1212" spans="1:18" x14ac:dyDescent="0.2">
      <c r="A1212" s="4">
        <v>36</v>
      </c>
      <c r="B1212" s="4">
        <v>1</v>
      </c>
      <c r="C1212" s="4">
        <v>30.875</v>
      </c>
      <c r="D1212" s="4">
        <v>1</v>
      </c>
      <c r="E1212" s="4">
        <v>0</v>
      </c>
      <c r="F1212" s="4">
        <v>3</v>
      </c>
      <c r="G1212" s="4">
        <v>5373.3642499999996</v>
      </c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</row>
    <row r="1213" spans="1:18" x14ac:dyDescent="0.2">
      <c r="A1213" s="4">
        <v>39</v>
      </c>
      <c r="B1213" s="4">
        <v>1</v>
      </c>
      <c r="C1213" s="4">
        <v>34.1</v>
      </c>
      <c r="D1213" s="4">
        <v>2</v>
      </c>
      <c r="E1213" s="4">
        <v>0</v>
      </c>
      <c r="F1213" s="4">
        <v>2</v>
      </c>
      <c r="G1213" s="4">
        <v>23563.016179999999</v>
      </c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</row>
    <row r="1214" spans="1:18" x14ac:dyDescent="0.2">
      <c r="A1214" s="4">
        <v>18</v>
      </c>
      <c r="B1214" s="4">
        <v>1</v>
      </c>
      <c r="C1214" s="4">
        <v>21.47</v>
      </c>
      <c r="D1214" s="4">
        <v>0</v>
      </c>
      <c r="E1214" s="4">
        <v>0</v>
      </c>
      <c r="F1214" s="4">
        <v>1</v>
      </c>
      <c r="G1214" s="4">
        <v>1702.4553000000001</v>
      </c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</row>
    <row r="1215" spans="1:18" x14ac:dyDescent="0.2">
      <c r="A1215" s="4">
        <v>52</v>
      </c>
      <c r="B1215" s="4">
        <v>0</v>
      </c>
      <c r="C1215" s="4">
        <v>33.299999999999997</v>
      </c>
      <c r="D1215" s="4">
        <v>2</v>
      </c>
      <c r="E1215" s="4">
        <v>0</v>
      </c>
      <c r="F1215" s="4">
        <v>4</v>
      </c>
      <c r="G1215" s="4">
        <v>10806.839</v>
      </c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</row>
    <row r="1216" spans="1:18" x14ac:dyDescent="0.2">
      <c r="A1216" s="4">
        <v>27</v>
      </c>
      <c r="B1216" s="4">
        <v>0</v>
      </c>
      <c r="C1216" s="4">
        <v>31.254999999999999</v>
      </c>
      <c r="D1216" s="4">
        <v>1</v>
      </c>
      <c r="E1216" s="4">
        <v>0</v>
      </c>
      <c r="F1216" s="4">
        <v>3</v>
      </c>
      <c r="G1216" s="4">
        <v>3956.0714499999999</v>
      </c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</row>
    <row r="1217" spans="1:18" x14ac:dyDescent="0.2">
      <c r="A1217" s="4">
        <v>18</v>
      </c>
      <c r="B1217" s="4">
        <v>1</v>
      </c>
      <c r="C1217" s="4">
        <v>39.14</v>
      </c>
      <c r="D1217" s="4">
        <v>0</v>
      </c>
      <c r="E1217" s="4">
        <v>0</v>
      </c>
      <c r="F1217" s="4">
        <v>1</v>
      </c>
      <c r="G1217" s="4">
        <v>12890.057650000001</v>
      </c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</row>
    <row r="1218" spans="1:18" x14ac:dyDescent="0.2">
      <c r="A1218" s="4">
        <v>40</v>
      </c>
      <c r="B1218" s="4">
        <v>1</v>
      </c>
      <c r="C1218" s="4">
        <v>25.08</v>
      </c>
      <c r="D1218" s="4">
        <v>0</v>
      </c>
      <c r="E1218" s="4">
        <v>0</v>
      </c>
      <c r="F1218" s="4">
        <v>2</v>
      </c>
      <c r="G1218" s="4">
        <v>5415.6611999999996</v>
      </c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</row>
    <row r="1219" spans="1:18" x14ac:dyDescent="0.2">
      <c r="A1219" s="4">
        <v>29</v>
      </c>
      <c r="B1219" s="4">
        <v>1</v>
      </c>
      <c r="C1219" s="4">
        <v>37.29</v>
      </c>
      <c r="D1219" s="4">
        <v>2</v>
      </c>
      <c r="E1219" s="4">
        <v>0</v>
      </c>
      <c r="F1219" s="4">
        <v>2</v>
      </c>
      <c r="G1219" s="4">
        <v>4058.1161000000002</v>
      </c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</row>
    <row r="1220" spans="1:18" x14ac:dyDescent="0.2">
      <c r="A1220" s="4">
        <v>46</v>
      </c>
      <c r="B1220" s="4">
        <v>0</v>
      </c>
      <c r="C1220" s="4">
        <v>34.6</v>
      </c>
      <c r="D1220" s="4">
        <v>1</v>
      </c>
      <c r="E1220" s="4">
        <v>1</v>
      </c>
      <c r="F1220" s="4">
        <v>4</v>
      </c>
      <c r="G1220" s="4">
        <v>41661.601999999999</v>
      </c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</row>
    <row r="1221" spans="1:18" x14ac:dyDescent="0.2">
      <c r="A1221" s="4">
        <v>38</v>
      </c>
      <c r="B1221" s="4">
        <v>0</v>
      </c>
      <c r="C1221" s="4">
        <v>30.21</v>
      </c>
      <c r="D1221" s="4">
        <v>3</v>
      </c>
      <c r="E1221" s="4">
        <v>0</v>
      </c>
      <c r="F1221" s="4">
        <v>3</v>
      </c>
      <c r="G1221" s="4">
        <v>7537.1638999999996</v>
      </c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</row>
    <row r="1222" spans="1:18" x14ac:dyDescent="0.2">
      <c r="A1222" s="4">
        <v>30</v>
      </c>
      <c r="B1222" s="4">
        <v>0</v>
      </c>
      <c r="C1222" s="4">
        <v>21.945</v>
      </c>
      <c r="D1222" s="4">
        <v>1</v>
      </c>
      <c r="E1222" s="4">
        <v>0</v>
      </c>
      <c r="F1222" s="4">
        <v>1</v>
      </c>
      <c r="G1222" s="4">
        <v>4718.2035500000002</v>
      </c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</row>
    <row r="1223" spans="1:18" x14ac:dyDescent="0.2">
      <c r="A1223" s="4">
        <v>40</v>
      </c>
      <c r="B1223" s="4">
        <v>1</v>
      </c>
      <c r="C1223" s="4">
        <v>24.97</v>
      </c>
      <c r="D1223" s="4">
        <v>2</v>
      </c>
      <c r="E1223" s="4">
        <v>0</v>
      </c>
      <c r="F1223" s="4">
        <v>2</v>
      </c>
      <c r="G1223" s="4">
        <v>6593.5083000000004</v>
      </c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</row>
    <row r="1224" spans="1:18" x14ac:dyDescent="0.2">
      <c r="A1224" s="4">
        <v>50</v>
      </c>
      <c r="B1224" s="4">
        <v>1</v>
      </c>
      <c r="C1224" s="4">
        <v>25.3</v>
      </c>
      <c r="D1224" s="4">
        <v>0</v>
      </c>
      <c r="E1224" s="4">
        <v>0</v>
      </c>
      <c r="F1224" s="4">
        <v>2</v>
      </c>
      <c r="G1224" s="4">
        <v>8442.6669999999995</v>
      </c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</row>
    <row r="1225" spans="1:18" x14ac:dyDescent="0.2">
      <c r="A1225" s="4">
        <v>20</v>
      </c>
      <c r="B1225" s="4">
        <v>0</v>
      </c>
      <c r="C1225" s="4">
        <v>24.42</v>
      </c>
      <c r="D1225" s="4">
        <v>0</v>
      </c>
      <c r="E1225" s="4">
        <v>1</v>
      </c>
      <c r="F1225" s="4">
        <v>2</v>
      </c>
      <c r="G1225" s="4">
        <v>26125.674770000001</v>
      </c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</row>
    <row r="1226" spans="1:18" x14ac:dyDescent="0.2">
      <c r="A1226" s="4">
        <v>41</v>
      </c>
      <c r="B1226" s="4">
        <v>1</v>
      </c>
      <c r="C1226" s="4">
        <v>23.94</v>
      </c>
      <c r="D1226" s="4">
        <v>1</v>
      </c>
      <c r="E1226" s="4">
        <v>0</v>
      </c>
      <c r="F1226" s="4">
        <v>1</v>
      </c>
      <c r="G1226" s="4">
        <v>6858.4795999999997</v>
      </c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</row>
    <row r="1227" spans="1:18" x14ac:dyDescent="0.2">
      <c r="A1227" s="4">
        <v>33</v>
      </c>
      <c r="B1227" s="4">
        <v>0</v>
      </c>
      <c r="C1227" s="4">
        <v>39.82</v>
      </c>
      <c r="D1227" s="4">
        <v>1</v>
      </c>
      <c r="E1227" s="4">
        <v>0</v>
      </c>
      <c r="F1227" s="4">
        <v>2</v>
      </c>
      <c r="G1227" s="4">
        <v>4795.6567999999997</v>
      </c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</row>
    <row r="1228" spans="1:18" x14ac:dyDescent="0.2">
      <c r="A1228" s="4">
        <v>38</v>
      </c>
      <c r="B1228" s="4">
        <v>1</v>
      </c>
      <c r="C1228" s="4">
        <v>16.815000000000001</v>
      </c>
      <c r="D1228" s="4">
        <v>2</v>
      </c>
      <c r="E1228" s="4">
        <v>0</v>
      </c>
      <c r="F1228" s="4">
        <v>1</v>
      </c>
      <c r="G1228" s="4">
        <v>6640.5448500000002</v>
      </c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</row>
    <row r="1229" spans="1:18" x14ac:dyDescent="0.2">
      <c r="A1229" s="4">
        <v>42</v>
      </c>
      <c r="B1229" s="4">
        <v>1</v>
      </c>
      <c r="C1229" s="4">
        <v>37.18</v>
      </c>
      <c r="D1229" s="4">
        <v>2</v>
      </c>
      <c r="E1229" s="4">
        <v>0</v>
      </c>
      <c r="F1229" s="4">
        <v>2</v>
      </c>
      <c r="G1229" s="4">
        <v>7162.0122000000001</v>
      </c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</row>
    <row r="1230" spans="1:18" x14ac:dyDescent="0.2">
      <c r="A1230" s="4">
        <v>56</v>
      </c>
      <c r="B1230" s="4">
        <v>1</v>
      </c>
      <c r="C1230" s="4">
        <v>34.43</v>
      </c>
      <c r="D1230" s="4">
        <v>0</v>
      </c>
      <c r="E1230" s="4">
        <v>0</v>
      </c>
      <c r="F1230" s="4">
        <v>2</v>
      </c>
      <c r="G1230" s="4">
        <v>10594.225700000001</v>
      </c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</row>
    <row r="1231" spans="1:18" x14ac:dyDescent="0.2">
      <c r="A1231" s="4">
        <v>58</v>
      </c>
      <c r="B1231" s="4">
        <v>1</v>
      </c>
      <c r="C1231" s="4">
        <v>30.305</v>
      </c>
      <c r="D1231" s="4">
        <v>0</v>
      </c>
      <c r="E1231" s="4">
        <v>0</v>
      </c>
      <c r="F1231" s="4">
        <v>1</v>
      </c>
      <c r="G1231" s="4">
        <v>11938.255950000001</v>
      </c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</row>
    <row r="1232" spans="1:18" x14ac:dyDescent="0.2">
      <c r="A1232" s="4">
        <v>52</v>
      </c>
      <c r="B1232" s="4">
        <v>1</v>
      </c>
      <c r="C1232" s="4">
        <v>34.484999999999999</v>
      </c>
      <c r="D1232" s="4">
        <v>3</v>
      </c>
      <c r="E1232" s="4">
        <v>1</v>
      </c>
      <c r="F1232" s="4">
        <v>3</v>
      </c>
      <c r="G1232" s="4">
        <v>60021.398970000002</v>
      </c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</row>
    <row r="1233" spans="1:18" x14ac:dyDescent="0.2">
      <c r="A1233" s="4">
        <v>20</v>
      </c>
      <c r="B1233" s="4">
        <v>0</v>
      </c>
      <c r="C1233" s="4">
        <v>21.8</v>
      </c>
      <c r="D1233" s="4">
        <v>0</v>
      </c>
      <c r="E1233" s="4">
        <v>1</v>
      </c>
      <c r="F1233" s="4">
        <v>4</v>
      </c>
      <c r="G1233" s="4">
        <v>20167.336029999999</v>
      </c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</row>
    <row r="1234" spans="1:18" x14ac:dyDescent="0.2">
      <c r="A1234" s="4">
        <v>54</v>
      </c>
      <c r="B1234" s="4">
        <v>0</v>
      </c>
      <c r="C1234" s="4">
        <v>24.605</v>
      </c>
      <c r="D1234" s="4">
        <v>3</v>
      </c>
      <c r="E1234" s="4">
        <v>0</v>
      </c>
      <c r="F1234" s="4">
        <v>3</v>
      </c>
      <c r="G1234" s="4">
        <v>12479.70895</v>
      </c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</row>
    <row r="1235" spans="1:18" x14ac:dyDescent="0.2">
      <c r="A1235" s="4">
        <v>58</v>
      </c>
      <c r="B1235" s="4">
        <v>1</v>
      </c>
      <c r="C1235" s="4">
        <v>23.3</v>
      </c>
      <c r="D1235" s="4">
        <v>0</v>
      </c>
      <c r="E1235" s="4">
        <v>0</v>
      </c>
      <c r="F1235" s="4">
        <v>4</v>
      </c>
      <c r="G1235" s="4">
        <v>11345.519</v>
      </c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</row>
    <row r="1236" spans="1:18" x14ac:dyDescent="0.2">
      <c r="A1236" s="4">
        <v>45</v>
      </c>
      <c r="B1236" s="4">
        <v>0</v>
      </c>
      <c r="C1236" s="4">
        <v>27.83</v>
      </c>
      <c r="D1236" s="4">
        <v>2</v>
      </c>
      <c r="E1236" s="4">
        <v>0</v>
      </c>
      <c r="F1236" s="4">
        <v>2</v>
      </c>
      <c r="G1236" s="4">
        <v>8515.7587000000003</v>
      </c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</row>
    <row r="1237" spans="1:18" x14ac:dyDescent="0.2">
      <c r="A1237" s="4">
        <v>26</v>
      </c>
      <c r="B1237" s="4">
        <v>1</v>
      </c>
      <c r="C1237" s="4">
        <v>31.065000000000001</v>
      </c>
      <c r="D1237" s="4">
        <v>0</v>
      </c>
      <c r="E1237" s="4">
        <v>0</v>
      </c>
      <c r="F1237" s="4">
        <v>3</v>
      </c>
      <c r="G1237" s="4">
        <v>2699.56835</v>
      </c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</row>
    <row r="1238" spans="1:18" x14ac:dyDescent="0.2">
      <c r="A1238" s="4">
        <v>63</v>
      </c>
      <c r="B1238" s="4">
        <v>0</v>
      </c>
      <c r="C1238" s="4">
        <v>21.66</v>
      </c>
      <c r="D1238" s="4">
        <v>0</v>
      </c>
      <c r="E1238" s="4">
        <v>0</v>
      </c>
      <c r="F1238" s="4">
        <v>1</v>
      </c>
      <c r="G1238" s="4">
        <v>14449.8544</v>
      </c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</row>
    <row r="1239" spans="1:18" x14ac:dyDescent="0.2">
      <c r="A1239" s="4">
        <v>58</v>
      </c>
      <c r="B1239" s="4">
        <v>0</v>
      </c>
      <c r="C1239" s="4">
        <v>28.215</v>
      </c>
      <c r="D1239" s="4">
        <v>0</v>
      </c>
      <c r="E1239" s="4">
        <v>0</v>
      </c>
      <c r="F1239" s="4">
        <v>3</v>
      </c>
      <c r="G1239" s="4">
        <v>12224.350850000001</v>
      </c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</row>
    <row r="1240" spans="1:18" x14ac:dyDescent="0.2">
      <c r="A1240" s="4">
        <v>37</v>
      </c>
      <c r="B1240" s="4">
        <v>1</v>
      </c>
      <c r="C1240" s="4">
        <v>22.704999999999998</v>
      </c>
      <c r="D1240" s="4">
        <v>3</v>
      </c>
      <c r="E1240" s="4">
        <v>0</v>
      </c>
      <c r="F1240" s="4">
        <v>1</v>
      </c>
      <c r="G1240" s="4">
        <v>6985.50695</v>
      </c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</row>
    <row r="1241" spans="1:18" x14ac:dyDescent="0.2">
      <c r="A1241" s="4">
        <v>25</v>
      </c>
      <c r="B1241" s="4">
        <v>0</v>
      </c>
      <c r="C1241" s="4">
        <v>42.13</v>
      </c>
      <c r="D1241" s="4">
        <v>1</v>
      </c>
      <c r="E1241" s="4">
        <v>0</v>
      </c>
      <c r="F1241" s="4">
        <v>2</v>
      </c>
      <c r="G1241" s="4">
        <v>3238.4357</v>
      </c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</row>
    <row r="1242" spans="1:18" x14ac:dyDescent="0.2">
      <c r="A1242" s="4">
        <v>52</v>
      </c>
      <c r="B1242" s="4">
        <v>1</v>
      </c>
      <c r="C1242" s="4">
        <v>41.8</v>
      </c>
      <c r="D1242" s="4">
        <v>2</v>
      </c>
      <c r="E1242" s="4">
        <v>1</v>
      </c>
      <c r="F1242" s="4">
        <v>2</v>
      </c>
      <c r="G1242" s="4">
        <v>47269.853999999999</v>
      </c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</row>
    <row r="1243" spans="1:18" x14ac:dyDescent="0.2">
      <c r="A1243" s="4">
        <v>64</v>
      </c>
      <c r="B1243" s="4">
        <v>1</v>
      </c>
      <c r="C1243" s="4">
        <v>36.96</v>
      </c>
      <c r="D1243" s="4">
        <v>2</v>
      </c>
      <c r="E1243" s="4">
        <v>1</v>
      </c>
      <c r="F1243" s="4">
        <v>2</v>
      </c>
      <c r="G1243" s="4">
        <v>49577.662400000001</v>
      </c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</row>
    <row r="1244" spans="1:18" x14ac:dyDescent="0.2">
      <c r="A1244" s="4">
        <v>22</v>
      </c>
      <c r="B1244" s="4">
        <v>0</v>
      </c>
      <c r="C1244" s="4">
        <v>21.28</v>
      </c>
      <c r="D1244" s="4">
        <v>3</v>
      </c>
      <c r="E1244" s="4">
        <v>0</v>
      </c>
      <c r="F1244" s="4">
        <v>3</v>
      </c>
      <c r="G1244" s="4">
        <v>4296.2712000000001</v>
      </c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</row>
    <row r="1245" spans="1:18" x14ac:dyDescent="0.2">
      <c r="A1245" s="4">
        <v>28</v>
      </c>
      <c r="B1245" s="4">
        <v>0</v>
      </c>
      <c r="C1245" s="4">
        <v>33.11</v>
      </c>
      <c r="D1245" s="4">
        <v>0</v>
      </c>
      <c r="E1245" s="4">
        <v>0</v>
      </c>
      <c r="F1245" s="4">
        <v>2</v>
      </c>
      <c r="G1245" s="4">
        <v>3171.6149</v>
      </c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</row>
    <row r="1246" spans="1:18" x14ac:dyDescent="0.2">
      <c r="A1246" s="4">
        <v>18</v>
      </c>
      <c r="B1246" s="4">
        <v>1</v>
      </c>
      <c r="C1246" s="4">
        <v>33.33</v>
      </c>
      <c r="D1246" s="4">
        <v>0</v>
      </c>
      <c r="E1246" s="4">
        <v>0</v>
      </c>
      <c r="F1246" s="4">
        <v>2</v>
      </c>
      <c r="G1246" s="4">
        <v>1135.9407000000001</v>
      </c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</row>
    <row r="1247" spans="1:18" x14ac:dyDescent="0.2">
      <c r="A1247" s="4">
        <v>28</v>
      </c>
      <c r="B1247" s="4">
        <v>1</v>
      </c>
      <c r="C1247" s="4">
        <v>24.3</v>
      </c>
      <c r="D1247" s="4">
        <v>5</v>
      </c>
      <c r="E1247" s="4">
        <v>0</v>
      </c>
      <c r="F1247" s="4">
        <v>4</v>
      </c>
      <c r="G1247" s="4">
        <v>5615.3689999999997</v>
      </c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</row>
    <row r="1248" spans="1:18" x14ac:dyDescent="0.2">
      <c r="A1248" s="4">
        <v>45</v>
      </c>
      <c r="B1248" s="4">
        <v>0</v>
      </c>
      <c r="C1248" s="4">
        <v>25.7</v>
      </c>
      <c r="D1248" s="4">
        <v>3</v>
      </c>
      <c r="E1248" s="4">
        <v>0</v>
      </c>
      <c r="F1248" s="4">
        <v>4</v>
      </c>
      <c r="G1248" s="4">
        <v>9101.7980000000007</v>
      </c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</row>
    <row r="1249" spans="1:18" x14ac:dyDescent="0.2">
      <c r="A1249" s="4">
        <v>33</v>
      </c>
      <c r="B1249" s="4">
        <v>1</v>
      </c>
      <c r="C1249" s="4">
        <v>29.4</v>
      </c>
      <c r="D1249" s="4">
        <v>4</v>
      </c>
      <c r="E1249" s="4">
        <v>0</v>
      </c>
      <c r="F1249" s="4">
        <v>4</v>
      </c>
      <c r="G1249" s="4">
        <v>6059.1729999999998</v>
      </c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</row>
    <row r="1250" spans="1:18" x14ac:dyDescent="0.2">
      <c r="A1250" s="4">
        <v>18</v>
      </c>
      <c r="B1250" s="4">
        <v>0</v>
      </c>
      <c r="C1250" s="4">
        <v>39.82</v>
      </c>
      <c r="D1250" s="4">
        <v>0</v>
      </c>
      <c r="E1250" s="4">
        <v>0</v>
      </c>
      <c r="F1250" s="4">
        <v>2</v>
      </c>
      <c r="G1250" s="4">
        <v>1633.9618</v>
      </c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</row>
    <row r="1251" spans="1:18" x14ac:dyDescent="0.2">
      <c r="A1251" s="4">
        <v>32</v>
      </c>
      <c r="B1251" s="4">
        <v>1</v>
      </c>
      <c r="C1251" s="4">
        <v>33.630000000000003</v>
      </c>
      <c r="D1251" s="4">
        <v>1</v>
      </c>
      <c r="E1251" s="4">
        <v>1</v>
      </c>
      <c r="F1251" s="4">
        <v>1</v>
      </c>
      <c r="G1251" s="4">
        <v>37607.527699999999</v>
      </c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</row>
    <row r="1252" spans="1:18" x14ac:dyDescent="0.2">
      <c r="A1252" s="4">
        <v>24</v>
      </c>
      <c r="B1252" s="4">
        <v>1</v>
      </c>
      <c r="C1252" s="4">
        <v>29.83</v>
      </c>
      <c r="D1252" s="4">
        <v>0</v>
      </c>
      <c r="E1252" s="4">
        <v>1</v>
      </c>
      <c r="F1252" s="4">
        <v>1</v>
      </c>
      <c r="G1252" s="4">
        <v>18648.421699999999</v>
      </c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</row>
    <row r="1253" spans="1:18" x14ac:dyDescent="0.2">
      <c r="A1253" s="4">
        <v>19</v>
      </c>
      <c r="B1253" s="4">
        <v>1</v>
      </c>
      <c r="C1253" s="4">
        <v>19.8</v>
      </c>
      <c r="D1253" s="4">
        <v>0</v>
      </c>
      <c r="E1253" s="4">
        <v>0</v>
      </c>
      <c r="F1253" s="4">
        <v>4</v>
      </c>
      <c r="G1253" s="4">
        <v>1241.5650000000001</v>
      </c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</row>
    <row r="1254" spans="1:18" x14ac:dyDescent="0.2">
      <c r="A1254" s="4">
        <v>20</v>
      </c>
      <c r="B1254" s="4">
        <v>1</v>
      </c>
      <c r="C1254" s="4">
        <v>27.3</v>
      </c>
      <c r="D1254" s="4">
        <v>0</v>
      </c>
      <c r="E1254" s="4">
        <v>1</v>
      </c>
      <c r="F1254" s="4">
        <v>4</v>
      </c>
      <c r="G1254" s="4">
        <v>16232.847</v>
      </c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</row>
    <row r="1255" spans="1:18" x14ac:dyDescent="0.2">
      <c r="A1255" s="4">
        <v>40</v>
      </c>
      <c r="B1255" s="4">
        <v>0</v>
      </c>
      <c r="C1255" s="4">
        <v>29.3</v>
      </c>
      <c r="D1255" s="4">
        <v>4</v>
      </c>
      <c r="E1255" s="4">
        <v>0</v>
      </c>
      <c r="F1255" s="4">
        <v>4</v>
      </c>
      <c r="G1255" s="4">
        <v>15828.82173</v>
      </c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</row>
    <row r="1256" spans="1:18" x14ac:dyDescent="0.2">
      <c r="A1256" s="4">
        <v>34</v>
      </c>
      <c r="B1256" s="4">
        <v>0</v>
      </c>
      <c r="C1256" s="4">
        <v>27.72</v>
      </c>
      <c r="D1256" s="4">
        <v>0</v>
      </c>
      <c r="E1256" s="4">
        <v>0</v>
      </c>
      <c r="F1256" s="4">
        <v>2</v>
      </c>
      <c r="G1256" s="4">
        <v>4415.1588000000002</v>
      </c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</row>
    <row r="1257" spans="1:18" x14ac:dyDescent="0.2">
      <c r="A1257" s="4">
        <v>42</v>
      </c>
      <c r="B1257" s="4">
        <v>0</v>
      </c>
      <c r="C1257" s="4">
        <v>37.9</v>
      </c>
      <c r="D1257" s="4">
        <v>0</v>
      </c>
      <c r="E1257" s="4">
        <v>0</v>
      </c>
      <c r="F1257" s="4">
        <v>4</v>
      </c>
      <c r="G1257" s="4">
        <v>6474.0129999999999</v>
      </c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</row>
    <row r="1258" spans="1:18" x14ac:dyDescent="0.2">
      <c r="A1258" s="4">
        <v>51</v>
      </c>
      <c r="B1258" s="4">
        <v>0</v>
      </c>
      <c r="C1258" s="4">
        <v>36.384999999999998</v>
      </c>
      <c r="D1258" s="4">
        <v>3</v>
      </c>
      <c r="E1258" s="4">
        <v>0</v>
      </c>
      <c r="F1258" s="4">
        <v>3</v>
      </c>
      <c r="G1258" s="4">
        <v>11436.738149999999</v>
      </c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</row>
    <row r="1259" spans="1:18" x14ac:dyDescent="0.2">
      <c r="A1259" s="4">
        <v>54</v>
      </c>
      <c r="B1259" s="4">
        <v>0</v>
      </c>
      <c r="C1259" s="4">
        <v>27.645</v>
      </c>
      <c r="D1259" s="4">
        <v>1</v>
      </c>
      <c r="E1259" s="4">
        <v>0</v>
      </c>
      <c r="F1259" s="4">
        <v>3</v>
      </c>
      <c r="G1259" s="4">
        <v>11305.93455</v>
      </c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</row>
    <row r="1260" spans="1:18" x14ac:dyDescent="0.2">
      <c r="A1260" s="4">
        <v>55</v>
      </c>
      <c r="B1260" s="4">
        <v>1</v>
      </c>
      <c r="C1260" s="4">
        <v>37.715000000000003</v>
      </c>
      <c r="D1260" s="4">
        <v>3</v>
      </c>
      <c r="E1260" s="4">
        <v>0</v>
      </c>
      <c r="F1260" s="4">
        <v>3</v>
      </c>
      <c r="G1260" s="4">
        <v>30063.580549999999</v>
      </c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</row>
    <row r="1261" spans="1:18" x14ac:dyDescent="0.2">
      <c r="A1261" s="4">
        <v>52</v>
      </c>
      <c r="B1261" s="4">
        <v>0</v>
      </c>
      <c r="C1261" s="4">
        <v>23.18</v>
      </c>
      <c r="D1261" s="4">
        <v>0</v>
      </c>
      <c r="E1261" s="4">
        <v>0</v>
      </c>
      <c r="F1261" s="4">
        <v>1</v>
      </c>
      <c r="G1261" s="4">
        <v>10197.772199999999</v>
      </c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</row>
    <row r="1262" spans="1:18" x14ac:dyDescent="0.2">
      <c r="A1262" s="4">
        <v>32</v>
      </c>
      <c r="B1262" s="4">
        <v>0</v>
      </c>
      <c r="C1262" s="4">
        <v>20.52</v>
      </c>
      <c r="D1262" s="4">
        <v>0</v>
      </c>
      <c r="E1262" s="4">
        <v>0</v>
      </c>
      <c r="F1262" s="4">
        <v>1</v>
      </c>
      <c r="G1262" s="4">
        <v>4544.2348000000002</v>
      </c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</row>
    <row r="1263" spans="1:18" x14ac:dyDescent="0.2">
      <c r="A1263" s="4">
        <v>28</v>
      </c>
      <c r="B1263" s="4">
        <v>1</v>
      </c>
      <c r="C1263" s="4">
        <v>37.1</v>
      </c>
      <c r="D1263" s="4">
        <v>1</v>
      </c>
      <c r="E1263" s="4">
        <v>0</v>
      </c>
      <c r="F1263" s="4">
        <v>4</v>
      </c>
      <c r="G1263" s="4">
        <v>3277.1610000000001</v>
      </c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</row>
    <row r="1264" spans="1:18" x14ac:dyDescent="0.2">
      <c r="A1264" s="4">
        <v>41</v>
      </c>
      <c r="B1264" s="4">
        <v>0</v>
      </c>
      <c r="C1264" s="4">
        <v>28.05</v>
      </c>
      <c r="D1264" s="4">
        <v>1</v>
      </c>
      <c r="E1264" s="4">
        <v>0</v>
      </c>
      <c r="F1264" s="4">
        <v>2</v>
      </c>
      <c r="G1264" s="4">
        <v>6770.1925000000001</v>
      </c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</row>
    <row r="1265" spans="1:18" x14ac:dyDescent="0.2">
      <c r="A1265" s="4">
        <v>43</v>
      </c>
      <c r="B1265" s="4">
        <v>0</v>
      </c>
      <c r="C1265" s="4">
        <v>29.9</v>
      </c>
      <c r="D1265" s="4">
        <v>1</v>
      </c>
      <c r="E1265" s="4">
        <v>0</v>
      </c>
      <c r="F1265" s="4">
        <v>4</v>
      </c>
      <c r="G1265" s="4">
        <v>7337.7479999999996</v>
      </c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</row>
    <row r="1266" spans="1:18" x14ac:dyDescent="0.2">
      <c r="A1266" s="4">
        <v>49</v>
      </c>
      <c r="B1266" s="4">
        <v>0</v>
      </c>
      <c r="C1266" s="4">
        <v>33.344999999999999</v>
      </c>
      <c r="D1266" s="4">
        <v>2</v>
      </c>
      <c r="E1266" s="4">
        <v>0</v>
      </c>
      <c r="F1266" s="4">
        <v>1</v>
      </c>
      <c r="G1266" s="4">
        <v>10370.912549999999</v>
      </c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</row>
    <row r="1267" spans="1:18" x14ac:dyDescent="0.2">
      <c r="A1267" s="4">
        <v>64</v>
      </c>
      <c r="B1267" s="4">
        <v>1</v>
      </c>
      <c r="C1267" s="4">
        <v>23.76</v>
      </c>
      <c r="D1267" s="4">
        <v>0</v>
      </c>
      <c r="E1267" s="4">
        <v>1</v>
      </c>
      <c r="F1267" s="4">
        <v>2</v>
      </c>
      <c r="G1267" s="4">
        <v>26926.5144</v>
      </c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</row>
    <row r="1268" spans="1:18" x14ac:dyDescent="0.2">
      <c r="A1268" s="4">
        <v>55</v>
      </c>
      <c r="B1268" s="4">
        <v>0</v>
      </c>
      <c r="C1268" s="4">
        <v>30.5</v>
      </c>
      <c r="D1268" s="4">
        <v>0</v>
      </c>
      <c r="E1268" s="4">
        <v>0</v>
      </c>
      <c r="F1268" s="4">
        <v>4</v>
      </c>
      <c r="G1268" s="4">
        <v>10704.47</v>
      </c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</row>
    <row r="1269" spans="1:18" x14ac:dyDescent="0.2">
      <c r="A1269" s="4">
        <v>24</v>
      </c>
      <c r="B1269" s="4">
        <v>1</v>
      </c>
      <c r="C1269" s="4">
        <v>31.065000000000001</v>
      </c>
      <c r="D1269" s="4">
        <v>0</v>
      </c>
      <c r="E1269" s="4">
        <v>1</v>
      </c>
      <c r="F1269" s="4">
        <v>1</v>
      </c>
      <c r="G1269" s="4">
        <v>34254.053350000002</v>
      </c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</row>
    <row r="1270" spans="1:18" x14ac:dyDescent="0.2">
      <c r="A1270" s="4">
        <v>20</v>
      </c>
      <c r="B1270" s="4">
        <v>0</v>
      </c>
      <c r="C1270" s="4">
        <v>33.299999999999997</v>
      </c>
      <c r="D1270" s="4">
        <v>0</v>
      </c>
      <c r="E1270" s="4">
        <v>0</v>
      </c>
      <c r="F1270" s="4">
        <v>4</v>
      </c>
      <c r="G1270" s="4">
        <v>1880.4870000000001</v>
      </c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</row>
    <row r="1271" spans="1:18" x14ac:dyDescent="0.2">
      <c r="A1271" s="4">
        <v>45</v>
      </c>
      <c r="B1271" s="4">
        <v>1</v>
      </c>
      <c r="C1271" s="4">
        <v>27.5</v>
      </c>
      <c r="D1271" s="4">
        <v>3</v>
      </c>
      <c r="E1271" s="4">
        <v>0</v>
      </c>
      <c r="F1271" s="4">
        <v>4</v>
      </c>
      <c r="G1271" s="4">
        <v>8615.2999999999993</v>
      </c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</row>
    <row r="1272" spans="1:18" x14ac:dyDescent="0.2">
      <c r="A1272" s="4">
        <v>26</v>
      </c>
      <c r="B1272" s="4">
        <v>1</v>
      </c>
      <c r="C1272" s="4">
        <v>33.914999999999999</v>
      </c>
      <c r="D1272" s="4">
        <v>1</v>
      </c>
      <c r="E1272" s="4">
        <v>0</v>
      </c>
      <c r="F1272" s="4">
        <v>3</v>
      </c>
      <c r="G1272" s="4">
        <v>3292.5298499999999</v>
      </c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</row>
    <row r="1273" spans="1:18" x14ac:dyDescent="0.2">
      <c r="A1273" s="4">
        <v>25</v>
      </c>
      <c r="B1273" s="4">
        <v>0</v>
      </c>
      <c r="C1273" s="4">
        <v>34.484999999999999</v>
      </c>
      <c r="D1273" s="4">
        <v>0</v>
      </c>
      <c r="E1273" s="4">
        <v>0</v>
      </c>
      <c r="F1273" s="4">
        <v>3</v>
      </c>
      <c r="G1273" s="4">
        <v>3021.80915</v>
      </c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</row>
    <row r="1274" spans="1:18" x14ac:dyDescent="0.2">
      <c r="A1274" s="4">
        <v>43</v>
      </c>
      <c r="B1274" s="4">
        <v>1</v>
      </c>
      <c r="C1274" s="4">
        <v>25.52</v>
      </c>
      <c r="D1274" s="4">
        <v>5</v>
      </c>
      <c r="E1274" s="4">
        <v>0</v>
      </c>
      <c r="F1274" s="4">
        <v>2</v>
      </c>
      <c r="G1274" s="4">
        <v>14478.33015</v>
      </c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</row>
    <row r="1275" spans="1:18" x14ac:dyDescent="0.2">
      <c r="A1275" s="4">
        <v>35</v>
      </c>
      <c r="B1275" s="4">
        <v>1</v>
      </c>
      <c r="C1275" s="4">
        <v>27.61</v>
      </c>
      <c r="D1275" s="4">
        <v>1</v>
      </c>
      <c r="E1275" s="4">
        <v>0</v>
      </c>
      <c r="F1275" s="4">
        <v>2</v>
      </c>
      <c r="G1275" s="4">
        <v>4747.0528999999997</v>
      </c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</row>
    <row r="1276" spans="1:18" x14ac:dyDescent="0.2">
      <c r="A1276" s="4">
        <v>26</v>
      </c>
      <c r="B1276" s="4">
        <v>1</v>
      </c>
      <c r="C1276" s="4">
        <v>27.06</v>
      </c>
      <c r="D1276" s="4">
        <v>0</v>
      </c>
      <c r="E1276" s="4">
        <v>1</v>
      </c>
      <c r="F1276" s="4">
        <v>2</v>
      </c>
      <c r="G1276" s="4">
        <v>17043.341400000001</v>
      </c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</row>
    <row r="1277" spans="1:18" x14ac:dyDescent="0.2">
      <c r="A1277" s="4">
        <v>57</v>
      </c>
      <c r="B1277" s="4">
        <v>1</v>
      </c>
      <c r="C1277" s="4">
        <v>23.7</v>
      </c>
      <c r="D1277" s="4">
        <v>0</v>
      </c>
      <c r="E1277" s="4">
        <v>0</v>
      </c>
      <c r="F1277" s="4">
        <v>4</v>
      </c>
      <c r="G1277" s="4">
        <v>10959.33</v>
      </c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</row>
    <row r="1278" spans="1:18" x14ac:dyDescent="0.2">
      <c r="A1278" s="4">
        <v>22</v>
      </c>
      <c r="B1278" s="4">
        <v>0</v>
      </c>
      <c r="C1278" s="4">
        <v>30.4</v>
      </c>
      <c r="D1278" s="4">
        <v>0</v>
      </c>
      <c r="E1278" s="4">
        <v>0</v>
      </c>
      <c r="F1278" s="4">
        <v>1</v>
      </c>
      <c r="G1278" s="4">
        <v>2741.9479999999999</v>
      </c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</row>
    <row r="1279" spans="1:18" x14ac:dyDescent="0.2">
      <c r="A1279" s="4">
        <v>32</v>
      </c>
      <c r="B1279" s="4">
        <v>0</v>
      </c>
      <c r="C1279" s="4">
        <v>29.734999999999999</v>
      </c>
      <c r="D1279" s="4">
        <v>0</v>
      </c>
      <c r="E1279" s="4">
        <v>0</v>
      </c>
      <c r="F1279" s="4">
        <v>3</v>
      </c>
      <c r="G1279" s="4">
        <v>4357.0436499999996</v>
      </c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</row>
    <row r="1280" spans="1:18" x14ac:dyDescent="0.2">
      <c r="A1280" s="4">
        <v>39</v>
      </c>
      <c r="B1280" s="4">
        <v>1</v>
      </c>
      <c r="C1280" s="4">
        <v>29.925000000000001</v>
      </c>
      <c r="D1280" s="4">
        <v>1</v>
      </c>
      <c r="E1280" s="4">
        <v>1</v>
      </c>
      <c r="F1280" s="4">
        <v>1</v>
      </c>
      <c r="G1280" s="4">
        <v>22462.043750000001</v>
      </c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</row>
    <row r="1281" spans="1:18" x14ac:dyDescent="0.2">
      <c r="A1281" s="4">
        <v>25</v>
      </c>
      <c r="B1281" s="4">
        <v>0</v>
      </c>
      <c r="C1281" s="4">
        <v>26.79</v>
      </c>
      <c r="D1281" s="4">
        <v>2</v>
      </c>
      <c r="E1281" s="4">
        <v>0</v>
      </c>
      <c r="F1281" s="4">
        <v>3</v>
      </c>
      <c r="G1281" s="4">
        <v>4189.1130999999996</v>
      </c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</row>
    <row r="1282" spans="1:18" x14ac:dyDescent="0.2">
      <c r="A1282" s="4">
        <v>48</v>
      </c>
      <c r="B1282" s="4">
        <v>0</v>
      </c>
      <c r="C1282" s="4">
        <v>33.33</v>
      </c>
      <c r="D1282" s="4">
        <v>0</v>
      </c>
      <c r="E1282" s="4">
        <v>0</v>
      </c>
      <c r="F1282" s="4">
        <v>2</v>
      </c>
      <c r="G1282" s="4">
        <v>8283.6807000000008</v>
      </c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</row>
    <row r="1283" spans="1:18" x14ac:dyDescent="0.2">
      <c r="A1283" s="4">
        <v>47</v>
      </c>
      <c r="B1283" s="4">
        <v>0</v>
      </c>
      <c r="C1283" s="4">
        <v>27.645</v>
      </c>
      <c r="D1283" s="4">
        <v>2</v>
      </c>
      <c r="E1283" s="4">
        <v>1</v>
      </c>
      <c r="F1283" s="4">
        <v>3</v>
      </c>
      <c r="G1283" s="4">
        <v>24535.698550000001</v>
      </c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</row>
    <row r="1284" spans="1:18" x14ac:dyDescent="0.2">
      <c r="A1284" s="4">
        <v>18</v>
      </c>
      <c r="B1284" s="4">
        <v>0</v>
      </c>
      <c r="C1284" s="4">
        <v>21.66</v>
      </c>
      <c r="D1284" s="4">
        <v>0</v>
      </c>
      <c r="E1284" s="4">
        <v>1</v>
      </c>
      <c r="F1284" s="4">
        <v>1</v>
      </c>
      <c r="G1284" s="4">
        <v>14283.4594</v>
      </c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</row>
    <row r="1285" spans="1:18" x14ac:dyDescent="0.2">
      <c r="A1285" s="4">
        <v>18</v>
      </c>
      <c r="B1285" s="4">
        <v>1</v>
      </c>
      <c r="C1285" s="4">
        <v>30.03</v>
      </c>
      <c r="D1285" s="4">
        <v>1</v>
      </c>
      <c r="E1285" s="4">
        <v>0</v>
      </c>
      <c r="F1285" s="4">
        <v>2</v>
      </c>
      <c r="G1285" s="4">
        <v>1720.3536999999999</v>
      </c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</row>
    <row r="1286" spans="1:18" x14ac:dyDescent="0.2">
      <c r="A1286" s="4">
        <v>61</v>
      </c>
      <c r="B1286" s="4">
        <v>1</v>
      </c>
      <c r="C1286" s="4">
        <v>36.299999999999997</v>
      </c>
      <c r="D1286" s="4">
        <v>1</v>
      </c>
      <c r="E1286" s="4">
        <v>1</v>
      </c>
      <c r="F1286" s="4">
        <v>4</v>
      </c>
      <c r="G1286" s="4">
        <v>47403.88</v>
      </c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</row>
    <row r="1287" spans="1:18" x14ac:dyDescent="0.2">
      <c r="A1287" s="4">
        <v>47</v>
      </c>
      <c r="B1287" s="4">
        <v>0</v>
      </c>
      <c r="C1287" s="4">
        <v>24.32</v>
      </c>
      <c r="D1287" s="4">
        <v>0</v>
      </c>
      <c r="E1287" s="4">
        <v>0</v>
      </c>
      <c r="F1287" s="4">
        <v>1</v>
      </c>
      <c r="G1287" s="4">
        <v>8534.6718000000001</v>
      </c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</row>
    <row r="1288" spans="1:18" x14ac:dyDescent="0.2">
      <c r="A1288" s="4">
        <v>28</v>
      </c>
      <c r="B1288" s="4">
        <v>0</v>
      </c>
      <c r="C1288" s="4">
        <v>17.29</v>
      </c>
      <c r="D1288" s="4">
        <v>0</v>
      </c>
      <c r="E1288" s="4">
        <v>0</v>
      </c>
      <c r="F1288" s="4">
        <v>1</v>
      </c>
      <c r="G1288" s="4">
        <v>3732.6251000000002</v>
      </c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</row>
    <row r="1289" spans="1:18" x14ac:dyDescent="0.2">
      <c r="A1289" s="4">
        <v>36</v>
      </c>
      <c r="B1289" s="4">
        <v>0</v>
      </c>
      <c r="C1289" s="4">
        <v>25.9</v>
      </c>
      <c r="D1289" s="4">
        <v>1</v>
      </c>
      <c r="E1289" s="4">
        <v>0</v>
      </c>
      <c r="F1289" s="4">
        <v>4</v>
      </c>
      <c r="G1289" s="4">
        <v>5472.4489999999996</v>
      </c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</row>
    <row r="1290" spans="1:18" x14ac:dyDescent="0.2">
      <c r="A1290" s="4">
        <v>20</v>
      </c>
      <c r="B1290" s="4">
        <v>1</v>
      </c>
      <c r="C1290" s="4">
        <v>39.4</v>
      </c>
      <c r="D1290" s="4">
        <v>2</v>
      </c>
      <c r="E1290" s="4">
        <v>1</v>
      </c>
      <c r="F1290" s="4">
        <v>4</v>
      </c>
      <c r="G1290" s="4">
        <v>38344.565999999999</v>
      </c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</row>
    <row r="1291" spans="1:18" x14ac:dyDescent="0.2">
      <c r="A1291" s="4">
        <v>44</v>
      </c>
      <c r="B1291" s="4">
        <v>1</v>
      </c>
      <c r="C1291" s="4">
        <v>34.32</v>
      </c>
      <c r="D1291" s="4">
        <v>1</v>
      </c>
      <c r="E1291" s="4">
        <v>0</v>
      </c>
      <c r="F1291" s="4">
        <v>2</v>
      </c>
      <c r="G1291" s="4">
        <v>7147.4727999999996</v>
      </c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</row>
    <row r="1292" spans="1:18" x14ac:dyDescent="0.2">
      <c r="A1292" s="4">
        <v>38</v>
      </c>
      <c r="B1292" s="4">
        <v>0</v>
      </c>
      <c r="C1292" s="4">
        <v>19.95</v>
      </c>
      <c r="D1292" s="4">
        <v>2</v>
      </c>
      <c r="E1292" s="4">
        <v>0</v>
      </c>
      <c r="F1292" s="4">
        <v>1</v>
      </c>
      <c r="G1292" s="4">
        <v>7133.9025000000001</v>
      </c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</row>
    <row r="1293" spans="1:18" x14ac:dyDescent="0.2">
      <c r="A1293" s="4">
        <v>19</v>
      </c>
      <c r="B1293" s="4">
        <v>1</v>
      </c>
      <c r="C1293" s="4">
        <v>34.9</v>
      </c>
      <c r="D1293" s="4">
        <v>0</v>
      </c>
      <c r="E1293" s="4">
        <v>1</v>
      </c>
      <c r="F1293" s="4">
        <v>4</v>
      </c>
      <c r="G1293" s="4">
        <v>34828.654000000002</v>
      </c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</row>
    <row r="1294" spans="1:18" x14ac:dyDescent="0.2">
      <c r="A1294" s="4">
        <v>21</v>
      </c>
      <c r="B1294" s="4">
        <v>1</v>
      </c>
      <c r="C1294" s="4">
        <v>23.21</v>
      </c>
      <c r="D1294" s="4">
        <v>0</v>
      </c>
      <c r="E1294" s="4">
        <v>0</v>
      </c>
      <c r="F1294" s="4">
        <v>2</v>
      </c>
      <c r="G1294" s="4">
        <v>1515.3449000000001</v>
      </c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</row>
    <row r="1295" spans="1:18" x14ac:dyDescent="0.2">
      <c r="A1295" s="4">
        <v>46</v>
      </c>
      <c r="B1295" s="4">
        <v>1</v>
      </c>
      <c r="C1295" s="4">
        <v>25.745000000000001</v>
      </c>
      <c r="D1295" s="4">
        <v>3</v>
      </c>
      <c r="E1295" s="4">
        <v>0</v>
      </c>
      <c r="F1295" s="4">
        <v>3</v>
      </c>
      <c r="G1295" s="4">
        <v>9301.8935500000007</v>
      </c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</row>
    <row r="1296" spans="1:18" x14ac:dyDescent="0.2">
      <c r="A1296" s="4">
        <v>58</v>
      </c>
      <c r="B1296" s="4">
        <v>1</v>
      </c>
      <c r="C1296" s="4">
        <v>25.175000000000001</v>
      </c>
      <c r="D1296" s="4">
        <v>0</v>
      </c>
      <c r="E1296" s="4">
        <v>0</v>
      </c>
      <c r="F1296" s="4">
        <v>1</v>
      </c>
      <c r="G1296" s="4">
        <v>11931.125249999999</v>
      </c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</row>
    <row r="1297" spans="1:18" x14ac:dyDescent="0.2">
      <c r="A1297" s="4">
        <v>20</v>
      </c>
      <c r="B1297" s="4">
        <v>1</v>
      </c>
      <c r="C1297" s="4">
        <v>22</v>
      </c>
      <c r="D1297" s="4">
        <v>1</v>
      </c>
      <c r="E1297" s="4">
        <v>0</v>
      </c>
      <c r="F1297" s="4">
        <v>4</v>
      </c>
      <c r="G1297" s="4">
        <v>1964.78</v>
      </c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</row>
    <row r="1298" spans="1:18" x14ac:dyDescent="0.2">
      <c r="A1298" s="4">
        <v>18</v>
      </c>
      <c r="B1298" s="4">
        <v>1</v>
      </c>
      <c r="C1298" s="4">
        <v>26.125</v>
      </c>
      <c r="D1298" s="4">
        <v>0</v>
      </c>
      <c r="E1298" s="4">
        <v>0</v>
      </c>
      <c r="F1298" s="4">
        <v>1</v>
      </c>
      <c r="G1298" s="4">
        <v>1708.9257500000001</v>
      </c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</row>
    <row r="1299" spans="1:18" x14ac:dyDescent="0.2">
      <c r="A1299" s="4">
        <v>28</v>
      </c>
      <c r="B1299" s="4">
        <v>0</v>
      </c>
      <c r="C1299" s="4">
        <v>26.51</v>
      </c>
      <c r="D1299" s="4">
        <v>2</v>
      </c>
      <c r="E1299" s="4">
        <v>0</v>
      </c>
      <c r="F1299" s="4">
        <v>2</v>
      </c>
      <c r="G1299" s="4">
        <v>4340.4408999999996</v>
      </c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</row>
    <row r="1300" spans="1:18" x14ac:dyDescent="0.2">
      <c r="A1300" s="4">
        <v>33</v>
      </c>
      <c r="B1300" s="4">
        <v>1</v>
      </c>
      <c r="C1300" s="4">
        <v>27.454999999999998</v>
      </c>
      <c r="D1300" s="4">
        <v>2</v>
      </c>
      <c r="E1300" s="4">
        <v>0</v>
      </c>
      <c r="F1300" s="4">
        <v>3</v>
      </c>
      <c r="G1300" s="4">
        <v>5261.4694499999996</v>
      </c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</row>
    <row r="1301" spans="1:18" x14ac:dyDescent="0.2">
      <c r="A1301" s="4">
        <v>19</v>
      </c>
      <c r="B1301" s="4">
        <v>0</v>
      </c>
      <c r="C1301" s="4">
        <v>25.745000000000001</v>
      </c>
      <c r="D1301" s="4">
        <v>1</v>
      </c>
      <c r="E1301" s="4">
        <v>0</v>
      </c>
      <c r="F1301" s="4">
        <v>3</v>
      </c>
      <c r="G1301" s="4">
        <v>2710.8285500000002</v>
      </c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</row>
    <row r="1302" spans="1:18" x14ac:dyDescent="0.2">
      <c r="A1302" s="4">
        <v>45</v>
      </c>
      <c r="B1302" s="4">
        <v>1</v>
      </c>
      <c r="C1302" s="4">
        <v>30.36</v>
      </c>
      <c r="D1302" s="4">
        <v>0</v>
      </c>
      <c r="E1302" s="4">
        <v>1</v>
      </c>
      <c r="F1302" s="4">
        <v>2</v>
      </c>
      <c r="G1302" s="4">
        <v>62592.873090000001</v>
      </c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</row>
    <row r="1303" spans="1:18" x14ac:dyDescent="0.2">
      <c r="A1303" s="4">
        <v>62</v>
      </c>
      <c r="B1303" s="4">
        <v>1</v>
      </c>
      <c r="C1303" s="4">
        <v>30.875</v>
      </c>
      <c r="D1303" s="4">
        <v>3</v>
      </c>
      <c r="E1303" s="4">
        <v>1</v>
      </c>
      <c r="F1303" s="4">
        <v>3</v>
      </c>
      <c r="G1303" s="4">
        <v>46718.163249999998</v>
      </c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</row>
    <row r="1304" spans="1:18" x14ac:dyDescent="0.2">
      <c r="A1304" s="4">
        <v>25</v>
      </c>
      <c r="B1304" s="4">
        <v>0</v>
      </c>
      <c r="C1304" s="4">
        <v>20.8</v>
      </c>
      <c r="D1304" s="4">
        <v>1</v>
      </c>
      <c r="E1304" s="4">
        <v>0</v>
      </c>
      <c r="F1304" s="4">
        <v>4</v>
      </c>
      <c r="G1304" s="4">
        <v>3208.7869999999998</v>
      </c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</row>
    <row r="1305" spans="1:18" x14ac:dyDescent="0.2">
      <c r="A1305" s="4">
        <v>43</v>
      </c>
      <c r="B1305" s="4">
        <v>1</v>
      </c>
      <c r="C1305" s="4">
        <v>27.8</v>
      </c>
      <c r="D1305" s="4">
        <v>0</v>
      </c>
      <c r="E1305" s="4">
        <v>1</v>
      </c>
      <c r="F1305" s="4">
        <v>4</v>
      </c>
      <c r="G1305" s="4">
        <v>37829.724199999997</v>
      </c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</row>
    <row r="1306" spans="1:18" x14ac:dyDescent="0.2">
      <c r="A1306" s="4">
        <v>42</v>
      </c>
      <c r="B1306" s="4">
        <v>1</v>
      </c>
      <c r="C1306" s="4">
        <v>24.605</v>
      </c>
      <c r="D1306" s="4">
        <v>2</v>
      </c>
      <c r="E1306" s="4">
        <v>1</v>
      </c>
      <c r="F1306" s="4">
        <v>1</v>
      </c>
      <c r="G1306" s="4">
        <v>21259.377949999998</v>
      </c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</row>
    <row r="1307" spans="1:18" x14ac:dyDescent="0.2">
      <c r="A1307" s="4">
        <v>24</v>
      </c>
      <c r="B1307" s="4">
        <v>0</v>
      </c>
      <c r="C1307" s="4">
        <v>27.72</v>
      </c>
      <c r="D1307" s="4">
        <v>0</v>
      </c>
      <c r="E1307" s="4">
        <v>0</v>
      </c>
      <c r="F1307" s="4">
        <v>2</v>
      </c>
      <c r="G1307" s="4">
        <v>2464.6188000000002</v>
      </c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</row>
    <row r="1308" spans="1:18" x14ac:dyDescent="0.2">
      <c r="A1308" s="4">
        <v>29</v>
      </c>
      <c r="B1308" s="4">
        <v>0</v>
      </c>
      <c r="C1308" s="4">
        <v>21.85</v>
      </c>
      <c r="D1308" s="4">
        <v>0</v>
      </c>
      <c r="E1308" s="4">
        <v>1</v>
      </c>
      <c r="F1308" s="4">
        <v>1</v>
      </c>
      <c r="G1308" s="4">
        <v>16115.3045</v>
      </c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</row>
    <row r="1309" spans="1:18" x14ac:dyDescent="0.2">
      <c r="A1309" s="4">
        <v>32</v>
      </c>
      <c r="B1309" s="4">
        <v>1</v>
      </c>
      <c r="C1309" s="4">
        <v>28.12</v>
      </c>
      <c r="D1309" s="4">
        <v>4</v>
      </c>
      <c r="E1309" s="4">
        <v>1</v>
      </c>
      <c r="F1309" s="4">
        <v>3</v>
      </c>
      <c r="G1309" s="4">
        <v>21472.478800000001</v>
      </c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</row>
    <row r="1310" spans="1:18" x14ac:dyDescent="0.2">
      <c r="A1310" s="4">
        <v>25</v>
      </c>
      <c r="B1310" s="4">
        <v>0</v>
      </c>
      <c r="C1310" s="4">
        <v>30.2</v>
      </c>
      <c r="D1310" s="4">
        <v>0</v>
      </c>
      <c r="E1310" s="4">
        <v>1</v>
      </c>
      <c r="F1310" s="4">
        <v>4</v>
      </c>
      <c r="G1310" s="4">
        <v>33900.652999999998</v>
      </c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</row>
    <row r="1311" spans="1:18" x14ac:dyDescent="0.2">
      <c r="A1311" s="4">
        <v>41</v>
      </c>
      <c r="B1311" s="4">
        <v>1</v>
      </c>
      <c r="C1311" s="4">
        <v>32.200000000000003</v>
      </c>
      <c r="D1311" s="4">
        <v>2</v>
      </c>
      <c r="E1311" s="4">
        <v>0</v>
      </c>
      <c r="F1311" s="4">
        <v>4</v>
      </c>
      <c r="G1311" s="4">
        <v>6875.9610000000002</v>
      </c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</row>
    <row r="1312" spans="1:18" x14ac:dyDescent="0.2">
      <c r="A1312" s="4">
        <v>42</v>
      </c>
      <c r="B1312" s="4">
        <v>1</v>
      </c>
      <c r="C1312" s="4">
        <v>26.315000000000001</v>
      </c>
      <c r="D1312" s="4">
        <v>1</v>
      </c>
      <c r="E1312" s="4">
        <v>0</v>
      </c>
      <c r="F1312" s="4">
        <v>3</v>
      </c>
      <c r="G1312" s="4">
        <v>6940.90985</v>
      </c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</row>
    <row r="1313" spans="1:18" x14ac:dyDescent="0.2">
      <c r="A1313" s="4">
        <v>33</v>
      </c>
      <c r="B1313" s="4">
        <v>0</v>
      </c>
      <c r="C1313" s="4">
        <v>26.695</v>
      </c>
      <c r="D1313" s="4">
        <v>0</v>
      </c>
      <c r="E1313" s="4">
        <v>0</v>
      </c>
      <c r="F1313" s="4">
        <v>3</v>
      </c>
      <c r="G1313" s="4">
        <v>4571.4130500000001</v>
      </c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</row>
    <row r="1314" spans="1:18" x14ac:dyDescent="0.2">
      <c r="A1314" s="4">
        <v>34</v>
      </c>
      <c r="B1314" s="4">
        <v>1</v>
      </c>
      <c r="C1314" s="4">
        <v>42.9</v>
      </c>
      <c r="D1314" s="4">
        <v>1</v>
      </c>
      <c r="E1314" s="4">
        <v>0</v>
      </c>
      <c r="F1314" s="4">
        <v>4</v>
      </c>
      <c r="G1314" s="4">
        <v>4536.259</v>
      </c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</row>
    <row r="1315" spans="1:18" x14ac:dyDescent="0.2">
      <c r="A1315" s="4">
        <v>19</v>
      </c>
      <c r="B1315" s="4">
        <v>0</v>
      </c>
      <c r="C1315" s="4">
        <v>34.700000000000003</v>
      </c>
      <c r="D1315" s="4">
        <v>2</v>
      </c>
      <c r="E1315" s="4">
        <v>1</v>
      </c>
      <c r="F1315" s="4">
        <v>4</v>
      </c>
      <c r="G1315" s="4">
        <v>36397.576000000001</v>
      </c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</row>
    <row r="1316" spans="1:18" x14ac:dyDescent="0.2">
      <c r="A1316" s="4">
        <v>30</v>
      </c>
      <c r="B1316" s="4">
        <v>0</v>
      </c>
      <c r="C1316" s="4">
        <v>23.655000000000001</v>
      </c>
      <c r="D1316" s="4">
        <v>3</v>
      </c>
      <c r="E1316" s="4">
        <v>1</v>
      </c>
      <c r="F1316" s="4">
        <v>3</v>
      </c>
      <c r="G1316" s="4">
        <v>18765.87545</v>
      </c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</row>
    <row r="1317" spans="1:18" x14ac:dyDescent="0.2">
      <c r="A1317" s="4">
        <v>18</v>
      </c>
      <c r="B1317" s="4">
        <v>1</v>
      </c>
      <c r="C1317" s="4">
        <v>28.31</v>
      </c>
      <c r="D1317" s="4">
        <v>1</v>
      </c>
      <c r="E1317" s="4">
        <v>0</v>
      </c>
      <c r="F1317" s="4">
        <v>1</v>
      </c>
      <c r="G1317" s="4">
        <v>11272.331389999999</v>
      </c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</row>
    <row r="1318" spans="1:18" x14ac:dyDescent="0.2">
      <c r="A1318" s="4">
        <v>19</v>
      </c>
      <c r="B1318" s="4">
        <v>0</v>
      </c>
      <c r="C1318" s="4">
        <v>20.6</v>
      </c>
      <c r="D1318" s="4">
        <v>0</v>
      </c>
      <c r="E1318" s="4">
        <v>0</v>
      </c>
      <c r="F1318" s="4">
        <v>4</v>
      </c>
      <c r="G1318" s="4">
        <v>1731.6769999999999</v>
      </c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</row>
    <row r="1319" spans="1:18" x14ac:dyDescent="0.2">
      <c r="A1319" s="4">
        <v>18</v>
      </c>
      <c r="B1319" s="4">
        <v>1</v>
      </c>
      <c r="C1319" s="4">
        <v>53.13</v>
      </c>
      <c r="D1319" s="4">
        <v>0</v>
      </c>
      <c r="E1319" s="4">
        <v>0</v>
      </c>
      <c r="F1319" s="4">
        <v>2</v>
      </c>
      <c r="G1319" s="4">
        <v>1163.4627</v>
      </c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</row>
    <row r="1320" spans="1:18" x14ac:dyDescent="0.2">
      <c r="A1320" s="4">
        <v>35</v>
      </c>
      <c r="B1320" s="4">
        <v>1</v>
      </c>
      <c r="C1320" s="4">
        <v>39.71</v>
      </c>
      <c r="D1320" s="4">
        <v>4</v>
      </c>
      <c r="E1320" s="4">
        <v>0</v>
      </c>
      <c r="F1320" s="4">
        <v>1</v>
      </c>
      <c r="G1320" s="4">
        <v>19496.71917</v>
      </c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</row>
    <row r="1321" spans="1:18" x14ac:dyDescent="0.2">
      <c r="A1321" s="4">
        <v>39</v>
      </c>
      <c r="B1321" s="4">
        <v>0</v>
      </c>
      <c r="C1321" s="4">
        <v>26.315000000000001</v>
      </c>
      <c r="D1321" s="4">
        <v>2</v>
      </c>
      <c r="E1321" s="4">
        <v>0</v>
      </c>
      <c r="F1321" s="4">
        <v>3</v>
      </c>
      <c r="G1321" s="4">
        <v>7201.7008500000002</v>
      </c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</row>
    <row r="1322" spans="1:18" x14ac:dyDescent="0.2">
      <c r="A1322" s="4">
        <v>31</v>
      </c>
      <c r="B1322" s="4">
        <v>1</v>
      </c>
      <c r="C1322" s="4">
        <v>31.065000000000001</v>
      </c>
      <c r="D1322" s="4">
        <v>3</v>
      </c>
      <c r="E1322" s="4">
        <v>0</v>
      </c>
      <c r="F1322" s="4">
        <v>3</v>
      </c>
      <c r="G1322" s="4">
        <v>5425.0233500000004</v>
      </c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</row>
    <row r="1323" spans="1:18" x14ac:dyDescent="0.2">
      <c r="A1323" s="4">
        <v>62</v>
      </c>
      <c r="B1323" s="4">
        <v>1</v>
      </c>
      <c r="C1323" s="4">
        <v>26.695</v>
      </c>
      <c r="D1323" s="4">
        <v>0</v>
      </c>
      <c r="E1323" s="4">
        <v>1</v>
      </c>
      <c r="F1323" s="4">
        <v>1</v>
      </c>
      <c r="G1323" s="4">
        <v>28101.333050000001</v>
      </c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</row>
    <row r="1324" spans="1:18" x14ac:dyDescent="0.2">
      <c r="A1324" s="4">
        <v>62</v>
      </c>
      <c r="B1324" s="4">
        <v>1</v>
      </c>
      <c r="C1324" s="4">
        <v>38.83</v>
      </c>
      <c r="D1324" s="4">
        <v>0</v>
      </c>
      <c r="E1324" s="4">
        <v>0</v>
      </c>
      <c r="F1324" s="4">
        <v>2</v>
      </c>
      <c r="G1324" s="4">
        <v>12981.3457</v>
      </c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</row>
    <row r="1325" spans="1:18" x14ac:dyDescent="0.2">
      <c r="A1325" s="4">
        <v>42</v>
      </c>
      <c r="B1325" s="4">
        <v>0</v>
      </c>
      <c r="C1325" s="4">
        <v>40.369999999999997</v>
      </c>
      <c r="D1325" s="4">
        <v>2</v>
      </c>
      <c r="E1325" s="4">
        <v>1</v>
      </c>
      <c r="F1325" s="4">
        <v>2</v>
      </c>
      <c r="G1325" s="4">
        <v>43896.376300000004</v>
      </c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</row>
    <row r="1326" spans="1:18" x14ac:dyDescent="0.2">
      <c r="A1326" s="4">
        <v>31</v>
      </c>
      <c r="B1326" s="4">
        <v>1</v>
      </c>
      <c r="C1326" s="4">
        <v>25.934999999999999</v>
      </c>
      <c r="D1326" s="4">
        <v>1</v>
      </c>
      <c r="E1326" s="4">
        <v>0</v>
      </c>
      <c r="F1326" s="4">
        <v>3</v>
      </c>
      <c r="G1326" s="4">
        <v>4239.8926499999998</v>
      </c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</row>
    <row r="1327" spans="1:18" x14ac:dyDescent="0.2">
      <c r="A1327" s="4">
        <v>61</v>
      </c>
      <c r="B1327" s="4">
        <v>1</v>
      </c>
      <c r="C1327" s="4">
        <v>33.534999999999997</v>
      </c>
      <c r="D1327" s="4">
        <v>0</v>
      </c>
      <c r="E1327" s="4">
        <v>0</v>
      </c>
      <c r="F1327" s="4">
        <v>1</v>
      </c>
      <c r="G1327" s="4">
        <v>13143.336649999999</v>
      </c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</row>
    <row r="1328" spans="1:18" x14ac:dyDescent="0.2">
      <c r="A1328" s="4">
        <v>42</v>
      </c>
      <c r="B1328" s="4">
        <v>0</v>
      </c>
      <c r="C1328" s="4">
        <v>32.869999999999997</v>
      </c>
      <c r="D1328" s="4">
        <v>0</v>
      </c>
      <c r="E1328" s="4">
        <v>0</v>
      </c>
      <c r="F1328" s="4">
        <v>1</v>
      </c>
      <c r="G1328" s="4">
        <v>7050.0213000000003</v>
      </c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</row>
    <row r="1329" spans="1:18" x14ac:dyDescent="0.2">
      <c r="A1329" s="4">
        <v>51</v>
      </c>
      <c r="B1329" s="4">
        <v>1</v>
      </c>
      <c r="C1329" s="4">
        <v>30.03</v>
      </c>
      <c r="D1329" s="4">
        <v>1</v>
      </c>
      <c r="E1329" s="4">
        <v>0</v>
      </c>
      <c r="F1329" s="4">
        <v>2</v>
      </c>
      <c r="G1329" s="4">
        <v>9377.9046999999991</v>
      </c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</row>
    <row r="1330" spans="1:18" x14ac:dyDescent="0.2">
      <c r="A1330" s="4">
        <v>23</v>
      </c>
      <c r="B1330" s="4">
        <v>0</v>
      </c>
      <c r="C1330" s="4">
        <v>24.225000000000001</v>
      </c>
      <c r="D1330" s="4">
        <v>2</v>
      </c>
      <c r="E1330" s="4">
        <v>0</v>
      </c>
      <c r="F1330" s="4">
        <v>1</v>
      </c>
      <c r="G1330" s="4">
        <v>22395.74424</v>
      </c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</row>
    <row r="1331" spans="1:18" x14ac:dyDescent="0.2">
      <c r="A1331" s="4">
        <v>52</v>
      </c>
      <c r="B1331" s="4">
        <v>1</v>
      </c>
      <c r="C1331" s="4">
        <v>38.6</v>
      </c>
      <c r="D1331" s="4">
        <v>2</v>
      </c>
      <c r="E1331" s="4">
        <v>0</v>
      </c>
      <c r="F1331" s="4">
        <v>4</v>
      </c>
      <c r="G1331" s="4">
        <v>10325.206</v>
      </c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</row>
    <row r="1332" spans="1:18" x14ac:dyDescent="0.2">
      <c r="A1332" s="4">
        <v>57</v>
      </c>
      <c r="B1332" s="4">
        <v>0</v>
      </c>
      <c r="C1332" s="4">
        <v>25.74</v>
      </c>
      <c r="D1332" s="4">
        <v>2</v>
      </c>
      <c r="E1332" s="4">
        <v>0</v>
      </c>
      <c r="F1332" s="4">
        <v>2</v>
      </c>
      <c r="G1332" s="4">
        <v>12629.1656</v>
      </c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</row>
    <row r="1333" spans="1:18" x14ac:dyDescent="0.2">
      <c r="A1333" s="4">
        <v>23</v>
      </c>
      <c r="B1333" s="4">
        <v>0</v>
      </c>
      <c r="C1333" s="4">
        <v>33.4</v>
      </c>
      <c r="D1333" s="4">
        <v>0</v>
      </c>
      <c r="E1333" s="4">
        <v>0</v>
      </c>
      <c r="F1333" s="4">
        <v>4</v>
      </c>
      <c r="G1333" s="4">
        <v>10795.937330000001</v>
      </c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</row>
    <row r="1334" spans="1:18" x14ac:dyDescent="0.2">
      <c r="A1334" s="4">
        <v>52</v>
      </c>
      <c r="B1334" s="4">
        <v>0</v>
      </c>
      <c r="C1334" s="4">
        <v>44.7</v>
      </c>
      <c r="D1334" s="4">
        <v>3</v>
      </c>
      <c r="E1334" s="4">
        <v>0</v>
      </c>
      <c r="F1334" s="4">
        <v>4</v>
      </c>
      <c r="G1334" s="4">
        <v>11411.684999999999</v>
      </c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</row>
    <row r="1335" spans="1:18" x14ac:dyDescent="0.2">
      <c r="A1335" s="4">
        <v>50</v>
      </c>
      <c r="B1335" s="4">
        <v>1</v>
      </c>
      <c r="C1335" s="4">
        <v>30.97</v>
      </c>
      <c r="D1335" s="4">
        <v>3</v>
      </c>
      <c r="E1335" s="4">
        <v>0</v>
      </c>
      <c r="F1335" s="4">
        <v>3</v>
      </c>
      <c r="G1335" s="4">
        <v>10600.5483</v>
      </c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</row>
    <row r="1336" spans="1:18" x14ac:dyDescent="0.2">
      <c r="A1336" s="4">
        <v>18</v>
      </c>
      <c r="B1336" s="4">
        <v>0</v>
      </c>
      <c r="C1336" s="4">
        <v>31.92</v>
      </c>
      <c r="D1336" s="4">
        <v>0</v>
      </c>
      <c r="E1336" s="4">
        <v>0</v>
      </c>
      <c r="F1336" s="4">
        <v>1</v>
      </c>
      <c r="G1336" s="4">
        <v>2205.9807999999998</v>
      </c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</row>
    <row r="1337" spans="1:18" x14ac:dyDescent="0.2">
      <c r="A1337" s="4">
        <v>18</v>
      </c>
      <c r="B1337" s="4">
        <v>0</v>
      </c>
      <c r="C1337" s="4">
        <v>36.85</v>
      </c>
      <c r="D1337" s="4">
        <v>0</v>
      </c>
      <c r="E1337" s="4">
        <v>0</v>
      </c>
      <c r="F1337" s="4">
        <v>2</v>
      </c>
      <c r="G1337" s="4">
        <v>1629.8335</v>
      </c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</row>
    <row r="1338" spans="1:18" x14ac:dyDescent="0.2">
      <c r="A1338" s="4">
        <v>21</v>
      </c>
      <c r="B1338" s="4">
        <v>0</v>
      </c>
      <c r="C1338" s="4">
        <v>25.8</v>
      </c>
      <c r="D1338" s="4">
        <v>0</v>
      </c>
      <c r="E1338" s="4">
        <v>0</v>
      </c>
      <c r="F1338" s="4">
        <v>4</v>
      </c>
      <c r="G1338" s="4">
        <v>2007.9449999999999</v>
      </c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</row>
    <row r="1339" spans="1:18" x14ac:dyDescent="0.2">
      <c r="A1339" s="4">
        <v>61</v>
      </c>
      <c r="B1339" s="4">
        <v>0</v>
      </c>
      <c r="C1339" s="4">
        <v>29.07</v>
      </c>
      <c r="D1339" s="4">
        <v>0</v>
      </c>
      <c r="E1339" s="4">
        <v>1</v>
      </c>
      <c r="F1339" s="4">
        <v>3</v>
      </c>
      <c r="G1339" s="4">
        <v>29141.3603</v>
      </c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117F9-24D2-7349-AD5B-F3AD30606041}">
  <dimension ref="A1:O550"/>
  <sheetViews>
    <sheetView zoomScale="112" workbookViewId="0">
      <selection sqref="A1:H38"/>
    </sheetView>
  </sheetViews>
  <sheetFormatPr baseColWidth="10" defaultRowHeight="15" x14ac:dyDescent="0.2"/>
  <cols>
    <col min="1" max="1" width="15" bestFit="1" customWidth="1"/>
    <col min="2" max="4" width="12.1640625" bestFit="1" customWidth="1"/>
    <col min="5" max="5" width="16.83203125" bestFit="1" customWidth="1"/>
    <col min="6" max="6" width="14.83203125" style="23" bestFit="1" customWidth="1"/>
    <col min="7" max="7" width="10.1640625" bestFit="1" customWidth="1"/>
    <col min="8" max="8" width="11.1640625" bestFit="1" customWidth="1"/>
    <col min="9" max="9" width="12.1640625" bestFit="1" customWidth="1"/>
    <col min="10" max="10" width="9.33203125" bestFit="1" customWidth="1"/>
    <col min="11" max="11" width="10" bestFit="1" customWidth="1"/>
    <col min="12" max="12" width="9.1640625" bestFit="1" customWidth="1"/>
    <col min="13" max="13" width="8.1640625" bestFit="1" customWidth="1"/>
    <col min="14" max="20" width="9.1640625" bestFit="1" customWidth="1"/>
    <col min="21" max="22" width="10.1640625" bestFit="1" customWidth="1"/>
    <col min="23" max="23" width="9.1640625" bestFit="1" customWidth="1"/>
    <col min="24" max="30" width="10.1640625" bestFit="1" customWidth="1"/>
    <col min="31" max="32" width="11.1640625" bestFit="1" customWidth="1"/>
    <col min="33" max="36" width="10.1640625" bestFit="1" customWidth="1"/>
    <col min="37" max="38" width="11.1640625" bestFit="1" customWidth="1"/>
    <col min="39" max="41" width="10.1640625" bestFit="1" customWidth="1"/>
    <col min="42" max="42" width="11.1640625" bestFit="1" customWidth="1"/>
    <col min="43" max="46" width="10.1640625" bestFit="1" customWidth="1"/>
    <col min="47" max="47" width="9.1640625" bestFit="1" customWidth="1"/>
    <col min="48" max="50" width="10.1640625" bestFit="1" customWidth="1"/>
    <col min="51" max="51" width="11.1640625" bestFit="1" customWidth="1"/>
    <col min="52" max="53" width="10.1640625" bestFit="1" customWidth="1"/>
    <col min="54" max="54" width="11.1640625" bestFit="1" customWidth="1"/>
    <col min="55" max="55" width="10.1640625" bestFit="1" customWidth="1"/>
    <col min="56" max="56" width="9.1640625" bestFit="1" customWidth="1"/>
    <col min="57" max="59" width="10.1640625" bestFit="1" customWidth="1"/>
    <col min="60" max="60" width="8.1640625" bestFit="1" customWidth="1"/>
    <col min="61" max="68" width="9.1640625" bestFit="1" customWidth="1"/>
    <col min="69" max="69" width="11.1640625" bestFit="1" customWidth="1"/>
    <col min="70" max="71" width="10.1640625" bestFit="1" customWidth="1"/>
    <col min="72" max="74" width="9.1640625" bestFit="1" customWidth="1"/>
    <col min="75" max="75" width="10.1640625" bestFit="1" customWidth="1"/>
    <col min="76" max="77" width="9.1640625" bestFit="1" customWidth="1"/>
    <col min="78" max="78" width="10.1640625" bestFit="1" customWidth="1"/>
    <col min="79" max="79" width="8.1640625" bestFit="1" customWidth="1"/>
    <col min="80" max="80" width="9.1640625" bestFit="1" customWidth="1"/>
    <col min="81" max="82" width="11.1640625" bestFit="1" customWidth="1"/>
    <col min="83" max="83" width="10.1640625" bestFit="1" customWidth="1"/>
    <col min="84" max="84" width="8.1640625" bestFit="1" customWidth="1"/>
    <col min="85" max="85" width="10.1640625" bestFit="1" customWidth="1"/>
    <col min="86" max="86" width="9.1640625" bestFit="1" customWidth="1"/>
    <col min="87" max="87" width="8.1640625" bestFit="1" customWidth="1"/>
    <col min="88" max="88" width="9.1640625" bestFit="1" customWidth="1"/>
    <col min="89" max="89" width="8.1640625" bestFit="1" customWidth="1"/>
    <col min="90" max="92" width="10.1640625" bestFit="1" customWidth="1"/>
    <col min="93" max="94" width="9.1640625" bestFit="1" customWidth="1"/>
    <col min="95" max="96" width="10.1640625" bestFit="1" customWidth="1"/>
    <col min="97" max="97" width="11.1640625" bestFit="1" customWidth="1"/>
    <col min="98" max="99" width="10.1640625" bestFit="1" customWidth="1"/>
    <col min="100" max="100" width="8.1640625" bestFit="1" customWidth="1"/>
    <col min="101" max="101" width="10.1640625" bestFit="1" customWidth="1"/>
    <col min="102" max="103" width="11.1640625" bestFit="1" customWidth="1"/>
    <col min="104" max="105" width="10.1640625" bestFit="1" customWidth="1"/>
    <col min="106" max="106" width="11.1640625" bestFit="1" customWidth="1"/>
    <col min="107" max="108" width="10.1640625" bestFit="1" customWidth="1"/>
    <col min="109" max="110" width="9.1640625" bestFit="1" customWidth="1"/>
    <col min="111" max="112" width="10.1640625" bestFit="1" customWidth="1"/>
    <col min="113" max="113" width="9.1640625" bestFit="1" customWidth="1"/>
    <col min="114" max="114" width="10.1640625" bestFit="1" customWidth="1"/>
    <col min="115" max="116" width="11.1640625" bestFit="1" customWidth="1"/>
    <col min="117" max="117" width="10.1640625" bestFit="1" customWidth="1"/>
    <col min="118" max="119" width="11.1640625" bestFit="1" customWidth="1"/>
    <col min="120" max="120" width="10.1640625" bestFit="1" customWidth="1"/>
    <col min="121" max="123" width="11.1640625" bestFit="1" customWidth="1"/>
    <col min="124" max="125" width="10.1640625" bestFit="1" customWidth="1"/>
    <col min="126" max="126" width="11.1640625" bestFit="1" customWidth="1"/>
    <col min="127" max="128" width="10.1640625" bestFit="1" customWidth="1"/>
    <col min="129" max="129" width="11.1640625" bestFit="1" customWidth="1"/>
    <col min="130" max="130" width="10.1640625" bestFit="1" customWidth="1"/>
    <col min="131" max="131" width="7.1640625" bestFit="1" customWidth="1"/>
    <col min="132" max="133" width="10.1640625" bestFit="1" customWidth="1"/>
    <col min="134" max="134" width="9.1640625" bestFit="1" customWidth="1"/>
    <col min="135" max="137" width="11.1640625" bestFit="1" customWidth="1"/>
    <col min="138" max="139" width="10.1640625" bestFit="1" customWidth="1"/>
    <col min="140" max="140" width="9.1640625" bestFit="1" customWidth="1"/>
    <col min="141" max="141" width="10.1640625" bestFit="1" customWidth="1"/>
    <col min="142" max="142" width="11.1640625" bestFit="1" customWidth="1"/>
    <col min="143" max="143" width="9.1640625" bestFit="1" customWidth="1"/>
    <col min="144" max="147" width="10.1640625" bestFit="1" customWidth="1"/>
    <col min="148" max="149" width="9.1640625" bestFit="1" customWidth="1"/>
    <col min="150" max="152" width="10.1640625" bestFit="1" customWidth="1"/>
    <col min="153" max="154" width="11.1640625" bestFit="1" customWidth="1"/>
    <col min="155" max="155" width="10.1640625" bestFit="1" customWidth="1"/>
    <col min="156" max="156" width="9.1640625" bestFit="1" customWidth="1"/>
    <col min="157" max="157" width="11.1640625" bestFit="1" customWidth="1"/>
    <col min="158" max="159" width="9.1640625" bestFit="1" customWidth="1"/>
    <col min="160" max="164" width="10.1640625" bestFit="1" customWidth="1"/>
    <col min="165" max="165" width="11.1640625" bestFit="1" customWidth="1"/>
    <col min="166" max="166" width="10.1640625" bestFit="1" customWidth="1"/>
    <col min="167" max="169" width="11.1640625" bestFit="1" customWidth="1"/>
    <col min="170" max="171" width="10.1640625" bestFit="1" customWidth="1"/>
    <col min="172" max="172" width="11.1640625" bestFit="1" customWidth="1"/>
    <col min="173" max="173" width="10.1640625" bestFit="1" customWidth="1"/>
    <col min="174" max="174" width="9.1640625" bestFit="1" customWidth="1"/>
    <col min="175" max="176" width="11.1640625" bestFit="1" customWidth="1"/>
    <col min="177" max="178" width="10.1640625" bestFit="1" customWidth="1"/>
    <col min="179" max="182" width="11.1640625" bestFit="1" customWidth="1"/>
    <col min="183" max="183" width="9.1640625" bestFit="1" customWidth="1"/>
    <col min="184" max="185" width="10.1640625" bestFit="1" customWidth="1"/>
    <col min="186" max="186" width="11.1640625" bestFit="1" customWidth="1"/>
    <col min="187" max="187" width="10.1640625" bestFit="1" customWidth="1"/>
    <col min="188" max="189" width="9.1640625" bestFit="1" customWidth="1"/>
    <col min="190" max="190" width="10.1640625" bestFit="1" customWidth="1"/>
    <col min="191" max="191" width="9.1640625" bestFit="1" customWidth="1"/>
    <col min="192" max="192" width="11.1640625" bestFit="1" customWidth="1"/>
    <col min="193" max="193" width="10.1640625" bestFit="1" customWidth="1"/>
    <col min="194" max="194" width="9.1640625" bestFit="1" customWidth="1"/>
    <col min="195" max="195" width="10.1640625" bestFit="1" customWidth="1"/>
    <col min="196" max="196" width="11.1640625" bestFit="1" customWidth="1"/>
    <col min="197" max="198" width="10.1640625" bestFit="1" customWidth="1"/>
    <col min="199" max="199" width="9.1640625" bestFit="1" customWidth="1"/>
    <col min="200" max="200" width="11.1640625" bestFit="1" customWidth="1"/>
    <col min="201" max="201" width="10.1640625" bestFit="1" customWidth="1"/>
    <col min="202" max="202" width="9.1640625" bestFit="1" customWidth="1"/>
    <col min="203" max="205" width="10.1640625" bestFit="1" customWidth="1"/>
    <col min="206" max="207" width="11.1640625" bestFit="1" customWidth="1"/>
    <col min="208" max="208" width="9.1640625" bestFit="1" customWidth="1"/>
    <col min="209" max="209" width="11.1640625" bestFit="1" customWidth="1"/>
    <col min="210" max="211" width="10.1640625" bestFit="1" customWidth="1"/>
    <col min="212" max="212" width="9.1640625" bestFit="1" customWidth="1"/>
    <col min="213" max="213" width="11.1640625" bestFit="1" customWidth="1"/>
    <col min="214" max="214" width="9.1640625" bestFit="1" customWidth="1"/>
    <col min="215" max="216" width="11.1640625" bestFit="1" customWidth="1"/>
    <col min="217" max="217" width="10.1640625" bestFit="1" customWidth="1"/>
    <col min="218" max="218" width="9.1640625" bestFit="1" customWidth="1"/>
    <col min="219" max="220" width="10.1640625" bestFit="1" customWidth="1"/>
    <col min="221" max="221" width="8.1640625" bestFit="1" customWidth="1"/>
    <col min="222" max="222" width="11.1640625" bestFit="1" customWidth="1"/>
    <col min="223" max="224" width="10.1640625" bestFit="1" customWidth="1"/>
    <col min="225" max="225" width="11.1640625" bestFit="1" customWidth="1"/>
    <col min="226" max="227" width="9.1640625" bestFit="1" customWidth="1"/>
    <col min="228" max="228" width="10.1640625" bestFit="1" customWidth="1"/>
    <col min="229" max="230" width="9.1640625" bestFit="1" customWidth="1"/>
    <col min="231" max="232" width="10.1640625" bestFit="1" customWidth="1"/>
    <col min="233" max="234" width="9.1640625" bestFit="1" customWidth="1"/>
    <col min="235" max="235" width="10.1640625" bestFit="1" customWidth="1"/>
    <col min="236" max="236" width="11.1640625" bestFit="1" customWidth="1"/>
    <col min="237" max="237" width="10.1640625" bestFit="1" customWidth="1"/>
    <col min="238" max="238" width="9.1640625" bestFit="1" customWidth="1"/>
    <col min="239" max="239" width="10.1640625" bestFit="1" customWidth="1"/>
    <col min="240" max="240" width="8.1640625" bestFit="1" customWidth="1"/>
    <col min="241" max="241" width="11.1640625" bestFit="1" customWidth="1"/>
    <col min="242" max="242" width="9.1640625" bestFit="1" customWidth="1"/>
    <col min="243" max="243" width="10.1640625" bestFit="1" customWidth="1"/>
    <col min="244" max="245" width="9.1640625" bestFit="1" customWidth="1"/>
    <col min="246" max="250" width="10.1640625" bestFit="1" customWidth="1"/>
    <col min="251" max="251" width="9.1640625" bestFit="1" customWidth="1"/>
    <col min="252" max="252" width="10.1640625" bestFit="1" customWidth="1"/>
    <col min="253" max="253" width="9.1640625" bestFit="1" customWidth="1"/>
    <col min="254" max="255" width="11.1640625" bestFit="1" customWidth="1"/>
    <col min="256" max="257" width="10.1640625" bestFit="1" customWidth="1"/>
    <col min="258" max="258" width="11.1640625" bestFit="1" customWidth="1"/>
    <col min="259" max="259" width="9.1640625" bestFit="1" customWidth="1"/>
    <col min="260" max="263" width="10.1640625" bestFit="1" customWidth="1"/>
    <col min="264" max="264" width="11.1640625" bestFit="1" customWidth="1"/>
    <col min="265" max="266" width="10.1640625" bestFit="1" customWidth="1"/>
    <col min="267" max="268" width="9.1640625" bestFit="1" customWidth="1"/>
    <col min="269" max="271" width="10.1640625" bestFit="1" customWidth="1"/>
    <col min="272" max="272" width="11.1640625" bestFit="1" customWidth="1"/>
    <col min="273" max="273" width="10.1640625" bestFit="1" customWidth="1"/>
    <col min="274" max="274" width="11.1640625" bestFit="1" customWidth="1"/>
    <col min="275" max="275" width="10.1640625" bestFit="1" customWidth="1"/>
    <col min="276" max="276" width="9.1640625" bestFit="1" customWidth="1"/>
    <col min="277" max="278" width="11.1640625" bestFit="1" customWidth="1"/>
    <col min="279" max="279" width="10.1640625" bestFit="1" customWidth="1"/>
    <col min="280" max="280" width="9.1640625" bestFit="1" customWidth="1"/>
    <col min="281" max="283" width="10.1640625" bestFit="1" customWidth="1"/>
    <col min="284" max="284" width="9.1640625" bestFit="1" customWidth="1"/>
    <col min="285" max="287" width="11.1640625" bestFit="1" customWidth="1"/>
    <col min="288" max="288" width="9.1640625" bestFit="1" customWidth="1"/>
    <col min="289" max="290" width="10.1640625" bestFit="1" customWidth="1"/>
    <col min="291" max="291" width="11.1640625" bestFit="1" customWidth="1"/>
    <col min="292" max="293" width="10.1640625" bestFit="1" customWidth="1"/>
    <col min="294" max="294" width="11.1640625" bestFit="1" customWidth="1"/>
    <col min="295" max="295" width="9.1640625" bestFit="1" customWidth="1"/>
    <col min="296" max="296" width="10.1640625" bestFit="1" customWidth="1"/>
    <col min="297" max="297" width="11.1640625" bestFit="1" customWidth="1"/>
    <col min="298" max="300" width="9.1640625" bestFit="1" customWidth="1"/>
    <col min="301" max="301" width="10.1640625" bestFit="1" customWidth="1"/>
    <col min="302" max="302" width="11.1640625" bestFit="1" customWidth="1"/>
    <col min="303" max="306" width="10.1640625" bestFit="1" customWidth="1"/>
    <col min="307" max="307" width="11.1640625" bestFit="1" customWidth="1"/>
    <col min="308" max="308" width="9.1640625" bestFit="1" customWidth="1"/>
    <col min="309" max="309" width="11.1640625" bestFit="1" customWidth="1"/>
    <col min="310" max="312" width="10.1640625" bestFit="1" customWidth="1"/>
    <col min="313" max="313" width="11.1640625" bestFit="1" customWidth="1"/>
    <col min="314" max="314" width="10.1640625" bestFit="1" customWidth="1"/>
    <col min="315" max="316" width="11.1640625" bestFit="1" customWidth="1"/>
    <col min="317" max="318" width="9.1640625" bestFit="1" customWidth="1"/>
    <col min="319" max="321" width="10.1640625" bestFit="1" customWidth="1"/>
    <col min="322" max="323" width="11.1640625" bestFit="1" customWidth="1"/>
    <col min="324" max="324" width="10.1640625" bestFit="1" customWidth="1"/>
    <col min="325" max="325" width="9.1640625" bestFit="1" customWidth="1"/>
    <col min="326" max="327" width="11.1640625" bestFit="1" customWidth="1"/>
    <col min="328" max="328" width="8.1640625" bestFit="1" customWidth="1"/>
    <col min="329" max="330" width="10.1640625" bestFit="1" customWidth="1"/>
    <col min="331" max="331" width="9.1640625" bestFit="1" customWidth="1"/>
    <col min="332" max="334" width="11.1640625" bestFit="1" customWidth="1"/>
    <col min="335" max="335" width="10.1640625" bestFit="1" customWidth="1"/>
    <col min="336" max="336" width="9.1640625" bestFit="1" customWidth="1"/>
    <col min="337" max="337" width="10.1640625" bestFit="1" customWidth="1"/>
    <col min="338" max="338" width="8.1640625" bestFit="1" customWidth="1"/>
    <col min="339" max="339" width="10.1640625" bestFit="1" customWidth="1"/>
    <col min="340" max="341" width="9.1640625" bestFit="1" customWidth="1"/>
    <col min="342" max="343" width="10.1640625" bestFit="1" customWidth="1"/>
    <col min="344" max="344" width="11.1640625" bestFit="1" customWidth="1"/>
    <col min="345" max="345" width="8.1640625" bestFit="1" customWidth="1"/>
    <col min="346" max="346" width="10.1640625" bestFit="1" customWidth="1"/>
    <col min="347" max="348" width="11.1640625" bestFit="1" customWidth="1"/>
    <col min="349" max="349" width="9.1640625" bestFit="1" customWidth="1"/>
    <col min="350" max="352" width="10.1640625" bestFit="1" customWidth="1"/>
    <col min="353" max="354" width="11.1640625" bestFit="1" customWidth="1"/>
    <col min="355" max="355" width="10.1640625" bestFit="1" customWidth="1"/>
    <col min="356" max="357" width="9.1640625" bestFit="1" customWidth="1"/>
    <col min="358" max="360" width="10.1640625" bestFit="1" customWidth="1"/>
    <col min="361" max="362" width="9.1640625" bestFit="1" customWidth="1"/>
    <col min="363" max="363" width="10.1640625" bestFit="1" customWidth="1"/>
    <col min="364" max="364" width="11.1640625" bestFit="1" customWidth="1"/>
    <col min="365" max="365" width="9.1640625" bestFit="1" customWidth="1"/>
    <col min="366" max="370" width="10.1640625" bestFit="1" customWidth="1"/>
    <col min="371" max="371" width="9.1640625" bestFit="1" customWidth="1"/>
    <col min="372" max="373" width="11.1640625" bestFit="1" customWidth="1"/>
    <col min="374" max="374" width="9.1640625" bestFit="1" customWidth="1"/>
    <col min="375" max="375" width="10.1640625" bestFit="1" customWidth="1"/>
    <col min="376" max="377" width="9.1640625" bestFit="1" customWidth="1"/>
    <col min="378" max="379" width="11.1640625" bestFit="1" customWidth="1"/>
    <col min="380" max="380" width="10.1640625" bestFit="1" customWidth="1"/>
    <col min="381" max="381" width="11.1640625" bestFit="1" customWidth="1"/>
    <col min="382" max="382" width="10.1640625" bestFit="1" customWidth="1"/>
    <col min="383" max="383" width="11.1640625" bestFit="1" customWidth="1"/>
    <col min="384" max="384" width="9.1640625" bestFit="1" customWidth="1"/>
    <col min="385" max="387" width="11.1640625" bestFit="1" customWidth="1"/>
    <col min="388" max="388" width="9.1640625" bestFit="1" customWidth="1"/>
    <col min="389" max="389" width="10.1640625" bestFit="1" customWidth="1"/>
    <col min="390" max="390" width="9.1640625" bestFit="1" customWidth="1"/>
    <col min="391" max="394" width="10.1640625" bestFit="1" customWidth="1"/>
    <col min="395" max="395" width="11.1640625" bestFit="1" customWidth="1"/>
    <col min="396" max="397" width="10.1640625" bestFit="1" customWidth="1"/>
    <col min="398" max="398" width="11.1640625" bestFit="1" customWidth="1"/>
    <col min="399" max="399" width="10.1640625" bestFit="1" customWidth="1"/>
    <col min="400" max="400" width="9.1640625" bestFit="1" customWidth="1"/>
    <col min="401" max="402" width="10.1640625" bestFit="1" customWidth="1"/>
    <col min="403" max="403" width="9.1640625" bestFit="1" customWidth="1"/>
    <col min="404" max="405" width="10.1640625" bestFit="1" customWidth="1"/>
    <col min="406" max="406" width="9.1640625" bestFit="1" customWidth="1"/>
    <col min="407" max="407" width="11.1640625" bestFit="1" customWidth="1"/>
    <col min="408" max="409" width="9.1640625" bestFit="1" customWidth="1"/>
    <col min="410" max="411" width="10.1640625" bestFit="1" customWidth="1"/>
    <col min="412" max="412" width="9.1640625" bestFit="1" customWidth="1"/>
    <col min="413" max="414" width="10.1640625" bestFit="1" customWidth="1"/>
    <col min="415" max="415" width="11.1640625" bestFit="1" customWidth="1"/>
    <col min="416" max="418" width="10.1640625" bestFit="1" customWidth="1"/>
    <col min="419" max="419" width="9.1640625" bestFit="1" customWidth="1"/>
    <col min="420" max="420" width="10.1640625" bestFit="1" customWidth="1"/>
    <col min="421" max="421" width="9.1640625" bestFit="1" customWidth="1"/>
    <col min="422" max="423" width="10.1640625" bestFit="1" customWidth="1"/>
    <col min="424" max="425" width="9.1640625" bestFit="1" customWidth="1"/>
    <col min="426" max="427" width="10.1640625" bestFit="1" customWidth="1"/>
    <col min="428" max="428" width="9.1640625" bestFit="1" customWidth="1"/>
    <col min="429" max="429" width="11.1640625" bestFit="1" customWidth="1"/>
    <col min="430" max="430" width="9.1640625" bestFit="1" customWidth="1"/>
    <col min="431" max="431" width="11.1640625" bestFit="1" customWidth="1"/>
    <col min="432" max="432" width="10.1640625" bestFit="1" customWidth="1"/>
    <col min="433" max="433" width="9.1640625" bestFit="1" customWidth="1"/>
    <col min="434" max="435" width="11.1640625" bestFit="1" customWidth="1"/>
    <col min="436" max="437" width="10.1640625" bestFit="1" customWidth="1"/>
    <col min="438" max="438" width="11.1640625" bestFit="1" customWidth="1"/>
    <col min="439" max="440" width="10.1640625" bestFit="1" customWidth="1"/>
    <col min="441" max="442" width="9.1640625" bestFit="1" customWidth="1"/>
    <col min="443" max="443" width="10.1640625" bestFit="1" customWidth="1"/>
    <col min="444" max="444" width="11.1640625" bestFit="1" customWidth="1"/>
    <col min="445" max="446" width="9.1640625" bestFit="1" customWidth="1"/>
    <col min="447" max="447" width="10.1640625" bestFit="1" customWidth="1"/>
    <col min="448" max="448" width="9.1640625" bestFit="1" customWidth="1"/>
    <col min="449" max="449" width="10.1640625" bestFit="1" customWidth="1"/>
    <col min="450" max="451" width="9.1640625" bestFit="1" customWidth="1"/>
    <col min="452" max="452" width="11.1640625" bestFit="1" customWidth="1"/>
    <col min="453" max="454" width="10.1640625" bestFit="1" customWidth="1"/>
    <col min="455" max="455" width="11.1640625" bestFit="1" customWidth="1"/>
    <col min="456" max="456" width="10.1640625" bestFit="1" customWidth="1"/>
    <col min="457" max="460" width="11.1640625" bestFit="1" customWidth="1"/>
    <col min="461" max="461" width="10.1640625" bestFit="1" customWidth="1"/>
    <col min="462" max="462" width="9.1640625" bestFit="1" customWidth="1"/>
    <col min="463" max="463" width="10.1640625" bestFit="1" customWidth="1"/>
    <col min="464" max="464" width="11.1640625" bestFit="1" customWidth="1"/>
    <col min="465" max="465" width="10.1640625" bestFit="1" customWidth="1"/>
    <col min="466" max="467" width="9.1640625" bestFit="1" customWidth="1"/>
    <col min="468" max="468" width="10.1640625" bestFit="1" customWidth="1"/>
    <col min="469" max="469" width="11.1640625" bestFit="1" customWidth="1"/>
    <col min="470" max="470" width="10.1640625" bestFit="1" customWidth="1"/>
    <col min="471" max="472" width="11.1640625" bestFit="1" customWidth="1"/>
    <col min="473" max="473" width="9.1640625" bestFit="1" customWidth="1"/>
    <col min="474" max="474" width="10.1640625" bestFit="1" customWidth="1"/>
    <col min="475" max="475" width="11.1640625" bestFit="1" customWidth="1"/>
    <col min="476" max="476" width="9.1640625" bestFit="1" customWidth="1"/>
    <col min="477" max="477" width="10.1640625" bestFit="1" customWidth="1"/>
    <col min="478" max="478" width="11.1640625" bestFit="1" customWidth="1"/>
    <col min="479" max="480" width="10.1640625" bestFit="1" customWidth="1"/>
    <col min="481" max="481" width="11.1640625" bestFit="1" customWidth="1"/>
    <col min="482" max="482" width="9.1640625" bestFit="1" customWidth="1"/>
    <col min="483" max="486" width="10.1640625" bestFit="1" customWidth="1"/>
    <col min="487" max="487" width="9.1640625" bestFit="1" customWidth="1"/>
    <col min="488" max="488" width="10.1640625" bestFit="1" customWidth="1"/>
    <col min="489" max="489" width="9.1640625" bestFit="1" customWidth="1"/>
    <col min="490" max="490" width="10.1640625" bestFit="1" customWidth="1"/>
    <col min="491" max="491" width="11.1640625" bestFit="1" customWidth="1"/>
    <col min="492" max="492" width="9.1640625" bestFit="1" customWidth="1"/>
    <col min="493" max="493" width="10.1640625" bestFit="1" customWidth="1"/>
    <col min="494" max="494" width="9.1640625" bestFit="1" customWidth="1"/>
    <col min="495" max="495" width="10.1640625" bestFit="1" customWidth="1"/>
    <col min="496" max="496" width="9.1640625" bestFit="1" customWidth="1"/>
    <col min="497" max="497" width="10.1640625" bestFit="1" customWidth="1"/>
    <col min="498" max="499" width="11.1640625" bestFit="1" customWidth="1"/>
    <col min="500" max="500" width="10.1640625" bestFit="1" customWidth="1"/>
    <col min="501" max="501" width="11.1640625" bestFit="1" customWidth="1"/>
    <col min="502" max="503" width="9.1640625" bestFit="1" customWidth="1"/>
    <col min="504" max="505" width="10.1640625" bestFit="1" customWidth="1"/>
    <col min="506" max="506" width="9.1640625" bestFit="1" customWidth="1"/>
    <col min="507" max="508" width="10.1640625" bestFit="1" customWidth="1"/>
    <col min="509" max="509" width="11.1640625" bestFit="1" customWidth="1"/>
    <col min="510" max="510" width="9.1640625" bestFit="1" customWidth="1"/>
    <col min="511" max="511" width="10.1640625" bestFit="1" customWidth="1"/>
    <col min="512" max="512" width="9.1640625" bestFit="1" customWidth="1"/>
    <col min="513" max="514" width="10.1640625" bestFit="1" customWidth="1"/>
    <col min="515" max="515" width="9.1640625" bestFit="1" customWidth="1"/>
    <col min="516" max="517" width="10.1640625" bestFit="1" customWidth="1"/>
    <col min="518" max="518" width="11.1640625" bestFit="1" customWidth="1"/>
    <col min="519" max="519" width="9.1640625" bestFit="1" customWidth="1"/>
    <col min="520" max="520" width="11.1640625" bestFit="1" customWidth="1"/>
    <col min="521" max="521" width="10.1640625" bestFit="1" customWidth="1"/>
    <col min="522" max="523" width="11.1640625" bestFit="1" customWidth="1"/>
    <col min="524" max="525" width="10.1640625" bestFit="1" customWidth="1"/>
    <col min="526" max="526" width="9.1640625" bestFit="1" customWidth="1"/>
    <col min="527" max="528" width="10.1640625" bestFit="1" customWidth="1"/>
    <col min="529" max="529" width="12.1640625" bestFit="1" customWidth="1"/>
    <col min="530" max="530" width="10.1640625" bestFit="1" customWidth="1"/>
    <col min="531" max="532" width="9.1640625" bestFit="1" customWidth="1"/>
    <col min="533" max="533" width="10.1640625" bestFit="1" customWidth="1"/>
    <col min="534" max="534" width="9.1640625" bestFit="1" customWidth="1"/>
    <col min="535" max="535" width="11.1640625" bestFit="1" customWidth="1"/>
    <col min="536" max="537" width="9.1640625" bestFit="1" customWidth="1"/>
    <col min="538" max="538" width="10.1640625" bestFit="1" customWidth="1"/>
    <col min="539" max="539" width="11.1640625" bestFit="1" customWidth="1"/>
    <col min="540" max="541" width="9.1640625" bestFit="1" customWidth="1"/>
    <col min="542" max="542" width="11.1640625" bestFit="1" customWidth="1"/>
    <col min="543" max="543" width="9.1640625" bestFit="1" customWidth="1"/>
    <col min="544" max="544" width="11.1640625" bestFit="1" customWidth="1"/>
    <col min="545" max="545" width="9.1640625" bestFit="1" customWidth="1"/>
    <col min="546" max="547" width="11.1640625" bestFit="1" customWidth="1"/>
    <col min="548" max="548" width="10.1640625" bestFit="1" customWidth="1"/>
    <col min="549" max="549" width="9.1640625" bestFit="1" customWidth="1"/>
    <col min="550" max="550" width="8.1640625" bestFit="1" customWidth="1"/>
    <col min="551" max="551" width="9.1640625" bestFit="1" customWidth="1"/>
    <col min="552" max="552" width="10.1640625" bestFit="1" customWidth="1"/>
    <col min="553" max="553" width="11.1640625" bestFit="1" customWidth="1"/>
    <col min="554" max="554" width="10.1640625" bestFit="1" customWidth="1"/>
    <col min="555" max="555" width="11.1640625" bestFit="1" customWidth="1"/>
    <col min="556" max="556" width="8.1640625" bestFit="1" customWidth="1"/>
    <col min="557" max="557" width="9.1640625" bestFit="1" customWidth="1"/>
    <col min="558" max="558" width="10.1640625" bestFit="1" customWidth="1"/>
    <col min="559" max="559" width="11.1640625" bestFit="1" customWidth="1"/>
    <col min="560" max="560" width="10.1640625" bestFit="1" customWidth="1"/>
    <col min="561" max="561" width="11.1640625" bestFit="1" customWidth="1"/>
    <col min="562" max="562" width="9.1640625" bestFit="1" customWidth="1"/>
    <col min="563" max="564" width="10.1640625" bestFit="1" customWidth="1"/>
    <col min="565" max="565" width="9.1640625" bestFit="1" customWidth="1"/>
    <col min="566" max="566" width="10.1640625" bestFit="1" customWidth="1"/>
    <col min="567" max="567" width="11.1640625" bestFit="1" customWidth="1"/>
    <col min="568" max="569" width="9.1640625" bestFit="1" customWidth="1"/>
    <col min="570" max="572" width="11.1640625" bestFit="1" customWidth="1"/>
    <col min="573" max="573" width="10.1640625" bestFit="1" customWidth="1"/>
    <col min="574" max="574" width="9.1640625" bestFit="1" customWidth="1"/>
    <col min="575" max="575" width="10.1640625" bestFit="1" customWidth="1"/>
    <col min="576" max="577" width="9.1640625" bestFit="1" customWidth="1"/>
    <col min="578" max="578" width="10.1640625" bestFit="1" customWidth="1"/>
    <col min="579" max="579" width="11.1640625" bestFit="1" customWidth="1"/>
    <col min="580" max="580" width="8.1640625" bestFit="1" customWidth="1"/>
    <col min="581" max="582" width="10.1640625" bestFit="1" customWidth="1"/>
    <col min="583" max="583" width="11.1640625" bestFit="1" customWidth="1"/>
    <col min="584" max="589" width="10.1640625" bestFit="1" customWidth="1"/>
    <col min="590" max="591" width="9.1640625" bestFit="1" customWidth="1"/>
    <col min="592" max="593" width="10.1640625" bestFit="1" customWidth="1"/>
    <col min="594" max="596" width="11.1640625" bestFit="1" customWidth="1"/>
    <col min="597" max="597" width="10.1640625" bestFit="1" customWidth="1"/>
    <col min="598" max="598" width="11.1640625" bestFit="1" customWidth="1"/>
    <col min="599" max="599" width="10.1640625" bestFit="1" customWidth="1"/>
    <col min="600" max="601" width="11.1640625" bestFit="1" customWidth="1"/>
    <col min="602" max="602" width="10.1640625" bestFit="1" customWidth="1"/>
    <col min="603" max="605" width="9.1640625" bestFit="1" customWidth="1"/>
    <col min="606" max="606" width="10.1640625" bestFit="1" customWidth="1"/>
    <col min="607" max="610" width="9.1640625" bestFit="1" customWidth="1"/>
    <col min="611" max="611" width="10.1640625" bestFit="1" customWidth="1"/>
    <col min="612" max="612" width="11.1640625" bestFit="1" customWidth="1"/>
    <col min="613" max="613" width="9.1640625" bestFit="1" customWidth="1"/>
    <col min="614" max="614" width="10.1640625" bestFit="1" customWidth="1"/>
    <col min="615" max="616" width="9.1640625" bestFit="1" customWidth="1"/>
    <col min="617" max="621" width="10.1640625" bestFit="1" customWidth="1"/>
    <col min="622" max="622" width="11.1640625" bestFit="1" customWidth="1"/>
    <col min="623" max="624" width="10.1640625" bestFit="1" customWidth="1"/>
    <col min="625" max="625" width="7.1640625" bestFit="1" customWidth="1"/>
    <col min="626" max="626" width="10.1640625" bestFit="1" customWidth="1"/>
    <col min="627" max="628" width="11.1640625" bestFit="1" customWidth="1"/>
    <col min="629" max="629" width="9.1640625" bestFit="1" customWidth="1"/>
    <col min="630" max="630" width="11.1640625" bestFit="1" customWidth="1"/>
    <col min="631" max="634" width="9.1640625" bestFit="1" customWidth="1"/>
    <col min="635" max="635" width="11.1640625" bestFit="1" customWidth="1"/>
    <col min="636" max="636" width="9.1640625" bestFit="1" customWidth="1"/>
    <col min="637" max="637" width="10.1640625" bestFit="1" customWidth="1"/>
    <col min="638" max="638" width="11.1640625" bestFit="1" customWidth="1"/>
    <col min="639" max="640" width="10.1640625" bestFit="1" customWidth="1"/>
    <col min="641" max="641" width="11.1640625" bestFit="1" customWidth="1"/>
    <col min="642" max="642" width="9.1640625" bestFit="1" customWidth="1"/>
    <col min="643" max="643" width="10.1640625" bestFit="1" customWidth="1"/>
    <col min="644" max="645" width="11.1640625" bestFit="1" customWidth="1"/>
    <col min="646" max="646" width="8.1640625" bestFit="1" customWidth="1"/>
    <col min="647" max="647" width="10.1640625" bestFit="1" customWidth="1"/>
    <col min="648" max="648" width="11.1640625" bestFit="1" customWidth="1"/>
    <col min="649" max="650" width="10.1640625" bestFit="1" customWidth="1"/>
    <col min="651" max="651" width="11.1640625" bestFit="1" customWidth="1"/>
    <col min="652" max="654" width="9.1640625" bestFit="1" customWidth="1"/>
    <col min="655" max="655" width="11.1640625" bestFit="1" customWidth="1"/>
    <col min="656" max="656" width="8.1640625" bestFit="1" customWidth="1"/>
    <col min="657" max="660" width="10.1640625" bestFit="1" customWidth="1"/>
    <col min="661" max="661" width="9.1640625" bestFit="1" customWidth="1"/>
    <col min="662" max="662" width="10.1640625" bestFit="1" customWidth="1"/>
    <col min="663" max="663" width="9.1640625" bestFit="1" customWidth="1"/>
    <col min="664" max="665" width="10.1640625" bestFit="1" customWidth="1"/>
    <col min="666" max="666" width="11.1640625" bestFit="1" customWidth="1"/>
    <col min="667" max="670" width="10.1640625" bestFit="1" customWidth="1"/>
    <col min="671" max="672" width="9.1640625" bestFit="1" customWidth="1"/>
    <col min="673" max="673" width="8.1640625" bestFit="1" customWidth="1"/>
    <col min="674" max="674" width="10.1640625" bestFit="1" customWidth="1"/>
    <col min="675" max="675" width="11.1640625" bestFit="1" customWidth="1"/>
    <col min="676" max="677" width="10.1640625" bestFit="1" customWidth="1"/>
    <col min="678" max="678" width="11.1640625" bestFit="1" customWidth="1"/>
    <col min="679" max="679" width="10.1640625" bestFit="1" customWidth="1"/>
    <col min="680" max="680" width="11.1640625" bestFit="1" customWidth="1"/>
    <col min="681" max="681" width="10.1640625" bestFit="1" customWidth="1"/>
    <col min="682" max="682" width="9.1640625" bestFit="1" customWidth="1"/>
    <col min="683" max="684" width="10.1640625" bestFit="1" customWidth="1"/>
    <col min="685" max="685" width="11.1640625" bestFit="1" customWidth="1"/>
    <col min="686" max="686" width="10.1640625" bestFit="1" customWidth="1"/>
    <col min="687" max="687" width="8.1640625" bestFit="1" customWidth="1"/>
    <col min="688" max="689" width="9.1640625" bestFit="1" customWidth="1"/>
    <col min="690" max="690" width="10.1640625" bestFit="1" customWidth="1"/>
    <col min="691" max="691" width="11.1640625" bestFit="1" customWidth="1"/>
    <col min="692" max="692" width="9.1640625" bestFit="1" customWidth="1"/>
    <col min="693" max="693" width="10.1640625" bestFit="1" customWidth="1"/>
    <col min="694" max="694" width="8.1640625" bestFit="1" customWidth="1"/>
    <col min="695" max="698" width="10.1640625" bestFit="1" customWidth="1"/>
    <col min="699" max="699" width="9.1640625" bestFit="1" customWidth="1"/>
    <col min="700" max="700" width="10.1640625" bestFit="1" customWidth="1"/>
    <col min="701" max="701" width="9.1640625" bestFit="1" customWidth="1"/>
    <col min="702" max="702" width="10.1640625" bestFit="1" customWidth="1"/>
    <col min="703" max="703" width="11.1640625" bestFit="1" customWidth="1"/>
    <col min="704" max="704" width="10.1640625" bestFit="1" customWidth="1"/>
    <col min="705" max="705" width="9.1640625" bestFit="1" customWidth="1"/>
    <col min="706" max="707" width="10.1640625" bestFit="1" customWidth="1"/>
    <col min="708" max="708" width="9.1640625" bestFit="1" customWidth="1"/>
    <col min="709" max="709" width="11.1640625" bestFit="1" customWidth="1"/>
    <col min="710" max="710" width="10.1640625" bestFit="1" customWidth="1"/>
    <col min="711" max="711" width="8.1640625" bestFit="1" customWidth="1"/>
    <col min="712" max="712" width="11.1640625" bestFit="1" customWidth="1"/>
    <col min="713" max="714" width="10.1640625" bestFit="1" customWidth="1"/>
    <col min="715" max="715" width="12.1640625" bestFit="1" customWidth="1"/>
    <col min="716" max="716" width="10.1640625" bestFit="1" customWidth="1"/>
    <col min="717" max="717" width="9.1640625" bestFit="1" customWidth="1"/>
    <col min="718" max="718" width="12.1640625" bestFit="1" customWidth="1"/>
    <col min="719" max="719" width="11.1640625" bestFit="1" customWidth="1"/>
    <col min="720" max="720" width="12.1640625" bestFit="1" customWidth="1"/>
    <col min="721" max="721" width="10.1640625" bestFit="1" customWidth="1"/>
    <col min="722" max="724" width="11.1640625" bestFit="1" customWidth="1"/>
    <col min="725" max="725" width="10.1640625" bestFit="1" customWidth="1"/>
    <col min="726" max="728" width="11.1640625" bestFit="1" customWidth="1"/>
    <col min="729" max="729" width="9.1640625" bestFit="1" customWidth="1"/>
    <col min="730" max="730" width="10.1640625" bestFit="1" customWidth="1"/>
    <col min="731" max="731" width="11.1640625" bestFit="1" customWidth="1"/>
    <col min="732" max="732" width="10.1640625" bestFit="1" customWidth="1"/>
    <col min="733" max="733" width="12.1640625" bestFit="1" customWidth="1"/>
    <col min="734" max="734" width="11.1640625" bestFit="1" customWidth="1"/>
    <col min="735" max="737" width="12.1640625" bestFit="1" customWidth="1"/>
    <col min="738" max="739" width="10.1640625" bestFit="1" customWidth="1"/>
    <col min="740" max="743" width="11.1640625" bestFit="1" customWidth="1"/>
    <col min="744" max="745" width="10.1640625" bestFit="1" customWidth="1"/>
    <col min="746" max="746" width="11.1640625" bestFit="1" customWidth="1"/>
    <col min="747" max="747" width="12.1640625" bestFit="1" customWidth="1"/>
    <col min="748" max="748" width="11.1640625" bestFit="1" customWidth="1"/>
    <col min="749" max="749" width="10.1640625" bestFit="1" customWidth="1"/>
    <col min="750" max="750" width="12.1640625" bestFit="1" customWidth="1"/>
    <col min="751" max="751" width="10.1640625" bestFit="1" customWidth="1"/>
    <col min="752" max="752" width="11.164062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1640625" bestFit="1" customWidth="1"/>
    <col min="757" max="758" width="12.1640625" bestFit="1" customWidth="1"/>
    <col min="759" max="759" width="11.1640625" bestFit="1" customWidth="1"/>
    <col min="760" max="760" width="10.1640625" bestFit="1" customWidth="1"/>
    <col min="761" max="764" width="11.1640625" bestFit="1" customWidth="1"/>
    <col min="765" max="765" width="10.1640625" bestFit="1" customWidth="1"/>
    <col min="766" max="766" width="12.1640625" bestFit="1" customWidth="1"/>
    <col min="767" max="767" width="9.1640625" bestFit="1" customWidth="1"/>
    <col min="768" max="768" width="11.1640625" bestFit="1" customWidth="1"/>
    <col min="769" max="769" width="10.1640625" bestFit="1" customWidth="1"/>
    <col min="770" max="770" width="12.1640625" bestFit="1" customWidth="1"/>
    <col min="771" max="775" width="11.1640625" bestFit="1" customWidth="1"/>
    <col min="776" max="777" width="10.1640625" bestFit="1" customWidth="1"/>
    <col min="778" max="781" width="11.1640625" bestFit="1" customWidth="1"/>
    <col min="782" max="782" width="9.1640625" bestFit="1" customWidth="1"/>
    <col min="783" max="783" width="10.1640625" bestFit="1" customWidth="1"/>
    <col min="784" max="784" width="12.1640625" bestFit="1" customWidth="1"/>
    <col min="785" max="786" width="11.1640625" bestFit="1" customWidth="1"/>
    <col min="787" max="788" width="10.1640625" bestFit="1" customWidth="1"/>
    <col min="789" max="789" width="12.1640625" bestFit="1" customWidth="1"/>
    <col min="790" max="790" width="11.1640625" bestFit="1" customWidth="1"/>
    <col min="791" max="791" width="12.1640625" bestFit="1" customWidth="1"/>
    <col min="792" max="792" width="10.1640625" bestFit="1" customWidth="1"/>
    <col min="793" max="794" width="12.1640625" bestFit="1" customWidth="1"/>
    <col min="795" max="795" width="10.1640625" bestFit="1" customWidth="1"/>
    <col min="796" max="797" width="11.1640625" bestFit="1" customWidth="1"/>
    <col min="798" max="798" width="10.1640625" bestFit="1" customWidth="1"/>
    <col min="799" max="799" width="11.1640625" bestFit="1" customWidth="1"/>
    <col min="800" max="800" width="10.1640625" bestFit="1" customWidth="1"/>
    <col min="801" max="801" width="11.1640625" bestFit="1" customWidth="1"/>
    <col min="802" max="802" width="12.1640625" bestFit="1" customWidth="1"/>
    <col min="803" max="803" width="11.1640625" bestFit="1" customWidth="1"/>
    <col min="804" max="804" width="10.1640625" bestFit="1" customWidth="1"/>
    <col min="805" max="805" width="12.1640625" bestFit="1" customWidth="1"/>
    <col min="806" max="806" width="11.1640625" bestFit="1" customWidth="1"/>
    <col min="807" max="807" width="9.1640625" bestFit="1" customWidth="1"/>
    <col min="808" max="809" width="12.1640625" bestFit="1" customWidth="1"/>
    <col min="810" max="810" width="10.1640625" bestFit="1" customWidth="1"/>
    <col min="811" max="812" width="12.1640625" bestFit="1" customWidth="1"/>
    <col min="813" max="814" width="10.1640625" bestFit="1" customWidth="1"/>
    <col min="815" max="815" width="11.1640625" bestFit="1" customWidth="1"/>
    <col min="816" max="816" width="12.1640625" bestFit="1" customWidth="1"/>
    <col min="817" max="817" width="9.1640625" bestFit="1" customWidth="1"/>
    <col min="818" max="818" width="11.1640625" bestFit="1" customWidth="1"/>
    <col min="819" max="820" width="12.1640625" bestFit="1" customWidth="1"/>
    <col min="821" max="821" width="9.1640625" bestFit="1" customWidth="1"/>
    <col min="822" max="822" width="11.1640625" bestFit="1" customWidth="1"/>
    <col min="823" max="824" width="12.1640625" bestFit="1" customWidth="1"/>
    <col min="825" max="826" width="10.1640625" bestFit="1" customWidth="1"/>
    <col min="827" max="830" width="11.1640625" bestFit="1" customWidth="1"/>
    <col min="831" max="831" width="9.1640625" bestFit="1" customWidth="1"/>
    <col min="832" max="832" width="12.1640625" bestFit="1" customWidth="1"/>
    <col min="833" max="833" width="10.1640625" bestFit="1" customWidth="1"/>
    <col min="834" max="834" width="12.1640625" bestFit="1" customWidth="1"/>
    <col min="835" max="835" width="10.1640625" bestFit="1" customWidth="1"/>
    <col min="836" max="836" width="11.1640625" bestFit="1" customWidth="1"/>
    <col min="837" max="837" width="12.1640625" bestFit="1" customWidth="1"/>
    <col min="838" max="838" width="10.1640625" bestFit="1" customWidth="1"/>
    <col min="839" max="839" width="11.1640625" bestFit="1" customWidth="1"/>
    <col min="840" max="843" width="12.1640625" bestFit="1" customWidth="1"/>
    <col min="844" max="847" width="11.1640625" bestFit="1" customWidth="1"/>
    <col min="848" max="850" width="10.1640625" bestFit="1" customWidth="1"/>
    <col min="851" max="851" width="11.1640625" bestFit="1" customWidth="1"/>
    <col min="852" max="852" width="9.1640625" bestFit="1" customWidth="1"/>
    <col min="853" max="853" width="11.1640625" bestFit="1" customWidth="1"/>
    <col min="854" max="854" width="12.1640625" bestFit="1" customWidth="1"/>
    <col min="855" max="855" width="11.1640625" bestFit="1" customWidth="1"/>
    <col min="856" max="856" width="10.1640625" bestFit="1" customWidth="1"/>
    <col min="857" max="857" width="11.1640625" bestFit="1" customWidth="1"/>
    <col min="858" max="858" width="12.1640625" bestFit="1" customWidth="1"/>
    <col min="859" max="859" width="11.1640625" bestFit="1" customWidth="1"/>
    <col min="860" max="860" width="10.1640625" bestFit="1" customWidth="1"/>
    <col min="861" max="861" width="11.1640625" bestFit="1" customWidth="1"/>
    <col min="862" max="862" width="10.1640625" bestFit="1" customWidth="1"/>
    <col min="863" max="863" width="11.1640625" bestFit="1" customWidth="1"/>
    <col min="864" max="865" width="12.1640625" bestFit="1" customWidth="1"/>
    <col min="866" max="869" width="10.1640625" bestFit="1" customWidth="1"/>
    <col min="870" max="870" width="11.1640625" bestFit="1" customWidth="1"/>
    <col min="871" max="871" width="12.1640625" bestFit="1" customWidth="1"/>
    <col min="872" max="872" width="11.1640625" bestFit="1" customWidth="1"/>
    <col min="873" max="873" width="12.1640625" bestFit="1" customWidth="1"/>
    <col min="874" max="874" width="11.1640625" bestFit="1" customWidth="1"/>
    <col min="875" max="875" width="12.1640625" bestFit="1" customWidth="1"/>
    <col min="876" max="877" width="11.1640625" bestFit="1" customWidth="1"/>
    <col min="878" max="878" width="10.1640625" bestFit="1" customWidth="1"/>
    <col min="879" max="879" width="11.1640625" bestFit="1" customWidth="1"/>
    <col min="880" max="880" width="12.1640625" bestFit="1" customWidth="1"/>
    <col min="881" max="883" width="11.1640625" bestFit="1" customWidth="1"/>
    <col min="884" max="884" width="10.1640625" bestFit="1" customWidth="1"/>
    <col min="885" max="885" width="11.1640625" bestFit="1" customWidth="1"/>
    <col min="886" max="887" width="10.1640625" bestFit="1" customWidth="1"/>
    <col min="888" max="889" width="11.1640625" bestFit="1" customWidth="1"/>
    <col min="890" max="893" width="12.1640625" bestFit="1" customWidth="1"/>
    <col min="894" max="894" width="11.1640625" bestFit="1" customWidth="1"/>
    <col min="895" max="895" width="10.1640625" bestFit="1" customWidth="1"/>
    <col min="896" max="898" width="11.1640625" bestFit="1" customWidth="1"/>
    <col min="899" max="900" width="10.1640625" bestFit="1" customWidth="1"/>
    <col min="901" max="902" width="11.1640625" bestFit="1" customWidth="1"/>
    <col min="903" max="904" width="12.1640625" bestFit="1" customWidth="1"/>
    <col min="905" max="905" width="10.1640625" bestFit="1" customWidth="1"/>
    <col min="906" max="906" width="12.1640625" bestFit="1" customWidth="1"/>
    <col min="907" max="907" width="10.1640625" bestFit="1" customWidth="1"/>
    <col min="908" max="908" width="11.1640625" bestFit="1" customWidth="1"/>
    <col min="909" max="913" width="12.1640625" bestFit="1" customWidth="1"/>
    <col min="914" max="914" width="11.1640625" bestFit="1" customWidth="1"/>
    <col min="915" max="915" width="12.1640625" bestFit="1" customWidth="1"/>
    <col min="916" max="916" width="10.1640625" bestFit="1" customWidth="1"/>
    <col min="917" max="917" width="12.1640625" bestFit="1" customWidth="1"/>
    <col min="918" max="918" width="11.1640625" bestFit="1" customWidth="1"/>
    <col min="919" max="920" width="10.1640625" bestFit="1" customWidth="1"/>
    <col min="921" max="923" width="11.1640625" bestFit="1" customWidth="1"/>
    <col min="924" max="925" width="10.1640625" bestFit="1" customWidth="1"/>
    <col min="926" max="926" width="11.1640625" bestFit="1" customWidth="1"/>
    <col min="927" max="927" width="9.1640625" bestFit="1" customWidth="1"/>
    <col min="928" max="928" width="11.1640625" bestFit="1" customWidth="1"/>
    <col min="929" max="929" width="9.1640625" bestFit="1" customWidth="1"/>
    <col min="930" max="930" width="11.1640625" bestFit="1" customWidth="1"/>
    <col min="931" max="931" width="12.1640625" bestFit="1" customWidth="1"/>
    <col min="932" max="933" width="11.1640625" bestFit="1" customWidth="1"/>
    <col min="934" max="934" width="12.1640625" bestFit="1" customWidth="1"/>
    <col min="935" max="935" width="11.1640625" bestFit="1" customWidth="1"/>
    <col min="936" max="936" width="10.1640625" bestFit="1" customWidth="1"/>
    <col min="937" max="938" width="11.1640625" bestFit="1" customWidth="1"/>
    <col min="939" max="940" width="10.1640625" bestFit="1" customWidth="1"/>
    <col min="941" max="943" width="11.1640625" bestFit="1" customWidth="1"/>
    <col min="944" max="945" width="12.1640625" bestFit="1" customWidth="1"/>
    <col min="946" max="947" width="11.1640625" bestFit="1" customWidth="1"/>
    <col min="948" max="948" width="10.1640625" bestFit="1" customWidth="1"/>
    <col min="949" max="949" width="11.1640625" bestFit="1" customWidth="1"/>
    <col min="950" max="950" width="9.1640625" bestFit="1" customWidth="1"/>
    <col min="951" max="952" width="12.1640625" bestFit="1" customWidth="1"/>
    <col min="953" max="953" width="10.1640625" bestFit="1" customWidth="1"/>
    <col min="954" max="956" width="11.1640625" bestFit="1" customWidth="1"/>
    <col min="957" max="957" width="10.1640625" bestFit="1" customWidth="1"/>
    <col min="958" max="958" width="11.1640625" bestFit="1" customWidth="1"/>
    <col min="959" max="961" width="12.1640625" bestFit="1" customWidth="1"/>
    <col min="962" max="964" width="11.1640625" bestFit="1" customWidth="1"/>
    <col min="965" max="965" width="12.1640625" bestFit="1" customWidth="1"/>
    <col min="966" max="966" width="11.1640625" bestFit="1" customWidth="1"/>
    <col min="967" max="967" width="12.1640625" bestFit="1" customWidth="1"/>
    <col min="968" max="968" width="10.1640625" bestFit="1" customWidth="1"/>
    <col min="969" max="971" width="12.1640625" bestFit="1" customWidth="1"/>
    <col min="972" max="972" width="11.1640625" bestFit="1" customWidth="1"/>
    <col min="973" max="973" width="10.1640625" bestFit="1" customWidth="1"/>
    <col min="974" max="974" width="12.1640625" bestFit="1" customWidth="1"/>
    <col min="975" max="975" width="11.1640625" bestFit="1" customWidth="1"/>
    <col min="976" max="976" width="10.1640625" bestFit="1" customWidth="1"/>
    <col min="977" max="981" width="12.1640625" bestFit="1" customWidth="1"/>
    <col min="982" max="982" width="11.1640625" bestFit="1" customWidth="1"/>
    <col min="983" max="989" width="12.1640625" bestFit="1" customWidth="1"/>
    <col min="990" max="990" width="10.1640625" bestFit="1" customWidth="1"/>
    <col min="991" max="991" width="12.1640625" bestFit="1" customWidth="1"/>
    <col min="992" max="992" width="11.1640625" bestFit="1" customWidth="1"/>
    <col min="993" max="999" width="12.1640625" bestFit="1" customWidth="1"/>
    <col min="1000" max="1000" width="11.1640625" bestFit="1" customWidth="1"/>
    <col min="1001" max="1012" width="12.1640625" bestFit="1" customWidth="1"/>
    <col min="1013" max="1013" width="11.1640625" bestFit="1" customWidth="1"/>
    <col min="1014" max="1014" width="12.1640625" bestFit="1" customWidth="1"/>
    <col min="1015" max="1015" width="11.1640625" bestFit="1" customWidth="1"/>
    <col min="1016" max="1022" width="12.1640625" bestFit="1" customWidth="1"/>
    <col min="1023" max="1023" width="11.1640625" bestFit="1" customWidth="1"/>
    <col min="1024" max="1037" width="12.1640625" bestFit="1" customWidth="1"/>
    <col min="1038" max="1038" width="11.1640625" bestFit="1" customWidth="1"/>
    <col min="1039" max="1064" width="12.1640625" bestFit="1" customWidth="1"/>
    <col min="1065" max="1065" width="7.33203125" bestFit="1" customWidth="1"/>
    <col min="1066" max="1066" width="11.1640625" bestFit="1" customWidth="1"/>
    <col min="1067" max="1067" width="12.1640625" bestFit="1" customWidth="1"/>
    <col min="1068" max="1068" width="10.1640625" bestFit="1" customWidth="1"/>
    <col min="1069" max="1069" width="11.1640625" bestFit="1" customWidth="1"/>
    <col min="1070" max="1070" width="12.1640625" bestFit="1" customWidth="1"/>
    <col min="1071" max="1072" width="11.1640625" bestFit="1" customWidth="1"/>
    <col min="1073" max="1073" width="12.1640625" bestFit="1" customWidth="1"/>
    <col min="1074" max="1074" width="11.1640625" bestFit="1" customWidth="1"/>
    <col min="1075" max="1075" width="12.1640625" bestFit="1" customWidth="1"/>
    <col min="1076" max="1076" width="11.1640625" bestFit="1" customWidth="1"/>
    <col min="1077" max="1077" width="10.1640625" bestFit="1" customWidth="1"/>
    <col min="1078" max="1078" width="11.1640625" bestFit="1" customWidth="1"/>
    <col min="1079" max="1079" width="12.1640625" bestFit="1" customWidth="1"/>
    <col min="1080" max="1081" width="10.1640625" bestFit="1" customWidth="1"/>
    <col min="1082" max="1082" width="12.1640625" bestFit="1" customWidth="1"/>
    <col min="1083" max="1084" width="11.1640625" bestFit="1" customWidth="1"/>
    <col min="1085" max="1086" width="12.1640625" bestFit="1" customWidth="1"/>
    <col min="1087" max="1087" width="10.1640625" bestFit="1" customWidth="1"/>
    <col min="1088" max="1088" width="11.1640625" bestFit="1" customWidth="1"/>
    <col min="1089" max="1089" width="9.1640625" bestFit="1" customWidth="1"/>
    <col min="1090" max="1091" width="11.1640625" bestFit="1" customWidth="1"/>
    <col min="1092" max="1092" width="10.1640625" bestFit="1" customWidth="1"/>
    <col min="1093" max="1095" width="11.1640625" bestFit="1" customWidth="1"/>
    <col min="1096" max="1096" width="10.1640625" bestFit="1" customWidth="1"/>
    <col min="1097" max="1097" width="12.1640625" bestFit="1" customWidth="1"/>
    <col min="1098" max="1099" width="11.1640625" bestFit="1" customWidth="1"/>
    <col min="1100" max="1100" width="12.1640625" bestFit="1" customWidth="1"/>
    <col min="1101" max="1101" width="10.1640625" bestFit="1" customWidth="1"/>
    <col min="1102" max="1104" width="11.1640625" bestFit="1" customWidth="1"/>
    <col min="1105" max="1106" width="10.1640625" bestFit="1" customWidth="1"/>
    <col min="1107" max="1107" width="11.1640625" bestFit="1" customWidth="1"/>
    <col min="1108" max="1108" width="10.1640625" bestFit="1" customWidth="1"/>
    <col min="1109" max="1109" width="11.1640625" bestFit="1" customWidth="1"/>
    <col min="1110" max="1110" width="12.1640625" bestFit="1" customWidth="1"/>
    <col min="1111" max="1111" width="11.1640625" bestFit="1" customWidth="1"/>
    <col min="1112" max="1112" width="10.1640625" bestFit="1" customWidth="1"/>
    <col min="1113" max="1113" width="9.1640625" bestFit="1" customWidth="1"/>
    <col min="1114" max="1114" width="10.1640625" bestFit="1" customWidth="1"/>
    <col min="1115" max="1115" width="11.1640625" bestFit="1" customWidth="1"/>
    <col min="1116" max="1116" width="10.1640625" bestFit="1" customWidth="1"/>
    <col min="1117" max="1121" width="11.1640625" bestFit="1" customWidth="1"/>
    <col min="1122" max="1122" width="10.1640625" bestFit="1" customWidth="1"/>
    <col min="1123" max="1123" width="12.1640625" bestFit="1" customWidth="1"/>
    <col min="1124" max="1124" width="11.1640625" bestFit="1" customWidth="1"/>
    <col min="1125" max="1125" width="12.1640625" bestFit="1" customWidth="1"/>
    <col min="1126" max="1126" width="10.1640625" bestFit="1" customWidth="1"/>
    <col min="1127" max="1127" width="11.1640625" bestFit="1" customWidth="1"/>
    <col min="1128" max="1128" width="12.1640625" bestFit="1" customWidth="1"/>
    <col min="1129" max="1129" width="11.1640625" bestFit="1" customWidth="1"/>
    <col min="1130" max="1132" width="12.1640625" bestFit="1" customWidth="1"/>
    <col min="1133" max="1133" width="11.1640625" bestFit="1" customWidth="1"/>
    <col min="1134" max="1134" width="12.1640625" bestFit="1" customWidth="1"/>
    <col min="1135" max="1135" width="11.1640625" bestFit="1" customWidth="1"/>
    <col min="1136" max="1136" width="9.1640625" bestFit="1" customWidth="1"/>
    <col min="1137" max="1137" width="12.1640625" bestFit="1" customWidth="1"/>
    <col min="1138" max="1138" width="10.1640625" bestFit="1" customWidth="1"/>
    <col min="1139" max="1139" width="11.1640625" bestFit="1" customWidth="1"/>
    <col min="1140" max="1140" width="12.1640625" bestFit="1" customWidth="1"/>
    <col min="1141" max="1141" width="10.1640625" bestFit="1" customWidth="1"/>
    <col min="1142" max="1143" width="11.1640625" bestFit="1" customWidth="1"/>
    <col min="1144" max="1144" width="12.1640625" bestFit="1" customWidth="1"/>
    <col min="1145" max="1145" width="11.1640625" bestFit="1" customWidth="1"/>
    <col min="1146" max="1146" width="12.1640625" bestFit="1" customWidth="1"/>
    <col min="1147" max="1147" width="9.1640625" bestFit="1" customWidth="1"/>
    <col min="1148" max="1148" width="11.1640625" bestFit="1" customWidth="1"/>
    <col min="1149" max="1149" width="10.1640625" bestFit="1" customWidth="1"/>
    <col min="1150" max="1152" width="11.1640625" bestFit="1" customWidth="1"/>
    <col min="1153" max="1153" width="12.1640625" bestFit="1" customWidth="1"/>
    <col min="1154" max="1154" width="8.1640625" bestFit="1" customWidth="1"/>
    <col min="1155" max="1156" width="11.1640625" bestFit="1" customWidth="1"/>
    <col min="1157" max="1157" width="10.1640625" bestFit="1" customWidth="1"/>
    <col min="1158" max="1158" width="12.1640625" bestFit="1" customWidth="1"/>
    <col min="1159" max="1159" width="10.1640625" bestFit="1" customWidth="1"/>
    <col min="1160" max="1161" width="11.1640625" bestFit="1" customWidth="1"/>
    <col min="1162" max="1163" width="12.1640625" bestFit="1" customWidth="1"/>
    <col min="1164" max="1165" width="11.1640625" bestFit="1" customWidth="1"/>
    <col min="1166" max="1166" width="10.1640625" bestFit="1" customWidth="1"/>
    <col min="1167" max="1167" width="12.1640625" bestFit="1" customWidth="1"/>
    <col min="1168" max="1168" width="10.1640625" bestFit="1" customWidth="1"/>
    <col min="1169" max="1170" width="11.1640625" bestFit="1" customWidth="1"/>
    <col min="1171" max="1171" width="12.1640625" bestFit="1" customWidth="1"/>
    <col min="1172" max="1173" width="10.1640625" bestFit="1" customWidth="1"/>
    <col min="1174" max="1176" width="12.1640625" bestFit="1" customWidth="1"/>
    <col min="1177" max="1178" width="11.1640625" bestFit="1" customWidth="1"/>
    <col min="1179" max="1179" width="12.1640625" bestFit="1" customWidth="1"/>
    <col min="1180" max="1181" width="11.1640625" bestFit="1" customWidth="1"/>
    <col min="1182" max="1182" width="12.1640625" bestFit="1" customWidth="1"/>
    <col min="1183" max="1185" width="11.1640625" bestFit="1" customWidth="1"/>
    <col min="1186" max="1186" width="12.1640625" bestFit="1" customWidth="1"/>
    <col min="1187" max="1191" width="11.1640625" bestFit="1" customWidth="1"/>
    <col min="1192" max="1192" width="12.1640625" bestFit="1" customWidth="1"/>
    <col min="1193" max="1193" width="11.1640625" bestFit="1" customWidth="1"/>
    <col min="1194" max="1194" width="12.1640625" bestFit="1" customWidth="1"/>
    <col min="1195" max="1196" width="11.1640625" bestFit="1" customWidth="1"/>
    <col min="1197" max="1199" width="10.1640625" bestFit="1" customWidth="1"/>
    <col min="1200" max="1200" width="12.1640625" bestFit="1" customWidth="1"/>
    <col min="1201" max="1202" width="11.1640625" bestFit="1" customWidth="1"/>
    <col min="1203" max="1203" width="10.1640625" bestFit="1" customWidth="1"/>
    <col min="1204" max="1204" width="12.1640625" bestFit="1" customWidth="1"/>
    <col min="1205" max="1205" width="11.1640625" bestFit="1" customWidth="1"/>
    <col min="1206" max="1206" width="10.1640625" bestFit="1" customWidth="1"/>
    <col min="1207" max="1207" width="11.1640625" bestFit="1" customWidth="1"/>
    <col min="1208" max="1209" width="10.1640625" bestFit="1" customWidth="1"/>
    <col min="1210" max="1211" width="12.1640625" bestFit="1" customWidth="1"/>
    <col min="1212" max="1212" width="9.1640625" bestFit="1" customWidth="1"/>
    <col min="1213" max="1213" width="10.1640625" bestFit="1" customWidth="1"/>
    <col min="1214" max="1215" width="11.1640625" bestFit="1" customWidth="1"/>
    <col min="1216" max="1216" width="10.1640625" bestFit="1" customWidth="1"/>
    <col min="1217" max="1219" width="11.1640625" bestFit="1" customWidth="1"/>
    <col min="1220" max="1220" width="10.1640625" bestFit="1" customWidth="1"/>
    <col min="1221" max="1221" width="12.1640625" bestFit="1" customWidth="1"/>
    <col min="1222" max="1222" width="11.1640625" bestFit="1" customWidth="1"/>
    <col min="1223" max="1224" width="10.1640625" bestFit="1" customWidth="1"/>
    <col min="1225" max="1225" width="12.1640625" bestFit="1" customWidth="1"/>
    <col min="1226" max="1226" width="11.1640625" bestFit="1" customWidth="1"/>
    <col min="1227" max="1227" width="10.1640625" bestFit="1" customWidth="1"/>
    <col min="1228" max="1230" width="11.1640625" bestFit="1" customWidth="1"/>
    <col min="1231" max="1231" width="12.1640625" bestFit="1" customWidth="1"/>
    <col min="1232" max="1237" width="11.1640625" bestFit="1" customWidth="1"/>
    <col min="1238" max="1238" width="12.1640625" bestFit="1" customWidth="1"/>
    <col min="1239" max="1239" width="11.1640625" bestFit="1" customWidth="1"/>
    <col min="1240" max="1241" width="10.1640625" bestFit="1" customWidth="1"/>
    <col min="1242" max="1242" width="11.1640625" bestFit="1" customWidth="1"/>
    <col min="1243" max="1243" width="10.1640625" bestFit="1" customWidth="1"/>
    <col min="1244" max="1244" width="6.1640625" bestFit="1" customWidth="1"/>
    <col min="1245" max="1246" width="11.1640625" bestFit="1" customWidth="1"/>
    <col min="1247" max="1248" width="10.1640625" bestFit="1" customWidth="1"/>
    <col min="1249" max="1249" width="12.1640625" bestFit="1" customWidth="1"/>
    <col min="1250" max="1250" width="10.1640625" bestFit="1" customWidth="1"/>
    <col min="1251" max="1254" width="11.1640625" bestFit="1" customWidth="1"/>
    <col min="1255" max="1255" width="12.1640625" bestFit="1" customWidth="1"/>
    <col min="1256" max="1256" width="10.1640625" bestFit="1" customWidth="1"/>
    <col min="1257" max="1257" width="11.1640625" bestFit="1" customWidth="1"/>
    <col min="1258" max="1258" width="10.1640625" bestFit="1" customWidth="1"/>
    <col min="1259" max="1259" width="11.1640625" bestFit="1" customWidth="1"/>
    <col min="1260" max="1261" width="12.1640625" bestFit="1" customWidth="1"/>
    <col min="1262" max="1262" width="9.1640625" bestFit="1" customWidth="1"/>
    <col min="1263" max="1263" width="10.1640625" bestFit="1" customWidth="1"/>
    <col min="1264" max="1265" width="11.1640625" bestFit="1" customWidth="1"/>
    <col min="1266" max="1266" width="12.1640625" bestFit="1" customWidth="1"/>
    <col min="1267" max="1271" width="11.1640625" bestFit="1" customWidth="1"/>
    <col min="1272" max="1272" width="12.1640625" bestFit="1" customWidth="1"/>
    <col min="1273" max="1273" width="10.1640625" bestFit="1" customWidth="1"/>
    <col min="1274" max="1274" width="11.1640625" bestFit="1" customWidth="1"/>
    <col min="1275" max="1275" width="10.1640625" bestFit="1" customWidth="1"/>
    <col min="1276" max="1276" width="11.1640625" bestFit="1" customWidth="1"/>
    <col min="1277" max="1277" width="9.1640625" bestFit="1" customWidth="1"/>
    <col min="1278" max="1281" width="11.1640625" bestFit="1" customWidth="1"/>
    <col min="1282" max="1282" width="12.1640625" bestFit="1" customWidth="1"/>
    <col min="1283" max="1284" width="11.1640625" bestFit="1" customWidth="1"/>
    <col min="1285" max="1285" width="10.1640625" bestFit="1" customWidth="1"/>
    <col min="1286" max="1287" width="11.1640625" bestFit="1" customWidth="1"/>
    <col min="1288" max="1288" width="12.1640625" bestFit="1" customWidth="1"/>
    <col min="1289" max="1289" width="11.1640625" bestFit="1" customWidth="1"/>
    <col min="1290" max="1290" width="12.1640625" bestFit="1" customWidth="1"/>
    <col min="1291" max="1297" width="11.1640625" bestFit="1" customWidth="1"/>
    <col min="1298" max="1298" width="10.1640625" bestFit="1" customWidth="1"/>
    <col min="1299" max="1299" width="11.1640625" bestFit="1" customWidth="1"/>
    <col min="1300" max="1300" width="12.1640625" bestFit="1" customWidth="1"/>
    <col min="1301" max="1302" width="11.1640625" bestFit="1" customWidth="1"/>
    <col min="1303" max="1304" width="12.1640625" bestFit="1" customWidth="1"/>
    <col min="1305" max="1306" width="10.1640625" bestFit="1" customWidth="1"/>
    <col min="1307" max="1312" width="11.1640625" bestFit="1" customWidth="1"/>
    <col min="1313" max="1313" width="12.1640625" bestFit="1" customWidth="1"/>
    <col min="1314" max="1315" width="11.1640625" bestFit="1" customWidth="1"/>
    <col min="1316" max="1318" width="10.1640625" bestFit="1" customWidth="1"/>
    <col min="1319" max="1319" width="9.1640625" bestFit="1" customWidth="1"/>
    <col min="1320" max="1320" width="10.1640625" bestFit="1" customWidth="1"/>
    <col min="1321" max="1322" width="12.1640625" bestFit="1" customWidth="1"/>
    <col min="1323" max="1323" width="9.1640625" bestFit="1" customWidth="1"/>
    <col min="1324" max="1324" width="10.1640625" bestFit="1" customWidth="1"/>
    <col min="1325" max="1326" width="12.1640625" bestFit="1" customWidth="1"/>
    <col min="1327" max="1328" width="11.1640625" bestFit="1" customWidth="1"/>
    <col min="1329" max="1329" width="9.1640625" bestFit="1" customWidth="1"/>
    <col min="1330" max="1330" width="12.1640625" bestFit="1" customWidth="1"/>
    <col min="1331" max="1332" width="11.1640625" bestFit="1" customWidth="1"/>
    <col min="1333" max="1339" width="12.1640625" bestFit="1" customWidth="1"/>
    <col min="1340" max="1340" width="7.83203125" bestFit="1" customWidth="1"/>
    <col min="1341" max="1341" width="10" bestFit="1" customWidth="1"/>
  </cols>
  <sheetData>
    <row r="1" spans="1:8" x14ac:dyDescent="0.2">
      <c r="A1" s="1" t="s">
        <v>52</v>
      </c>
      <c r="B1" s="1" t="s">
        <v>4</v>
      </c>
      <c r="F1" s="1" t="s">
        <v>52</v>
      </c>
      <c r="G1" s="1" t="s">
        <v>4</v>
      </c>
    </row>
    <row r="2" spans="1:8" x14ac:dyDescent="0.2">
      <c r="A2" s="1" t="s">
        <v>5</v>
      </c>
      <c r="B2" s="23" t="s">
        <v>10</v>
      </c>
      <c r="C2" s="23" t="s">
        <v>7</v>
      </c>
      <c r="D2" s="23" t="s">
        <v>14</v>
      </c>
      <c r="F2" s="1" t="s">
        <v>5</v>
      </c>
      <c r="G2" s="23" t="s">
        <v>10</v>
      </c>
      <c r="H2" s="23" t="s">
        <v>7</v>
      </c>
    </row>
    <row r="3" spans="1:8" x14ac:dyDescent="0.2">
      <c r="A3" s="23" t="s">
        <v>13</v>
      </c>
      <c r="B3" s="19">
        <v>2355541.6396289999</v>
      </c>
      <c r="C3" s="19">
        <v>1988126.9436799998</v>
      </c>
      <c r="D3" s="19">
        <v>4343668.5833089994</v>
      </c>
      <c r="F3" s="23" t="s">
        <v>13</v>
      </c>
      <c r="G3" s="30">
        <v>0.54229313181959016</v>
      </c>
      <c r="H3" s="30">
        <v>0.45770686818040984</v>
      </c>
    </row>
    <row r="4" spans="1:8" x14ac:dyDescent="0.2">
      <c r="A4" s="23" t="s">
        <v>12</v>
      </c>
      <c r="B4" s="19">
        <v>2284575.8119600001</v>
      </c>
      <c r="C4" s="19">
        <v>1751136.1845799999</v>
      </c>
      <c r="D4" s="19">
        <v>4035711.9965399997</v>
      </c>
      <c r="F4" s="23" t="s">
        <v>12</v>
      </c>
      <c r="G4" s="30">
        <v>0.56608990282722638</v>
      </c>
      <c r="H4" s="30">
        <v>0.43391009717277373</v>
      </c>
    </row>
    <row r="5" spans="1:8" x14ac:dyDescent="0.2">
      <c r="A5" s="23" t="s">
        <v>11</v>
      </c>
      <c r="B5" s="19">
        <v>2192795.0523399995</v>
      </c>
      <c r="C5" s="19">
        <v>3170894.7109499993</v>
      </c>
      <c r="D5" s="19">
        <v>5363689.7632899992</v>
      </c>
      <c r="E5" s="23"/>
      <c r="F5" s="23" t="s">
        <v>11</v>
      </c>
      <c r="G5" s="30">
        <v>0.40882212602001333</v>
      </c>
      <c r="H5" s="30">
        <v>0.59117787397998656</v>
      </c>
    </row>
    <row r="6" spans="1:8" x14ac:dyDescent="0.2">
      <c r="A6" s="23" t="s">
        <v>8</v>
      </c>
      <c r="B6" s="19">
        <v>2141148.9649900002</v>
      </c>
      <c r="C6" s="19">
        <v>1871605.6826300006</v>
      </c>
      <c r="D6" s="19">
        <v>4012754.6476200009</v>
      </c>
      <c r="E6" s="23"/>
      <c r="F6" s="23" t="s">
        <v>8</v>
      </c>
      <c r="G6" s="30">
        <v>0.53358581648143721</v>
      </c>
      <c r="H6" s="30">
        <v>0.46641418351856273</v>
      </c>
    </row>
    <row r="7" spans="1:8" x14ac:dyDescent="0.2">
      <c r="A7" s="23" t="s">
        <v>14</v>
      </c>
      <c r="B7" s="22">
        <v>8974061.4689189978</v>
      </c>
      <c r="C7" s="22">
        <v>8781763.5218399987</v>
      </c>
      <c r="D7" s="22">
        <v>17755824.990759</v>
      </c>
      <c r="E7" s="23"/>
      <c r="F7" s="23" t="s">
        <v>14</v>
      </c>
      <c r="G7" s="31">
        <v>0.50541506652546631</v>
      </c>
      <c r="H7" s="31">
        <v>0.49458493347453347</v>
      </c>
    </row>
    <row r="8" spans="1:8" x14ac:dyDescent="0.2">
      <c r="D8" s="18"/>
      <c r="E8" s="23"/>
    </row>
    <row r="9" spans="1:8" x14ac:dyDescent="0.2">
      <c r="H9" s="18"/>
    </row>
    <row r="10" spans="1:8" x14ac:dyDescent="0.2">
      <c r="H10" s="18"/>
    </row>
    <row r="11" spans="1:8" x14ac:dyDescent="0.2">
      <c r="H11" s="18"/>
    </row>
    <row r="12" spans="1:8" x14ac:dyDescent="0.2">
      <c r="A12" s="1" t="s">
        <v>94</v>
      </c>
      <c r="B12" s="1" t="s">
        <v>4</v>
      </c>
      <c r="F12" s="1" t="s">
        <v>94</v>
      </c>
      <c r="G12" s="1" t="s">
        <v>4</v>
      </c>
    </row>
    <row r="13" spans="1:8" x14ac:dyDescent="0.2">
      <c r="A13" s="1" t="s">
        <v>5</v>
      </c>
      <c r="B13" s="23" t="s">
        <v>10</v>
      </c>
      <c r="C13" s="23" t="s">
        <v>7</v>
      </c>
      <c r="D13" s="23" t="s">
        <v>14</v>
      </c>
      <c r="E13" s="23"/>
      <c r="F13" s="1" t="s">
        <v>5</v>
      </c>
      <c r="G13" s="23" t="s">
        <v>10</v>
      </c>
      <c r="H13" s="23" t="s">
        <v>7</v>
      </c>
    </row>
    <row r="14" spans="1:8" x14ac:dyDescent="0.2">
      <c r="A14" s="23" t="s">
        <v>13</v>
      </c>
      <c r="B14" s="19">
        <v>257</v>
      </c>
      <c r="C14" s="19">
        <v>67</v>
      </c>
      <c r="D14" s="19">
        <v>324</v>
      </c>
      <c r="E14" s="23"/>
      <c r="F14" s="23" t="s">
        <v>13</v>
      </c>
      <c r="G14" s="30">
        <v>0.79320987654320985</v>
      </c>
      <c r="H14" s="30">
        <v>0.20679012345679013</v>
      </c>
    </row>
    <row r="15" spans="1:8" x14ac:dyDescent="0.2">
      <c r="A15" s="23" t="s">
        <v>12</v>
      </c>
      <c r="B15" s="19">
        <v>267</v>
      </c>
      <c r="C15" s="19">
        <v>58</v>
      </c>
      <c r="D15" s="19">
        <v>325</v>
      </c>
      <c r="E15" s="23"/>
      <c r="F15" s="23" t="s">
        <v>12</v>
      </c>
      <c r="G15" s="30">
        <v>0.82153846153846155</v>
      </c>
      <c r="H15" s="30">
        <v>0.17846153846153845</v>
      </c>
    </row>
    <row r="16" spans="1:8" x14ac:dyDescent="0.2">
      <c r="A16" s="23" t="s">
        <v>11</v>
      </c>
      <c r="B16" s="19">
        <v>273</v>
      </c>
      <c r="C16" s="19">
        <v>91</v>
      </c>
      <c r="D16" s="19">
        <v>364</v>
      </c>
      <c r="E16" s="23"/>
      <c r="F16" s="23" t="s">
        <v>11</v>
      </c>
      <c r="G16" s="30">
        <v>0.75</v>
      </c>
      <c r="H16" s="30">
        <v>0.25</v>
      </c>
    </row>
    <row r="17" spans="1:8" x14ac:dyDescent="0.2">
      <c r="A17" s="23" t="s">
        <v>8</v>
      </c>
      <c r="B17" s="19">
        <v>267</v>
      </c>
      <c r="C17" s="19">
        <v>58</v>
      </c>
      <c r="D17" s="19">
        <v>325</v>
      </c>
      <c r="E17" s="23"/>
      <c r="F17" s="23" t="s">
        <v>8</v>
      </c>
      <c r="G17" s="30">
        <v>0.82153846153846155</v>
      </c>
      <c r="H17" s="30">
        <v>0.17846153846153845</v>
      </c>
    </row>
    <row r="18" spans="1:8" x14ac:dyDescent="0.2">
      <c r="A18" s="23" t="s">
        <v>14</v>
      </c>
      <c r="B18" s="22">
        <v>1064</v>
      </c>
      <c r="C18" s="22">
        <v>274</v>
      </c>
      <c r="D18" s="22">
        <v>1338</v>
      </c>
      <c r="E18" s="23"/>
      <c r="F18" s="23" t="s">
        <v>14</v>
      </c>
      <c r="G18" s="31">
        <v>0.79521674140508225</v>
      </c>
      <c r="H18" s="31">
        <v>0.20478325859491778</v>
      </c>
    </row>
    <row r="19" spans="1:8" x14ac:dyDescent="0.2">
      <c r="E19" s="23"/>
      <c r="H19" s="18"/>
    </row>
    <row r="20" spans="1:8" x14ac:dyDescent="0.2">
      <c r="E20" s="23"/>
      <c r="H20" s="18"/>
    </row>
    <row r="21" spans="1:8" x14ac:dyDescent="0.2">
      <c r="E21" s="23"/>
      <c r="H21" s="18"/>
    </row>
    <row r="22" spans="1:8" x14ac:dyDescent="0.2">
      <c r="E22" s="23"/>
      <c r="H22" s="18"/>
    </row>
    <row r="23" spans="1:8" x14ac:dyDescent="0.2">
      <c r="A23" s="1" t="s">
        <v>101</v>
      </c>
      <c r="B23" s="1" t="s">
        <v>4</v>
      </c>
      <c r="E23" s="23"/>
      <c r="F23" s="1" t="s">
        <v>101</v>
      </c>
      <c r="G23" s="1" t="s">
        <v>4</v>
      </c>
    </row>
    <row r="24" spans="1:8" x14ac:dyDescent="0.2">
      <c r="A24" s="1" t="s">
        <v>5</v>
      </c>
      <c r="B24" s="23" t="s">
        <v>10</v>
      </c>
      <c r="C24" s="23" t="s">
        <v>7</v>
      </c>
      <c r="D24" s="23" t="s">
        <v>14</v>
      </c>
      <c r="E24" s="23"/>
      <c r="F24" s="1" t="s">
        <v>5</v>
      </c>
      <c r="G24" s="23" t="s">
        <v>10</v>
      </c>
      <c r="H24" s="23" t="s">
        <v>7</v>
      </c>
    </row>
    <row r="25" spans="1:8" x14ac:dyDescent="0.2">
      <c r="A25" s="23" t="s">
        <v>13</v>
      </c>
      <c r="B25" s="19">
        <v>9165.5316717081714</v>
      </c>
      <c r="C25" s="19">
        <v>29673.536472835818</v>
      </c>
      <c r="D25" s="19">
        <v>13406.3845163858</v>
      </c>
      <c r="E25" s="23"/>
      <c r="F25" s="23" t="s">
        <v>13</v>
      </c>
      <c r="G25" s="30">
        <v>0.68366916229395813</v>
      </c>
      <c r="H25" s="30">
        <v>2.2133884371709374</v>
      </c>
    </row>
    <row r="26" spans="1:8" x14ac:dyDescent="0.2">
      <c r="A26" s="23" t="s">
        <v>12</v>
      </c>
      <c r="B26" s="19">
        <v>8556.4637152059931</v>
      </c>
      <c r="C26" s="19">
        <v>30192.003182413791</v>
      </c>
      <c r="D26" s="19">
        <v>12417.575373969234</v>
      </c>
      <c r="E26" s="23"/>
      <c r="F26" s="23" t="s">
        <v>12</v>
      </c>
      <c r="G26" s="30">
        <v>0.68906074314175469</v>
      </c>
      <c r="H26" s="30">
        <v>2.4313927858819211</v>
      </c>
    </row>
    <row r="27" spans="1:8" x14ac:dyDescent="0.2">
      <c r="A27" s="23" t="s">
        <v>11</v>
      </c>
      <c r="B27" s="19">
        <v>8032.2163089377273</v>
      </c>
      <c r="C27" s="19">
        <v>34844.996823626367</v>
      </c>
      <c r="D27" s="19">
        <v>14735.411437609893</v>
      </c>
      <c r="E27" s="23"/>
      <c r="F27" s="23" t="s">
        <v>11</v>
      </c>
      <c r="G27" s="30">
        <v>0.54509616802668426</v>
      </c>
      <c r="H27" s="30">
        <v>2.3647114959199458</v>
      </c>
    </row>
    <row r="28" spans="1:8" x14ac:dyDescent="0.2">
      <c r="A28" s="23" t="s">
        <v>8</v>
      </c>
      <c r="B28" s="19">
        <v>8019.2845130711621</v>
      </c>
      <c r="C28" s="19">
        <v>32269.063493620699</v>
      </c>
      <c r="D28" s="19">
        <v>12346.937377292312</v>
      </c>
      <c r="E28" s="23"/>
      <c r="F28" s="23" t="s">
        <v>8</v>
      </c>
      <c r="G28" s="30">
        <v>0.64949584403171201</v>
      </c>
      <c r="H28" s="30">
        <v>2.6135277524747047</v>
      </c>
    </row>
    <row r="29" spans="1:8" x14ac:dyDescent="0.2">
      <c r="A29" s="23" t="s">
        <v>14</v>
      </c>
      <c r="B29" s="22">
        <v>8434.2682978562061</v>
      </c>
      <c r="C29" s="22">
        <v>32050.231831532841</v>
      </c>
      <c r="D29" s="22">
        <v>13270.422265141258</v>
      </c>
      <c r="E29" s="23"/>
      <c r="F29" s="23" t="s">
        <v>14</v>
      </c>
      <c r="G29" s="31">
        <v>0.63556894643897954</v>
      </c>
      <c r="H29" s="31">
        <v>2.4151629233172467</v>
      </c>
    </row>
    <row r="30" spans="1:8" x14ac:dyDescent="0.2">
      <c r="E30" s="23"/>
      <c r="H30" s="18"/>
    </row>
    <row r="31" spans="1:8" x14ac:dyDescent="0.2">
      <c r="E31" s="23"/>
      <c r="H31" s="18"/>
    </row>
    <row r="32" spans="1:8" x14ac:dyDescent="0.2">
      <c r="E32" s="23"/>
      <c r="H32" s="18"/>
    </row>
    <row r="33" spans="1:8" x14ac:dyDescent="0.2">
      <c r="A33" s="1" t="s">
        <v>108</v>
      </c>
      <c r="B33" s="1" t="s">
        <v>4</v>
      </c>
      <c r="E33" s="23"/>
      <c r="F33" s="1" t="s">
        <v>109</v>
      </c>
      <c r="G33" s="1" t="s">
        <v>4</v>
      </c>
    </row>
    <row r="34" spans="1:8" x14ac:dyDescent="0.2">
      <c r="A34" s="1" t="s">
        <v>5</v>
      </c>
      <c r="B34" s="23" t="s">
        <v>10</v>
      </c>
      <c r="C34" s="23" t="s">
        <v>7</v>
      </c>
      <c r="E34" s="23"/>
      <c r="F34" s="1" t="s">
        <v>5</v>
      </c>
      <c r="G34" s="23" t="s">
        <v>10</v>
      </c>
      <c r="H34" s="23" t="s">
        <v>7</v>
      </c>
    </row>
    <row r="35" spans="1:8" x14ac:dyDescent="0.2">
      <c r="A35" s="23" t="s">
        <v>13</v>
      </c>
      <c r="B35" s="19">
        <v>32108.662820000001</v>
      </c>
      <c r="C35" s="19">
        <v>58571.074480000003</v>
      </c>
      <c r="E35" s="23"/>
      <c r="F35" s="23" t="s">
        <v>13</v>
      </c>
      <c r="G35" s="19">
        <v>1694.7963999999999</v>
      </c>
      <c r="H35" s="19">
        <v>12829.455099999999</v>
      </c>
    </row>
    <row r="36" spans="1:8" x14ac:dyDescent="0.2">
      <c r="A36" s="23" t="s">
        <v>12</v>
      </c>
      <c r="B36" s="19">
        <v>33471.971890000001</v>
      </c>
      <c r="C36" s="19">
        <v>60021.398970000002</v>
      </c>
      <c r="E36" s="23"/>
      <c r="F36" s="23" t="s">
        <v>12</v>
      </c>
      <c r="G36" s="19">
        <v>1621.3402000000001</v>
      </c>
      <c r="H36" s="19">
        <v>14711.7438</v>
      </c>
    </row>
    <row r="37" spans="1:8" x14ac:dyDescent="0.2">
      <c r="A37" s="23" t="s">
        <v>11</v>
      </c>
      <c r="B37" s="19">
        <v>36580.282160000002</v>
      </c>
      <c r="C37" s="19">
        <v>63770.428010000003</v>
      </c>
      <c r="E37" s="23"/>
      <c r="F37" s="23" t="s">
        <v>11</v>
      </c>
      <c r="G37" s="19">
        <v>1121.8739</v>
      </c>
      <c r="H37" s="19">
        <v>16577.779500000001</v>
      </c>
    </row>
    <row r="38" spans="1:8" x14ac:dyDescent="0.2">
      <c r="A38" s="23" t="s">
        <v>8</v>
      </c>
      <c r="B38" s="19">
        <v>36910.608030000003</v>
      </c>
      <c r="C38" s="19">
        <v>52590.829389999999</v>
      </c>
      <c r="E38" s="23"/>
      <c r="F38" s="23" t="s">
        <v>8</v>
      </c>
      <c r="G38" s="19">
        <v>1241.5650000000001</v>
      </c>
      <c r="H38" s="19">
        <v>13844.505999999999</v>
      </c>
    </row>
    <row r="39" spans="1:8" x14ac:dyDescent="0.2">
      <c r="E39" s="23"/>
      <c r="F39"/>
    </row>
    <row r="40" spans="1:8" x14ac:dyDescent="0.2">
      <c r="E40" s="23"/>
      <c r="H40" s="18"/>
    </row>
    <row r="41" spans="1:8" x14ac:dyDescent="0.2">
      <c r="E41" s="23"/>
      <c r="H41" s="18"/>
    </row>
    <row r="42" spans="1:8" x14ac:dyDescent="0.2">
      <c r="E42" s="23"/>
      <c r="H42" s="18"/>
    </row>
    <row r="43" spans="1:8" x14ac:dyDescent="0.2">
      <c r="E43" s="23"/>
      <c r="H43" s="18"/>
    </row>
    <row r="44" spans="1:8" x14ac:dyDescent="0.2">
      <c r="E44" s="23"/>
      <c r="H44" s="18"/>
    </row>
    <row r="45" spans="1:8" x14ac:dyDescent="0.2">
      <c r="E45" s="23"/>
      <c r="H45" s="18"/>
    </row>
    <row r="46" spans="1:8" x14ac:dyDescent="0.2">
      <c r="E46" s="23"/>
      <c r="H46" s="18"/>
    </row>
    <row r="47" spans="1:8" x14ac:dyDescent="0.2">
      <c r="E47" s="23"/>
      <c r="H47" s="18"/>
    </row>
    <row r="48" spans="1:8" x14ac:dyDescent="0.2">
      <c r="E48" s="23"/>
      <c r="H48" s="18"/>
    </row>
    <row r="49" spans="5:8" x14ac:dyDescent="0.2">
      <c r="E49" s="23"/>
      <c r="H49" s="18"/>
    </row>
    <row r="50" spans="5:8" x14ac:dyDescent="0.2">
      <c r="E50" s="23"/>
      <c r="H50" s="18"/>
    </row>
    <row r="51" spans="5:8" x14ac:dyDescent="0.2">
      <c r="E51" s="23"/>
      <c r="H51" s="18"/>
    </row>
    <row r="52" spans="5:8" x14ac:dyDescent="0.2">
      <c r="E52" s="23"/>
      <c r="H52" s="18"/>
    </row>
    <row r="53" spans="5:8" x14ac:dyDescent="0.2">
      <c r="E53" s="23"/>
      <c r="H53" s="18"/>
    </row>
    <row r="54" spans="5:8" x14ac:dyDescent="0.2">
      <c r="E54" s="23"/>
      <c r="H54" s="18"/>
    </row>
    <row r="55" spans="5:8" x14ac:dyDescent="0.2">
      <c r="E55" s="23"/>
      <c r="H55" s="18"/>
    </row>
    <row r="56" spans="5:8" x14ac:dyDescent="0.2">
      <c r="E56" s="23"/>
      <c r="H56" s="18"/>
    </row>
    <row r="57" spans="5:8" x14ac:dyDescent="0.2">
      <c r="E57" s="23"/>
      <c r="H57" s="18"/>
    </row>
    <row r="58" spans="5:8" x14ac:dyDescent="0.2">
      <c r="E58" s="23"/>
      <c r="H58" s="18"/>
    </row>
    <row r="59" spans="5:8" x14ac:dyDescent="0.2">
      <c r="E59" s="23"/>
      <c r="H59" s="18"/>
    </row>
    <row r="60" spans="5:8" x14ac:dyDescent="0.2">
      <c r="E60" s="23"/>
      <c r="H60" s="18"/>
    </row>
    <row r="61" spans="5:8" x14ac:dyDescent="0.2">
      <c r="E61" s="23"/>
      <c r="H61" s="18"/>
    </row>
    <row r="62" spans="5:8" x14ac:dyDescent="0.2">
      <c r="E62" s="23"/>
      <c r="H62" s="18"/>
    </row>
    <row r="63" spans="5:8" x14ac:dyDescent="0.2">
      <c r="E63" s="23"/>
      <c r="H63" s="18"/>
    </row>
    <row r="64" spans="5:8" x14ac:dyDescent="0.2">
      <c r="E64" s="23"/>
      <c r="H64" s="18"/>
    </row>
    <row r="65" spans="5:8" x14ac:dyDescent="0.2">
      <c r="E65" s="23"/>
      <c r="H65" s="18"/>
    </row>
    <row r="66" spans="5:8" x14ac:dyDescent="0.2">
      <c r="E66" s="23"/>
      <c r="H66" s="18"/>
    </row>
    <row r="67" spans="5:8" x14ac:dyDescent="0.2">
      <c r="E67" s="23"/>
      <c r="H67" s="18"/>
    </row>
    <row r="68" spans="5:8" x14ac:dyDescent="0.2">
      <c r="E68" s="23"/>
      <c r="H68" s="18"/>
    </row>
    <row r="69" spans="5:8" x14ac:dyDescent="0.2">
      <c r="E69" s="23"/>
      <c r="H69" s="18"/>
    </row>
    <row r="70" spans="5:8" x14ac:dyDescent="0.2">
      <c r="E70" s="23"/>
      <c r="H70" s="18"/>
    </row>
    <row r="71" spans="5:8" x14ac:dyDescent="0.2">
      <c r="E71" s="23"/>
      <c r="H71" s="18"/>
    </row>
    <row r="72" spans="5:8" x14ac:dyDescent="0.2">
      <c r="E72" s="23"/>
      <c r="H72" s="18"/>
    </row>
    <row r="73" spans="5:8" x14ac:dyDescent="0.2">
      <c r="E73" s="23"/>
      <c r="H73" s="18"/>
    </row>
    <row r="74" spans="5:8" x14ac:dyDescent="0.2">
      <c r="E74" s="23"/>
      <c r="H74" s="18"/>
    </row>
    <row r="75" spans="5:8" x14ac:dyDescent="0.2">
      <c r="E75" s="23"/>
      <c r="H75" s="18"/>
    </row>
    <row r="76" spans="5:8" x14ac:dyDescent="0.2">
      <c r="E76" s="23"/>
      <c r="H76" s="18"/>
    </row>
    <row r="77" spans="5:8" x14ac:dyDescent="0.2">
      <c r="E77" s="23"/>
      <c r="H77" s="18"/>
    </row>
    <row r="78" spans="5:8" x14ac:dyDescent="0.2">
      <c r="E78" s="23"/>
      <c r="H78" s="18"/>
    </row>
    <row r="79" spans="5:8" x14ac:dyDescent="0.2">
      <c r="E79" s="23"/>
      <c r="H79" s="18"/>
    </row>
    <row r="80" spans="5:8" x14ac:dyDescent="0.2">
      <c r="E80" s="23"/>
      <c r="H80" s="18"/>
    </row>
    <row r="81" spans="5:15" x14ac:dyDescent="0.2">
      <c r="E81" s="23"/>
      <c r="H81" s="18"/>
    </row>
    <row r="82" spans="5:15" x14ac:dyDescent="0.2">
      <c r="E82" s="23"/>
      <c r="H82" s="18"/>
    </row>
    <row r="83" spans="5:15" x14ac:dyDescent="0.2">
      <c r="E83" s="23"/>
      <c r="H83" s="18"/>
      <c r="O83">
        <v>27572.5501</v>
      </c>
    </row>
    <row r="84" spans="5:15" x14ac:dyDescent="0.2">
      <c r="E84" s="23"/>
      <c r="H84" s="18"/>
    </row>
    <row r="85" spans="5:15" x14ac:dyDescent="0.2">
      <c r="E85" s="23"/>
      <c r="H85" s="18"/>
    </row>
    <row r="86" spans="5:15" x14ac:dyDescent="0.2">
      <c r="E86" s="23"/>
      <c r="H86" s="18"/>
    </row>
    <row r="87" spans="5:15" x14ac:dyDescent="0.2">
      <c r="E87" s="23"/>
      <c r="H87" s="18"/>
    </row>
    <row r="88" spans="5:15" x14ac:dyDescent="0.2">
      <c r="E88" s="23"/>
      <c r="H88" s="18"/>
    </row>
    <row r="89" spans="5:15" x14ac:dyDescent="0.2">
      <c r="E89" s="23"/>
      <c r="H89" s="18"/>
    </row>
    <row r="90" spans="5:15" x14ac:dyDescent="0.2">
      <c r="E90" s="23"/>
      <c r="H90" s="18"/>
    </row>
    <row r="91" spans="5:15" x14ac:dyDescent="0.2">
      <c r="E91" s="23"/>
      <c r="H91" s="18"/>
    </row>
    <row r="92" spans="5:15" x14ac:dyDescent="0.2">
      <c r="E92" s="23"/>
      <c r="H92" s="18"/>
    </row>
    <row r="93" spans="5:15" x14ac:dyDescent="0.2">
      <c r="E93" s="23"/>
      <c r="H93" s="18"/>
    </row>
    <row r="94" spans="5:15" x14ac:dyDescent="0.2">
      <c r="E94" s="23"/>
      <c r="H94" s="18"/>
    </row>
    <row r="95" spans="5:15" x14ac:dyDescent="0.2">
      <c r="E95" s="23"/>
      <c r="H95" s="18"/>
    </row>
    <row r="96" spans="5:15" x14ac:dyDescent="0.2">
      <c r="E96" s="23"/>
      <c r="H96" s="18"/>
    </row>
    <row r="97" spans="5:8" x14ac:dyDescent="0.2">
      <c r="E97" s="23"/>
      <c r="H97" s="18"/>
    </row>
    <row r="98" spans="5:8" x14ac:dyDescent="0.2">
      <c r="E98" s="23"/>
      <c r="H98" s="18"/>
    </row>
    <row r="99" spans="5:8" x14ac:dyDescent="0.2">
      <c r="E99" s="23"/>
      <c r="H99" s="18"/>
    </row>
    <row r="100" spans="5:8" x14ac:dyDescent="0.2">
      <c r="E100" s="23"/>
      <c r="H100" s="18"/>
    </row>
    <row r="101" spans="5:8" x14ac:dyDescent="0.2">
      <c r="E101" s="23"/>
      <c r="H101" s="18"/>
    </row>
    <row r="102" spans="5:8" x14ac:dyDescent="0.2">
      <c r="E102" s="23"/>
      <c r="H102" s="18"/>
    </row>
    <row r="103" spans="5:8" x14ac:dyDescent="0.2">
      <c r="E103" s="23"/>
      <c r="H103" s="18"/>
    </row>
    <row r="104" spans="5:8" x14ac:dyDescent="0.2">
      <c r="E104" s="23"/>
      <c r="H104" s="18"/>
    </row>
    <row r="105" spans="5:8" x14ac:dyDescent="0.2">
      <c r="E105" s="23"/>
      <c r="H105" s="18"/>
    </row>
    <row r="106" spans="5:8" x14ac:dyDescent="0.2">
      <c r="E106" s="23"/>
      <c r="H106" s="18"/>
    </row>
    <row r="107" spans="5:8" x14ac:dyDescent="0.2">
      <c r="E107" s="23"/>
      <c r="H107" s="18"/>
    </row>
    <row r="108" spans="5:8" x14ac:dyDescent="0.2">
      <c r="E108" s="23"/>
      <c r="H108" s="18"/>
    </row>
    <row r="109" spans="5:8" x14ac:dyDescent="0.2">
      <c r="E109" s="23"/>
      <c r="H109" s="18"/>
    </row>
    <row r="110" spans="5:8" x14ac:dyDescent="0.2">
      <c r="E110" s="23"/>
      <c r="H110" s="18"/>
    </row>
    <row r="111" spans="5:8" x14ac:dyDescent="0.2">
      <c r="E111" s="23"/>
      <c r="H111" s="18"/>
    </row>
    <row r="112" spans="5:8" x14ac:dyDescent="0.2">
      <c r="E112" s="23"/>
      <c r="H112" s="18"/>
    </row>
    <row r="113" spans="5:8" x14ac:dyDescent="0.2">
      <c r="E113" s="23"/>
      <c r="H113" s="18"/>
    </row>
    <row r="114" spans="5:8" x14ac:dyDescent="0.2">
      <c r="E114" s="23"/>
      <c r="H114" s="18"/>
    </row>
    <row r="115" spans="5:8" x14ac:dyDescent="0.2">
      <c r="E115" s="23"/>
      <c r="H115" s="18"/>
    </row>
    <row r="116" spans="5:8" x14ac:dyDescent="0.2">
      <c r="E116" s="23"/>
      <c r="H116" s="18"/>
    </row>
    <row r="117" spans="5:8" x14ac:dyDescent="0.2">
      <c r="E117" s="23"/>
      <c r="H117" s="18"/>
    </row>
    <row r="118" spans="5:8" x14ac:dyDescent="0.2">
      <c r="E118" s="23"/>
      <c r="H118" s="18"/>
    </row>
    <row r="119" spans="5:8" x14ac:dyDescent="0.2">
      <c r="E119" s="23"/>
      <c r="H119" s="18"/>
    </row>
    <row r="120" spans="5:8" x14ac:dyDescent="0.2">
      <c r="E120" s="23"/>
      <c r="H120" s="18"/>
    </row>
    <row r="121" spans="5:8" x14ac:dyDescent="0.2">
      <c r="E121" s="23"/>
      <c r="H121" s="18"/>
    </row>
    <row r="122" spans="5:8" x14ac:dyDescent="0.2">
      <c r="E122" s="23"/>
      <c r="H122" s="18"/>
    </row>
    <row r="123" spans="5:8" x14ac:dyDescent="0.2">
      <c r="E123" s="23"/>
      <c r="H123" s="18"/>
    </row>
    <row r="124" spans="5:8" x14ac:dyDescent="0.2">
      <c r="E124" s="23"/>
      <c r="H124" s="18"/>
    </row>
    <row r="125" spans="5:8" x14ac:dyDescent="0.2">
      <c r="E125" s="23"/>
      <c r="H125" s="18"/>
    </row>
    <row r="126" spans="5:8" x14ac:dyDescent="0.2">
      <c r="E126" s="23"/>
      <c r="H126" s="18"/>
    </row>
    <row r="127" spans="5:8" x14ac:dyDescent="0.2">
      <c r="E127" s="23"/>
      <c r="H127" s="18"/>
    </row>
    <row r="128" spans="5:8" x14ac:dyDescent="0.2">
      <c r="E128" s="23"/>
      <c r="H128" s="18"/>
    </row>
    <row r="129" spans="5:8" x14ac:dyDescent="0.2">
      <c r="E129" s="23"/>
      <c r="H129" s="18"/>
    </row>
    <row r="130" spans="5:8" x14ac:dyDescent="0.2">
      <c r="E130" s="23"/>
      <c r="H130" s="18"/>
    </row>
    <row r="131" spans="5:8" x14ac:dyDescent="0.2">
      <c r="E131" s="23"/>
      <c r="H131" s="18"/>
    </row>
    <row r="132" spans="5:8" x14ac:dyDescent="0.2">
      <c r="E132" s="23"/>
      <c r="H132" s="18"/>
    </row>
    <row r="133" spans="5:8" x14ac:dyDescent="0.2">
      <c r="E133" s="23"/>
      <c r="H133" s="18"/>
    </row>
    <row r="134" spans="5:8" x14ac:dyDescent="0.2">
      <c r="E134" s="23"/>
      <c r="H134" s="18"/>
    </row>
    <row r="135" spans="5:8" x14ac:dyDescent="0.2">
      <c r="E135" s="23"/>
      <c r="H135" s="18"/>
    </row>
    <row r="136" spans="5:8" x14ac:dyDescent="0.2">
      <c r="E136" s="23"/>
      <c r="H136" s="18"/>
    </row>
    <row r="137" spans="5:8" x14ac:dyDescent="0.2">
      <c r="E137" s="23"/>
      <c r="H137" s="18"/>
    </row>
    <row r="138" spans="5:8" x14ac:dyDescent="0.2">
      <c r="E138" s="23"/>
      <c r="H138" s="18"/>
    </row>
    <row r="139" spans="5:8" x14ac:dyDescent="0.2">
      <c r="E139" s="23"/>
      <c r="H139" s="18"/>
    </row>
    <row r="140" spans="5:8" x14ac:dyDescent="0.2">
      <c r="E140" s="23"/>
      <c r="H140" s="18"/>
    </row>
    <row r="141" spans="5:8" x14ac:dyDescent="0.2">
      <c r="E141" s="23"/>
      <c r="H141" s="18"/>
    </row>
    <row r="142" spans="5:8" x14ac:dyDescent="0.2">
      <c r="E142" s="23"/>
      <c r="H142" s="18"/>
    </row>
    <row r="143" spans="5:8" x14ac:dyDescent="0.2">
      <c r="E143" s="23"/>
      <c r="H143" s="18"/>
    </row>
    <row r="144" spans="5:8" x14ac:dyDescent="0.2">
      <c r="E144" s="23"/>
      <c r="H144" s="18"/>
    </row>
    <row r="145" spans="5:8" x14ac:dyDescent="0.2">
      <c r="E145" s="23"/>
      <c r="H145" s="18"/>
    </row>
    <row r="146" spans="5:8" x14ac:dyDescent="0.2">
      <c r="E146" s="23"/>
      <c r="H146" s="18"/>
    </row>
    <row r="147" spans="5:8" x14ac:dyDescent="0.2">
      <c r="E147" s="23"/>
      <c r="H147" s="18"/>
    </row>
    <row r="148" spans="5:8" x14ac:dyDescent="0.2">
      <c r="E148" s="23"/>
      <c r="H148" s="18"/>
    </row>
    <row r="149" spans="5:8" x14ac:dyDescent="0.2">
      <c r="E149" s="23"/>
      <c r="H149" s="18"/>
    </row>
    <row r="150" spans="5:8" x14ac:dyDescent="0.2">
      <c r="E150" s="23"/>
      <c r="H150" s="18"/>
    </row>
    <row r="151" spans="5:8" x14ac:dyDescent="0.2">
      <c r="E151" s="23"/>
      <c r="H151" s="18"/>
    </row>
    <row r="152" spans="5:8" x14ac:dyDescent="0.2">
      <c r="E152" s="23"/>
      <c r="H152" s="18"/>
    </row>
    <row r="153" spans="5:8" x14ac:dyDescent="0.2">
      <c r="E153" s="23"/>
      <c r="H153" s="18"/>
    </row>
    <row r="154" spans="5:8" x14ac:dyDescent="0.2">
      <c r="E154" s="23"/>
      <c r="H154" s="18"/>
    </row>
    <row r="155" spans="5:8" x14ac:dyDescent="0.2">
      <c r="E155" s="23"/>
      <c r="H155" s="18"/>
    </row>
    <row r="156" spans="5:8" x14ac:dyDescent="0.2">
      <c r="E156" s="23"/>
      <c r="H156" s="18"/>
    </row>
    <row r="157" spans="5:8" x14ac:dyDescent="0.2">
      <c r="E157" s="23"/>
      <c r="H157" s="18"/>
    </row>
    <row r="158" spans="5:8" x14ac:dyDescent="0.2">
      <c r="E158" s="23"/>
      <c r="H158" s="18"/>
    </row>
    <row r="159" spans="5:8" x14ac:dyDescent="0.2">
      <c r="E159" s="23"/>
      <c r="H159" s="18"/>
    </row>
    <row r="160" spans="5:8" x14ac:dyDescent="0.2">
      <c r="E160" s="23"/>
      <c r="H160" s="18"/>
    </row>
    <row r="161" spans="5:8" x14ac:dyDescent="0.2">
      <c r="E161" s="23"/>
      <c r="H161" s="18"/>
    </row>
    <row r="162" spans="5:8" x14ac:dyDescent="0.2">
      <c r="E162" s="23"/>
      <c r="H162" s="18"/>
    </row>
    <row r="163" spans="5:8" x14ac:dyDescent="0.2">
      <c r="E163" s="23"/>
      <c r="H163" s="18"/>
    </row>
    <row r="164" spans="5:8" x14ac:dyDescent="0.2">
      <c r="E164" s="23"/>
      <c r="H164" s="18"/>
    </row>
    <row r="165" spans="5:8" x14ac:dyDescent="0.2">
      <c r="E165" s="23"/>
      <c r="H165" s="18"/>
    </row>
    <row r="166" spans="5:8" x14ac:dyDescent="0.2">
      <c r="E166" s="23"/>
      <c r="H166" s="18"/>
    </row>
    <row r="167" spans="5:8" x14ac:dyDescent="0.2">
      <c r="E167" s="23"/>
      <c r="H167" s="18"/>
    </row>
    <row r="168" spans="5:8" x14ac:dyDescent="0.2">
      <c r="E168" s="23"/>
      <c r="H168" s="18"/>
    </row>
    <row r="169" spans="5:8" x14ac:dyDescent="0.2">
      <c r="E169" s="23"/>
      <c r="H169" s="18"/>
    </row>
    <row r="170" spans="5:8" x14ac:dyDescent="0.2">
      <c r="E170" s="23"/>
      <c r="H170" s="18"/>
    </row>
    <row r="171" spans="5:8" x14ac:dyDescent="0.2">
      <c r="E171" s="23"/>
      <c r="H171" s="18"/>
    </row>
    <row r="172" spans="5:8" x14ac:dyDescent="0.2">
      <c r="E172" s="23"/>
      <c r="H172" s="18"/>
    </row>
    <row r="173" spans="5:8" x14ac:dyDescent="0.2">
      <c r="E173" s="23"/>
      <c r="H173" s="18"/>
    </row>
    <row r="174" spans="5:8" x14ac:dyDescent="0.2">
      <c r="E174" s="23"/>
      <c r="H174" s="18"/>
    </row>
    <row r="175" spans="5:8" x14ac:dyDescent="0.2">
      <c r="E175" s="23"/>
      <c r="H175" s="18"/>
    </row>
    <row r="176" spans="5:8" x14ac:dyDescent="0.2">
      <c r="E176" s="23"/>
      <c r="H176" s="18"/>
    </row>
    <row r="177" spans="5:8" x14ac:dyDescent="0.2">
      <c r="E177" s="23"/>
      <c r="H177" s="18"/>
    </row>
    <row r="178" spans="5:8" x14ac:dyDescent="0.2">
      <c r="E178" s="23"/>
      <c r="H178" s="18"/>
    </row>
    <row r="179" spans="5:8" x14ac:dyDescent="0.2">
      <c r="E179" s="23"/>
      <c r="H179" s="18"/>
    </row>
    <row r="180" spans="5:8" x14ac:dyDescent="0.2">
      <c r="E180" s="23"/>
      <c r="H180" s="18"/>
    </row>
    <row r="181" spans="5:8" x14ac:dyDescent="0.2">
      <c r="E181" s="23"/>
      <c r="H181" s="18"/>
    </row>
    <row r="182" spans="5:8" x14ac:dyDescent="0.2">
      <c r="E182" s="23"/>
      <c r="H182" s="18"/>
    </row>
    <row r="183" spans="5:8" x14ac:dyDescent="0.2">
      <c r="E183" s="23"/>
      <c r="H183" s="18"/>
    </row>
    <row r="184" spans="5:8" x14ac:dyDescent="0.2">
      <c r="E184" s="23"/>
      <c r="H184" s="18"/>
    </row>
    <row r="185" spans="5:8" x14ac:dyDescent="0.2">
      <c r="E185" s="23"/>
      <c r="H185" s="18"/>
    </row>
    <row r="186" spans="5:8" x14ac:dyDescent="0.2">
      <c r="E186" s="23"/>
      <c r="H186" s="18"/>
    </row>
    <row r="187" spans="5:8" x14ac:dyDescent="0.2">
      <c r="E187" s="23"/>
      <c r="H187" s="18"/>
    </row>
    <row r="188" spans="5:8" x14ac:dyDescent="0.2">
      <c r="E188" s="23"/>
      <c r="H188" s="18"/>
    </row>
    <row r="189" spans="5:8" x14ac:dyDescent="0.2">
      <c r="E189" s="23"/>
      <c r="H189" s="18"/>
    </row>
    <row r="190" spans="5:8" x14ac:dyDescent="0.2">
      <c r="E190" s="23"/>
      <c r="H190" s="18"/>
    </row>
    <row r="191" spans="5:8" x14ac:dyDescent="0.2">
      <c r="E191" s="23"/>
      <c r="H191" s="18"/>
    </row>
    <row r="192" spans="5:8" x14ac:dyDescent="0.2">
      <c r="E192" s="23"/>
      <c r="H192" s="18"/>
    </row>
    <row r="193" spans="5:8" x14ac:dyDescent="0.2">
      <c r="E193" s="23"/>
      <c r="H193" s="18"/>
    </row>
    <row r="194" spans="5:8" x14ac:dyDescent="0.2">
      <c r="E194" s="23"/>
      <c r="H194" s="18"/>
    </row>
    <row r="195" spans="5:8" x14ac:dyDescent="0.2">
      <c r="E195" s="23"/>
      <c r="H195" s="18"/>
    </row>
    <row r="196" spans="5:8" x14ac:dyDescent="0.2">
      <c r="E196" s="23"/>
      <c r="H196" s="18"/>
    </row>
    <row r="197" spans="5:8" x14ac:dyDescent="0.2">
      <c r="E197" s="23"/>
      <c r="H197" s="18"/>
    </row>
    <row r="198" spans="5:8" x14ac:dyDescent="0.2">
      <c r="E198" s="23"/>
      <c r="H198" s="18"/>
    </row>
    <row r="199" spans="5:8" x14ac:dyDescent="0.2">
      <c r="E199" s="23"/>
      <c r="H199" s="18"/>
    </row>
    <row r="200" spans="5:8" x14ac:dyDescent="0.2">
      <c r="E200" s="23"/>
      <c r="H200" s="18"/>
    </row>
    <row r="201" spans="5:8" x14ac:dyDescent="0.2">
      <c r="E201" s="23"/>
      <c r="H201" s="18"/>
    </row>
    <row r="202" spans="5:8" x14ac:dyDescent="0.2">
      <c r="E202" s="23"/>
      <c r="H202" s="18"/>
    </row>
    <row r="203" spans="5:8" x14ac:dyDescent="0.2">
      <c r="E203" s="23"/>
      <c r="H203" s="18"/>
    </row>
    <row r="204" spans="5:8" x14ac:dyDescent="0.2">
      <c r="E204" s="23"/>
      <c r="H204" s="18"/>
    </row>
    <row r="205" spans="5:8" x14ac:dyDescent="0.2">
      <c r="E205" s="23"/>
      <c r="H205" s="18"/>
    </row>
    <row r="206" spans="5:8" x14ac:dyDescent="0.2">
      <c r="E206" s="23"/>
      <c r="H206" s="18"/>
    </row>
    <row r="207" spans="5:8" x14ac:dyDescent="0.2">
      <c r="E207" s="23"/>
      <c r="H207" s="18"/>
    </row>
    <row r="208" spans="5:8" x14ac:dyDescent="0.2">
      <c r="E208" s="23"/>
      <c r="H208" s="18"/>
    </row>
    <row r="209" spans="5:8" x14ac:dyDescent="0.2">
      <c r="E209" s="23"/>
      <c r="H209" s="18"/>
    </row>
    <row r="210" spans="5:8" x14ac:dyDescent="0.2">
      <c r="E210" s="23"/>
      <c r="H210" s="18"/>
    </row>
    <row r="211" spans="5:8" x14ac:dyDescent="0.2">
      <c r="E211" s="23"/>
      <c r="H211" s="18"/>
    </row>
    <row r="212" spans="5:8" x14ac:dyDescent="0.2">
      <c r="E212" s="23"/>
      <c r="H212" s="18"/>
    </row>
    <row r="213" spans="5:8" x14ac:dyDescent="0.2">
      <c r="E213" s="23"/>
      <c r="H213" s="18"/>
    </row>
    <row r="214" spans="5:8" x14ac:dyDescent="0.2">
      <c r="E214" s="23"/>
      <c r="H214" s="18"/>
    </row>
    <row r="215" spans="5:8" x14ac:dyDescent="0.2">
      <c r="E215" s="23"/>
      <c r="H215" s="18"/>
    </row>
    <row r="216" spans="5:8" x14ac:dyDescent="0.2">
      <c r="E216" s="23"/>
      <c r="H216" s="18"/>
    </row>
    <row r="217" spans="5:8" x14ac:dyDescent="0.2">
      <c r="E217" s="23"/>
      <c r="H217" s="18"/>
    </row>
    <row r="218" spans="5:8" x14ac:dyDescent="0.2">
      <c r="E218" s="23"/>
      <c r="H218" s="18"/>
    </row>
    <row r="219" spans="5:8" x14ac:dyDescent="0.2">
      <c r="E219" s="23"/>
      <c r="H219" s="18"/>
    </row>
    <row r="220" spans="5:8" x14ac:dyDescent="0.2">
      <c r="E220" s="23"/>
      <c r="H220" s="18"/>
    </row>
    <row r="221" spans="5:8" x14ac:dyDescent="0.2">
      <c r="E221" s="23"/>
      <c r="H221" s="18"/>
    </row>
    <row r="222" spans="5:8" x14ac:dyDescent="0.2">
      <c r="E222" s="23"/>
      <c r="H222" s="18"/>
    </row>
    <row r="223" spans="5:8" x14ac:dyDescent="0.2">
      <c r="E223" s="23"/>
      <c r="H223" s="18"/>
    </row>
    <row r="224" spans="5:8" x14ac:dyDescent="0.2">
      <c r="E224" s="23"/>
      <c r="H224" s="18"/>
    </row>
    <row r="225" spans="5:8" x14ac:dyDescent="0.2">
      <c r="E225" s="23"/>
      <c r="H225" s="18"/>
    </row>
    <row r="226" spans="5:8" x14ac:dyDescent="0.2">
      <c r="E226" s="23"/>
      <c r="H226" s="18"/>
    </row>
    <row r="227" spans="5:8" x14ac:dyDescent="0.2">
      <c r="E227" s="23"/>
      <c r="H227" s="18"/>
    </row>
    <row r="228" spans="5:8" x14ac:dyDescent="0.2">
      <c r="E228" s="23"/>
      <c r="H228" s="18"/>
    </row>
    <row r="229" spans="5:8" x14ac:dyDescent="0.2">
      <c r="E229" s="23"/>
      <c r="H229" s="18"/>
    </row>
    <row r="230" spans="5:8" x14ac:dyDescent="0.2">
      <c r="E230" s="23"/>
      <c r="H230" s="18"/>
    </row>
    <row r="231" spans="5:8" x14ac:dyDescent="0.2">
      <c r="E231" s="23"/>
      <c r="H231" s="18"/>
    </row>
    <row r="232" spans="5:8" x14ac:dyDescent="0.2">
      <c r="E232" s="23"/>
      <c r="H232" s="18"/>
    </row>
    <row r="233" spans="5:8" x14ac:dyDescent="0.2">
      <c r="E233" s="23"/>
      <c r="H233" s="18"/>
    </row>
    <row r="234" spans="5:8" x14ac:dyDescent="0.2">
      <c r="E234" s="23"/>
      <c r="H234" s="18"/>
    </row>
    <row r="235" spans="5:8" x14ac:dyDescent="0.2">
      <c r="E235" s="23"/>
      <c r="H235" s="18"/>
    </row>
    <row r="236" spans="5:8" x14ac:dyDescent="0.2">
      <c r="E236" s="23"/>
      <c r="H236" s="18"/>
    </row>
    <row r="237" spans="5:8" x14ac:dyDescent="0.2">
      <c r="E237" s="23"/>
      <c r="H237" s="18"/>
    </row>
    <row r="238" spans="5:8" x14ac:dyDescent="0.2">
      <c r="E238" s="23"/>
      <c r="H238" s="18"/>
    </row>
    <row r="239" spans="5:8" x14ac:dyDescent="0.2">
      <c r="E239" s="23"/>
      <c r="H239" s="18"/>
    </row>
    <row r="240" spans="5:8" x14ac:dyDescent="0.2">
      <c r="E240" s="23"/>
      <c r="H240" s="18"/>
    </row>
    <row r="241" spans="5:8" x14ac:dyDescent="0.2">
      <c r="E241" s="23"/>
      <c r="H241" s="18"/>
    </row>
    <row r="242" spans="5:8" x14ac:dyDescent="0.2">
      <c r="E242" s="23"/>
      <c r="H242" s="18"/>
    </row>
    <row r="243" spans="5:8" x14ac:dyDescent="0.2">
      <c r="E243" s="23"/>
      <c r="H243" s="18"/>
    </row>
    <row r="244" spans="5:8" x14ac:dyDescent="0.2">
      <c r="E244" s="23"/>
      <c r="H244" s="18"/>
    </row>
    <row r="245" spans="5:8" x14ac:dyDescent="0.2">
      <c r="E245" s="23"/>
      <c r="H245" s="18"/>
    </row>
    <row r="246" spans="5:8" x14ac:dyDescent="0.2">
      <c r="E246" s="23"/>
      <c r="H246" s="18"/>
    </row>
    <row r="247" spans="5:8" x14ac:dyDescent="0.2">
      <c r="E247" s="23"/>
      <c r="H247" s="18"/>
    </row>
    <row r="248" spans="5:8" x14ac:dyDescent="0.2">
      <c r="E248" s="23"/>
      <c r="H248" s="18"/>
    </row>
    <row r="249" spans="5:8" x14ac:dyDescent="0.2">
      <c r="E249" s="23"/>
      <c r="H249" s="18"/>
    </row>
    <row r="250" spans="5:8" x14ac:dyDescent="0.2">
      <c r="E250" s="23"/>
      <c r="H250" s="18"/>
    </row>
    <row r="251" spans="5:8" x14ac:dyDescent="0.2">
      <c r="E251" s="23"/>
      <c r="H251" s="18"/>
    </row>
    <row r="252" spans="5:8" x14ac:dyDescent="0.2">
      <c r="E252" s="23"/>
      <c r="H252" s="18"/>
    </row>
    <row r="253" spans="5:8" x14ac:dyDescent="0.2">
      <c r="E253" s="23"/>
      <c r="H253" s="18"/>
    </row>
    <row r="254" spans="5:8" x14ac:dyDescent="0.2">
      <c r="E254" s="23"/>
      <c r="H254" s="18"/>
    </row>
    <row r="255" spans="5:8" x14ac:dyDescent="0.2">
      <c r="E255" s="23"/>
      <c r="H255" s="18"/>
    </row>
    <row r="256" spans="5:8" x14ac:dyDescent="0.2">
      <c r="E256" s="23"/>
      <c r="H256" s="18"/>
    </row>
    <row r="257" spans="5:8" x14ac:dyDescent="0.2">
      <c r="E257" s="23"/>
      <c r="H257" s="18"/>
    </row>
    <row r="258" spans="5:8" x14ac:dyDescent="0.2">
      <c r="E258" s="23"/>
      <c r="H258" s="18"/>
    </row>
    <row r="259" spans="5:8" x14ac:dyDescent="0.2">
      <c r="E259" s="23"/>
      <c r="H259" s="18"/>
    </row>
    <row r="260" spans="5:8" x14ac:dyDescent="0.2">
      <c r="E260" s="23"/>
      <c r="H260" s="18"/>
    </row>
    <row r="261" spans="5:8" x14ac:dyDescent="0.2">
      <c r="E261" s="23"/>
      <c r="H261" s="18"/>
    </row>
    <row r="262" spans="5:8" x14ac:dyDescent="0.2">
      <c r="E262" s="23"/>
      <c r="H262" s="18"/>
    </row>
    <row r="263" spans="5:8" x14ac:dyDescent="0.2">
      <c r="E263" s="23"/>
      <c r="H263" s="18"/>
    </row>
    <row r="264" spans="5:8" x14ac:dyDescent="0.2">
      <c r="E264" s="23"/>
      <c r="H264" s="18"/>
    </row>
    <row r="265" spans="5:8" x14ac:dyDescent="0.2">
      <c r="E265" s="23"/>
      <c r="H265" s="18"/>
    </row>
    <row r="266" spans="5:8" x14ac:dyDescent="0.2">
      <c r="E266" s="23"/>
      <c r="H266" s="18"/>
    </row>
    <row r="267" spans="5:8" x14ac:dyDescent="0.2">
      <c r="E267" s="23"/>
      <c r="H267" s="18"/>
    </row>
    <row r="268" spans="5:8" x14ac:dyDescent="0.2">
      <c r="E268" s="23"/>
      <c r="H268" s="18"/>
    </row>
    <row r="269" spans="5:8" x14ac:dyDescent="0.2">
      <c r="E269" s="23"/>
      <c r="H269" s="18"/>
    </row>
    <row r="270" spans="5:8" x14ac:dyDescent="0.2">
      <c r="E270" s="23"/>
      <c r="H270" s="18"/>
    </row>
    <row r="271" spans="5:8" x14ac:dyDescent="0.2">
      <c r="E271" s="23"/>
      <c r="H271" s="18"/>
    </row>
    <row r="272" spans="5:8" x14ac:dyDescent="0.2">
      <c r="E272" s="23"/>
      <c r="H272" s="18"/>
    </row>
    <row r="273" spans="5:8" x14ac:dyDescent="0.2">
      <c r="E273" s="23"/>
      <c r="H273" s="18"/>
    </row>
    <row r="274" spans="5:8" x14ac:dyDescent="0.2">
      <c r="E274" s="23"/>
      <c r="H274" s="18"/>
    </row>
    <row r="275" spans="5:8" x14ac:dyDescent="0.2">
      <c r="E275" s="23"/>
      <c r="H275" s="18"/>
    </row>
    <row r="276" spans="5:8" x14ac:dyDescent="0.2">
      <c r="E276" s="23"/>
      <c r="H276" s="18"/>
    </row>
    <row r="277" spans="5:8" x14ac:dyDescent="0.2">
      <c r="E277" s="23"/>
      <c r="H277" s="18"/>
    </row>
    <row r="278" spans="5:8" x14ac:dyDescent="0.2">
      <c r="E278" s="23"/>
      <c r="H278" s="18"/>
    </row>
    <row r="279" spans="5:8" x14ac:dyDescent="0.2">
      <c r="E279" s="23"/>
      <c r="H279" s="18"/>
    </row>
    <row r="280" spans="5:8" x14ac:dyDescent="0.2">
      <c r="E280" s="23"/>
      <c r="H280" s="18"/>
    </row>
    <row r="281" spans="5:8" x14ac:dyDescent="0.2">
      <c r="E281" s="23"/>
      <c r="H281" s="18"/>
    </row>
    <row r="282" spans="5:8" x14ac:dyDescent="0.2">
      <c r="E282" s="23"/>
      <c r="H282" s="18"/>
    </row>
    <row r="283" spans="5:8" x14ac:dyDescent="0.2">
      <c r="E283" s="23"/>
      <c r="H283" s="18"/>
    </row>
    <row r="284" spans="5:8" x14ac:dyDescent="0.2">
      <c r="E284" s="23"/>
      <c r="H284" s="18"/>
    </row>
    <row r="285" spans="5:8" x14ac:dyDescent="0.2">
      <c r="E285" s="23"/>
      <c r="H285" s="18"/>
    </row>
    <row r="286" spans="5:8" x14ac:dyDescent="0.2">
      <c r="E286" s="23"/>
      <c r="H286" s="18"/>
    </row>
    <row r="287" spans="5:8" x14ac:dyDescent="0.2">
      <c r="E287" s="23"/>
      <c r="H287" s="18"/>
    </row>
    <row r="288" spans="5:8" x14ac:dyDescent="0.2">
      <c r="E288" s="23"/>
      <c r="H288" s="18"/>
    </row>
    <row r="289" spans="5:8" x14ac:dyDescent="0.2">
      <c r="E289" s="23"/>
      <c r="H289" s="18"/>
    </row>
    <row r="290" spans="5:8" x14ac:dyDescent="0.2">
      <c r="E290" s="23"/>
      <c r="H290" s="18"/>
    </row>
    <row r="291" spans="5:8" x14ac:dyDescent="0.2">
      <c r="E291" s="23"/>
      <c r="H291" s="18"/>
    </row>
    <row r="292" spans="5:8" x14ac:dyDescent="0.2">
      <c r="E292" s="23"/>
      <c r="H292" s="18"/>
    </row>
    <row r="293" spans="5:8" x14ac:dyDescent="0.2">
      <c r="E293" s="23"/>
      <c r="H293" s="18"/>
    </row>
    <row r="294" spans="5:8" x14ac:dyDescent="0.2">
      <c r="E294" s="23"/>
      <c r="H294" s="18"/>
    </row>
    <row r="295" spans="5:8" x14ac:dyDescent="0.2">
      <c r="E295" s="23"/>
      <c r="H295" s="18"/>
    </row>
    <row r="296" spans="5:8" x14ac:dyDescent="0.2">
      <c r="E296" s="23"/>
      <c r="H296" s="18"/>
    </row>
    <row r="297" spans="5:8" x14ac:dyDescent="0.2">
      <c r="E297" s="23"/>
      <c r="H297" s="18"/>
    </row>
    <row r="298" spans="5:8" x14ac:dyDescent="0.2">
      <c r="E298" s="23"/>
      <c r="H298" s="18"/>
    </row>
    <row r="299" spans="5:8" x14ac:dyDescent="0.2">
      <c r="E299" s="23"/>
      <c r="H299" s="18"/>
    </row>
    <row r="300" spans="5:8" x14ac:dyDescent="0.2">
      <c r="E300" s="23"/>
      <c r="H300" s="18"/>
    </row>
    <row r="301" spans="5:8" x14ac:dyDescent="0.2">
      <c r="E301" s="23"/>
      <c r="H301" s="18"/>
    </row>
    <row r="302" spans="5:8" x14ac:dyDescent="0.2">
      <c r="E302" s="23"/>
      <c r="H302" s="18"/>
    </row>
    <row r="303" spans="5:8" x14ac:dyDescent="0.2">
      <c r="E303" s="23"/>
      <c r="H303" s="18"/>
    </row>
    <row r="304" spans="5:8" x14ac:dyDescent="0.2">
      <c r="E304" s="23"/>
      <c r="H304" s="18"/>
    </row>
    <row r="305" spans="5:8" x14ac:dyDescent="0.2">
      <c r="E305" s="23"/>
      <c r="H305" s="18"/>
    </row>
    <row r="306" spans="5:8" x14ac:dyDescent="0.2">
      <c r="E306" s="23"/>
      <c r="H306" s="18"/>
    </row>
    <row r="307" spans="5:8" x14ac:dyDescent="0.2">
      <c r="E307" s="23"/>
      <c r="H307" s="18"/>
    </row>
    <row r="308" spans="5:8" x14ac:dyDescent="0.2">
      <c r="E308" s="23"/>
      <c r="H308" s="18"/>
    </row>
    <row r="309" spans="5:8" x14ac:dyDescent="0.2">
      <c r="E309" s="23"/>
      <c r="H309" s="18"/>
    </row>
    <row r="310" spans="5:8" x14ac:dyDescent="0.2">
      <c r="E310" s="23"/>
      <c r="H310" s="18"/>
    </row>
    <row r="311" spans="5:8" x14ac:dyDescent="0.2">
      <c r="E311" s="23"/>
      <c r="H311" s="18"/>
    </row>
    <row r="312" spans="5:8" x14ac:dyDescent="0.2">
      <c r="E312" s="23"/>
      <c r="H312" s="18"/>
    </row>
    <row r="313" spans="5:8" x14ac:dyDescent="0.2">
      <c r="E313" s="23"/>
      <c r="H313" s="18"/>
    </row>
    <row r="314" spans="5:8" x14ac:dyDescent="0.2">
      <c r="E314" s="23"/>
      <c r="H314" s="18"/>
    </row>
    <row r="315" spans="5:8" x14ac:dyDescent="0.2">
      <c r="E315" s="23"/>
      <c r="H315" s="18"/>
    </row>
    <row r="316" spans="5:8" x14ac:dyDescent="0.2">
      <c r="E316" s="23"/>
      <c r="H316" s="18"/>
    </row>
    <row r="317" spans="5:8" x14ac:dyDescent="0.2">
      <c r="E317" s="23"/>
      <c r="H317" s="18"/>
    </row>
    <row r="318" spans="5:8" x14ac:dyDescent="0.2">
      <c r="E318" s="23"/>
      <c r="H318" s="18"/>
    </row>
    <row r="319" spans="5:8" x14ac:dyDescent="0.2">
      <c r="E319" s="23"/>
      <c r="H319" s="18"/>
    </row>
    <row r="320" spans="5:8" x14ac:dyDescent="0.2">
      <c r="E320" s="23"/>
      <c r="H320" s="18"/>
    </row>
    <row r="321" spans="5:8" x14ac:dyDescent="0.2">
      <c r="E321" s="23"/>
      <c r="H321" s="18"/>
    </row>
    <row r="322" spans="5:8" x14ac:dyDescent="0.2">
      <c r="E322" s="23"/>
      <c r="H322" s="18"/>
    </row>
    <row r="323" spans="5:8" x14ac:dyDescent="0.2">
      <c r="E323" s="23"/>
      <c r="H323" s="18"/>
    </row>
    <row r="324" spans="5:8" x14ac:dyDescent="0.2">
      <c r="E324" s="23"/>
      <c r="H324" s="18"/>
    </row>
    <row r="325" spans="5:8" x14ac:dyDescent="0.2">
      <c r="E325" s="23"/>
      <c r="H325" s="18"/>
    </row>
    <row r="326" spans="5:8" x14ac:dyDescent="0.2">
      <c r="E326" s="23"/>
      <c r="H326" s="18"/>
    </row>
    <row r="327" spans="5:8" x14ac:dyDescent="0.2">
      <c r="E327" s="23"/>
      <c r="H327" s="18"/>
    </row>
    <row r="328" spans="5:8" x14ac:dyDescent="0.2">
      <c r="E328" s="23"/>
      <c r="H328" s="18"/>
    </row>
    <row r="329" spans="5:8" x14ac:dyDescent="0.2">
      <c r="E329" s="23"/>
      <c r="H329" s="18"/>
    </row>
    <row r="330" spans="5:8" x14ac:dyDescent="0.2">
      <c r="E330" s="23"/>
      <c r="H330" s="18"/>
    </row>
    <row r="331" spans="5:8" x14ac:dyDescent="0.2">
      <c r="E331" s="23"/>
      <c r="H331" s="18"/>
    </row>
    <row r="332" spans="5:8" x14ac:dyDescent="0.2">
      <c r="E332" s="23"/>
      <c r="H332" s="18"/>
    </row>
    <row r="333" spans="5:8" x14ac:dyDescent="0.2">
      <c r="E333" s="23"/>
      <c r="H333" s="18"/>
    </row>
    <row r="334" spans="5:8" x14ac:dyDescent="0.2">
      <c r="E334" s="23"/>
      <c r="H334" s="18"/>
    </row>
    <row r="335" spans="5:8" x14ac:dyDescent="0.2">
      <c r="E335" s="23"/>
      <c r="H335" s="18"/>
    </row>
    <row r="336" spans="5:8" x14ac:dyDescent="0.2">
      <c r="E336" s="23"/>
      <c r="H336" s="18"/>
    </row>
    <row r="337" spans="5:8" x14ac:dyDescent="0.2">
      <c r="E337" s="23"/>
      <c r="H337" s="18"/>
    </row>
    <row r="338" spans="5:8" x14ac:dyDescent="0.2">
      <c r="E338" s="23"/>
      <c r="H338" s="18"/>
    </row>
    <row r="339" spans="5:8" x14ac:dyDescent="0.2">
      <c r="E339" s="23"/>
      <c r="H339" s="18"/>
    </row>
    <row r="340" spans="5:8" x14ac:dyDescent="0.2">
      <c r="E340" s="23"/>
      <c r="H340" s="18"/>
    </row>
    <row r="341" spans="5:8" x14ac:dyDescent="0.2">
      <c r="E341" s="23"/>
      <c r="H341" s="18"/>
    </row>
    <row r="342" spans="5:8" x14ac:dyDescent="0.2">
      <c r="E342" s="23"/>
      <c r="H342" s="18"/>
    </row>
    <row r="343" spans="5:8" x14ac:dyDescent="0.2">
      <c r="E343" s="23"/>
      <c r="H343" s="18"/>
    </row>
    <row r="344" spans="5:8" x14ac:dyDescent="0.2">
      <c r="E344" s="23"/>
      <c r="H344" s="18"/>
    </row>
    <row r="345" spans="5:8" x14ac:dyDescent="0.2">
      <c r="E345" s="23"/>
      <c r="H345" s="18"/>
    </row>
    <row r="346" spans="5:8" x14ac:dyDescent="0.2">
      <c r="E346" s="23"/>
      <c r="H346" s="18"/>
    </row>
    <row r="347" spans="5:8" x14ac:dyDescent="0.2">
      <c r="E347" s="23"/>
      <c r="H347" s="18"/>
    </row>
    <row r="348" spans="5:8" x14ac:dyDescent="0.2">
      <c r="E348" s="23"/>
      <c r="H348" s="18"/>
    </row>
    <row r="349" spans="5:8" x14ac:dyDescent="0.2">
      <c r="E349" s="23"/>
      <c r="H349" s="18"/>
    </row>
    <row r="350" spans="5:8" x14ac:dyDescent="0.2">
      <c r="E350" s="23"/>
      <c r="H350" s="18"/>
    </row>
    <row r="351" spans="5:8" x14ac:dyDescent="0.2">
      <c r="E351" s="23"/>
      <c r="H351" s="18"/>
    </row>
    <row r="352" spans="5:8" x14ac:dyDescent="0.2">
      <c r="E352" s="23"/>
      <c r="H352" s="18"/>
    </row>
    <row r="353" spans="5:8" x14ac:dyDescent="0.2">
      <c r="E353" s="23"/>
      <c r="H353" s="18"/>
    </row>
    <row r="354" spans="5:8" x14ac:dyDescent="0.2">
      <c r="E354" s="23"/>
      <c r="H354" s="18"/>
    </row>
    <row r="355" spans="5:8" x14ac:dyDescent="0.2">
      <c r="E355" s="23"/>
      <c r="H355" s="18"/>
    </row>
    <row r="356" spans="5:8" x14ac:dyDescent="0.2">
      <c r="E356" s="23"/>
      <c r="H356" s="18"/>
    </row>
    <row r="357" spans="5:8" x14ac:dyDescent="0.2">
      <c r="E357" s="23"/>
      <c r="H357" s="18"/>
    </row>
    <row r="358" spans="5:8" x14ac:dyDescent="0.2">
      <c r="E358" s="23"/>
      <c r="H358" s="18"/>
    </row>
    <row r="359" spans="5:8" x14ac:dyDescent="0.2">
      <c r="E359" s="23"/>
      <c r="H359" s="18"/>
    </row>
    <row r="360" spans="5:8" x14ac:dyDescent="0.2">
      <c r="E360" s="23"/>
      <c r="H360" s="18"/>
    </row>
    <row r="361" spans="5:8" x14ac:dyDescent="0.2">
      <c r="E361" s="23"/>
      <c r="H361" s="18"/>
    </row>
    <row r="362" spans="5:8" x14ac:dyDescent="0.2">
      <c r="E362" s="23"/>
      <c r="H362" s="18"/>
    </row>
    <row r="363" spans="5:8" x14ac:dyDescent="0.2">
      <c r="E363" s="23"/>
      <c r="H363" s="18"/>
    </row>
    <row r="364" spans="5:8" x14ac:dyDescent="0.2">
      <c r="E364" s="23"/>
      <c r="H364" s="18"/>
    </row>
    <row r="365" spans="5:8" x14ac:dyDescent="0.2">
      <c r="E365" s="23"/>
      <c r="H365" s="18"/>
    </row>
    <row r="366" spans="5:8" x14ac:dyDescent="0.2">
      <c r="E366" s="23"/>
      <c r="H366" s="18"/>
    </row>
    <row r="367" spans="5:8" x14ac:dyDescent="0.2">
      <c r="E367" s="23"/>
      <c r="H367" s="18"/>
    </row>
    <row r="368" spans="5:8" x14ac:dyDescent="0.2">
      <c r="E368" s="23"/>
      <c r="H368" s="18"/>
    </row>
    <row r="369" spans="5:8" x14ac:dyDescent="0.2">
      <c r="E369" s="23"/>
      <c r="H369" s="18"/>
    </row>
    <row r="370" spans="5:8" x14ac:dyDescent="0.2">
      <c r="E370" s="23"/>
      <c r="H370" s="18"/>
    </row>
    <row r="371" spans="5:8" x14ac:dyDescent="0.2">
      <c r="E371" s="23"/>
      <c r="H371" s="18"/>
    </row>
    <row r="372" spans="5:8" x14ac:dyDescent="0.2">
      <c r="E372" s="23"/>
      <c r="H372" s="18"/>
    </row>
    <row r="373" spans="5:8" x14ac:dyDescent="0.2">
      <c r="E373" s="23"/>
      <c r="H373" s="18"/>
    </row>
    <row r="374" spans="5:8" x14ac:dyDescent="0.2">
      <c r="E374" s="23"/>
      <c r="H374" s="18"/>
    </row>
    <row r="375" spans="5:8" x14ac:dyDescent="0.2">
      <c r="E375" s="23"/>
      <c r="H375" s="18"/>
    </row>
    <row r="376" spans="5:8" x14ac:dyDescent="0.2">
      <c r="E376" s="23"/>
      <c r="H376" s="18"/>
    </row>
    <row r="377" spans="5:8" x14ac:dyDescent="0.2">
      <c r="E377" s="23"/>
      <c r="H377" s="18"/>
    </row>
    <row r="378" spans="5:8" x14ac:dyDescent="0.2">
      <c r="E378" s="23"/>
      <c r="H378" s="18"/>
    </row>
    <row r="379" spans="5:8" x14ac:dyDescent="0.2">
      <c r="E379" s="23"/>
      <c r="H379" s="18"/>
    </row>
    <row r="380" spans="5:8" x14ac:dyDescent="0.2">
      <c r="E380" s="23"/>
      <c r="H380" s="18"/>
    </row>
    <row r="381" spans="5:8" x14ac:dyDescent="0.2">
      <c r="E381" s="23"/>
      <c r="H381" s="18"/>
    </row>
    <row r="382" spans="5:8" x14ac:dyDescent="0.2">
      <c r="E382" s="23"/>
      <c r="H382" s="18"/>
    </row>
    <row r="383" spans="5:8" x14ac:dyDescent="0.2">
      <c r="E383" s="23"/>
      <c r="H383" s="18"/>
    </row>
    <row r="384" spans="5:8" x14ac:dyDescent="0.2">
      <c r="E384" s="23"/>
      <c r="H384" s="18"/>
    </row>
    <row r="385" spans="5:8" x14ac:dyDescent="0.2">
      <c r="E385" s="23"/>
      <c r="H385" s="18"/>
    </row>
    <row r="386" spans="5:8" x14ac:dyDescent="0.2">
      <c r="E386" s="23"/>
      <c r="H386" s="18"/>
    </row>
    <row r="387" spans="5:8" x14ac:dyDescent="0.2">
      <c r="E387" s="23"/>
      <c r="H387" s="18"/>
    </row>
    <row r="388" spans="5:8" x14ac:dyDescent="0.2">
      <c r="E388" s="23"/>
      <c r="H388" s="18"/>
    </row>
    <row r="389" spans="5:8" x14ac:dyDescent="0.2">
      <c r="E389" s="23"/>
      <c r="H389" s="18"/>
    </row>
    <row r="390" spans="5:8" x14ac:dyDescent="0.2">
      <c r="E390" s="23"/>
      <c r="H390" s="18"/>
    </row>
    <row r="391" spans="5:8" x14ac:dyDescent="0.2">
      <c r="E391" s="23"/>
      <c r="H391" s="18"/>
    </row>
    <row r="392" spans="5:8" x14ac:dyDescent="0.2">
      <c r="E392" s="23"/>
      <c r="H392" s="18"/>
    </row>
    <row r="393" spans="5:8" x14ac:dyDescent="0.2">
      <c r="E393" s="23"/>
      <c r="H393" s="18"/>
    </row>
    <row r="394" spans="5:8" x14ac:dyDescent="0.2">
      <c r="E394" s="23"/>
      <c r="H394" s="18"/>
    </row>
    <row r="395" spans="5:8" x14ac:dyDescent="0.2">
      <c r="E395" s="23"/>
      <c r="H395" s="18"/>
    </row>
    <row r="396" spans="5:8" x14ac:dyDescent="0.2">
      <c r="E396" s="23"/>
      <c r="H396" s="18"/>
    </row>
    <row r="397" spans="5:8" x14ac:dyDescent="0.2">
      <c r="E397" s="23"/>
      <c r="H397" s="18"/>
    </row>
    <row r="398" spans="5:8" x14ac:dyDescent="0.2">
      <c r="E398" s="23"/>
      <c r="H398" s="18"/>
    </row>
    <row r="399" spans="5:8" x14ac:dyDescent="0.2">
      <c r="E399" s="23"/>
      <c r="H399" s="18"/>
    </row>
    <row r="400" spans="5:8" x14ac:dyDescent="0.2">
      <c r="E400" s="23"/>
      <c r="H400" s="18"/>
    </row>
    <row r="401" spans="5:8" x14ac:dyDescent="0.2">
      <c r="E401" s="23"/>
      <c r="H401" s="18"/>
    </row>
    <row r="402" spans="5:8" x14ac:dyDescent="0.2">
      <c r="E402" s="23"/>
      <c r="H402" s="18"/>
    </row>
    <row r="403" spans="5:8" x14ac:dyDescent="0.2">
      <c r="E403" s="23"/>
      <c r="H403" s="18"/>
    </row>
    <row r="404" spans="5:8" x14ac:dyDescent="0.2">
      <c r="E404" s="23"/>
      <c r="H404" s="18"/>
    </row>
    <row r="405" spans="5:8" x14ac:dyDescent="0.2">
      <c r="E405" s="23"/>
      <c r="H405" s="18"/>
    </row>
    <row r="406" spans="5:8" x14ac:dyDescent="0.2">
      <c r="E406" s="23"/>
      <c r="H406" s="18"/>
    </row>
    <row r="407" spans="5:8" x14ac:dyDescent="0.2">
      <c r="E407" s="23"/>
      <c r="H407" s="18"/>
    </row>
    <row r="408" spans="5:8" x14ac:dyDescent="0.2">
      <c r="E408" s="23"/>
      <c r="H408" s="18"/>
    </row>
    <row r="409" spans="5:8" x14ac:dyDescent="0.2">
      <c r="E409" s="23"/>
      <c r="H409" s="18"/>
    </row>
    <row r="410" spans="5:8" x14ac:dyDescent="0.2">
      <c r="E410" s="23"/>
      <c r="H410" s="18"/>
    </row>
    <row r="411" spans="5:8" x14ac:dyDescent="0.2">
      <c r="E411" s="23"/>
      <c r="H411" s="18"/>
    </row>
    <row r="412" spans="5:8" x14ac:dyDescent="0.2">
      <c r="E412" s="23"/>
      <c r="H412" s="18"/>
    </row>
    <row r="413" spans="5:8" x14ac:dyDescent="0.2">
      <c r="E413" s="23"/>
      <c r="H413" s="18"/>
    </row>
    <row r="414" spans="5:8" x14ac:dyDescent="0.2">
      <c r="E414" s="23"/>
      <c r="H414" s="18"/>
    </row>
    <row r="415" spans="5:8" x14ac:dyDescent="0.2">
      <c r="E415" s="23"/>
      <c r="H415" s="18"/>
    </row>
    <row r="416" spans="5:8" x14ac:dyDescent="0.2">
      <c r="E416" s="23"/>
      <c r="H416" s="18"/>
    </row>
    <row r="417" spans="5:8" x14ac:dyDescent="0.2">
      <c r="E417" s="23"/>
      <c r="H417" s="18"/>
    </row>
    <row r="418" spans="5:8" x14ac:dyDescent="0.2">
      <c r="E418" s="23"/>
      <c r="H418" s="18"/>
    </row>
    <row r="419" spans="5:8" x14ac:dyDescent="0.2">
      <c r="E419" s="23"/>
      <c r="H419" s="18"/>
    </row>
    <row r="420" spans="5:8" x14ac:dyDescent="0.2">
      <c r="E420" s="23"/>
      <c r="H420" s="18"/>
    </row>
    <row r="421" spans="5:8" x14ac:dyDescent="0.2">
      <c r="E421" s="23"/>
      <c r="H421" s="18"/>
    </row>
    <row r="422" spans="5:8" x14ac:dyDescent="0.2">
      <c r="E422" s="23"/>
      <c r="H422" s="18"/>
    </row>
    <row r="423" spans="5:8" x14ac:dyDescent="0.2">
      <c r="E423" s="23"/>
      <c r="H423" s="18"/>
    </row>
    <row r="424" spans="5:8" x14ac:dyDescent="0.2">
      <c r="E424" s="23"/>
      <c r="H424" s="18"/>
    </row>
    <row r="425" spans="5:8" x14ac:dyDescent="0.2">
      <c r="E425" s="23"/>
      <c r="H425" s="18"/>
    </row>
    <row r="426" spans="5:8" x14ac:dyDescent="0.2">
      <c r="E426" s="23"/>
      <c r="H426" s="18"/>
    </row>
    <row r="427" spans="5:8" x14ac:dyDescent="0.2">
      <c r="E427" s="23"/>
      <c r="H427" s="18"/>
    </row>
    <row r="428" spans="5:8" x14ac:dyDescent="0.2">
      <c r="E428" s="23"/>
      <c r="H428" s="18"/>
    </row>
    <row r="429" spans="5:8" x14ac:dyDescent="0.2">
      <c r="E429" s="23"/>
      <c r="H429" s="18"/>
    </row>
    <row r="430" spans="5:8" x14ac:dyDescent="0.2">
      <c r="E430" s="23"/>
      <c r="H430" s="18"/>
    </row>
    <row r="431" spans="5:8" x14ac:dyDescent="0.2">
      <c r="E431" s="23"/>
      <c r="H431" s="18"/>
    </row>
    <row r="432" spans="5:8" x14ac:dyDescent="0.2">
      <c r="E432" s="23"/>
      <c r="H432" s="18"/>
    </row>
    <row r="433" spans="5:8" x14ac:dyDescent="0.2">
      <c r="E433" s="23"/>
      <c r="H433" s="18"/>
    </row>
    <row r="434" spans="5:8" x14ac:dyDescent="0.2">
      <c r="E434" s="23"/>
      <c r="H434" s="18"/>
    </row>
    <row r="435" spans="5:8" x14ac:dyDescent="0.2">
      <c r="E435" s="23"/>
      <c r="H435" s="18"/>
    </row>
    <row r="436" spans="5:8" x14ac:dyDescent="0.2">
      <c r="E436" s="23"/>
      <c r="H436" s="18"/>
    </row>
    <row r="437" spans="5:8" x14ac:dyDescent="0.2">
      <c r="E437" s="23"/>
      <c r="H437" s="18"/>
    </row>
    <row r="438" spans="5:8" x14ac:dyDescent="0.2">
      <c r="E438" s="23"/>
      <c r="H438" s="18"/>
    </row>
    <row r="439" spans="5:8" x14ac:dyDescent="0.2">
      <c r="E439" s="23"/>
      <c r="H439" s="18"/>
    </row>
    <row r="440" spans="5:8" x14ac:dyDescent="0.2">
      <c r="E440" s="23"/>
      <c r="H440" s="18"/>
    </row>
    <row r="441" spans="5:8" x14ac:dyDescent="0.2">
      <c r="E441" s="23"/>
      <c r="H441" s="18"/>
    </row>
    <row r="442" spans="5:8" x14ac:dyDescent="0.2">
      <c r="E442" s="23"/>
      <c r="H442" s="18"/>
    </row>
    <row r="443" spans="5:8" x14ac:dyDescent="0.2">
      <c r="E443" s="23"/>
      <c r="H443" s="18"/>
    </row>
    <row r="444" spans="5:8" x14ac:dyDescent="0.2">
      <c r="E444" s="23"/>
      <c r="H444" s="18"/>
    </row>
    <row r="445" spans="5:8" x14ac:dyDescent="0.2">
      <c r="E445" s="23"/>
      <c r="H445" s="18"/>
    </row>
    <row r="446" spans="5:8" x14ac:dyDescent="0.2">
      <c r="E446" s="23"/>
      <c r="H446" s="18"/>
    </row>
    <row r="447" spans="5:8" x14ac:dyDescent="0.2">
      <c r="E447" s="23"/>
      <c r="H447" s="18"/>
    </row>
    <row r="448" spans="5:8" x14ac:dyDescent="0.2">
      <c r="E448" s="23"/>
      <c r="H448" s="18"/>
    </row>
    <row r="449" spans="5:8" x14ac:dyDescent="0.2">
      <c r="E449" s="23"/>
      <c r="H449" s="18"/>
    </row>
    <row r="450" spans="5:8" x14ac:dyDescent="0.2">
      <c r="E450" s="23"/>
      <c r="H450" s="18"/>
    </row>
    <row r="451" spans="5:8" x14ac:dyDescent="0.2">
      <c r="E451" s="23"/>
      <c r="H451" s="18"/>
    </row>
    <row r="452" spans="5:8" x14ac:dyDescent="0.2">
      <c r="E452" s="23"/>
      <c r="H452" s="18"/>
    </row>
    <row r="453" spans="5:8" x14ac:dyDescent="0.2">
      <c r="E453" s="23"/>
      <c r="H453" s="18"/>
    </row>
    <row r="454" spans="5:8" x14ac:dyDescent="0.2">
      <c r="E454" s="23"/>
      <c r="H454" s="18"/>
    </row>
    <row r="455" spans="5:8" x14ac:dyDescent="0.2">
      <c r="E455" s="23"/>
      <c r="H455" s="18"/>
    </row>
    <row r="456" spans="5:8" x14ac:dyDescent="0.2">
      <c r="E456" s="23"/>
      <c r="H456" s="18"/>
    </row>
    <row r="457" spans="5:8" x14ac:dyDescent="0.2">
      <c r="E457" s="23"/>
      <c r="H457" s="18"/>
    </row>
    <row r="458" spans="5:8" x14ac:dyDescent="0.2">
      <c r="E458" s="23"/>
      <c r="H458" s="18"/>
    </row>
    <row r="459" spans="5:8" x14ac:dyDescent="0.2">
      <c r="E459" s="23"/>
      <c r="H459" s="18"/>
    </row>
    <row r="460" spans="5:8" x14ac:dyDescent="0.2">
      <c r="E460" s="23"/>
      <c r="H460" s="18"/>
    </row>
    <row r="461" spans="5:8" x14ac:dyDescent="0.2">
      <c r="E461" s="23"/>
      <c r="H461" s="18"/>
    </row>
    <row r="462" spans="5:8" x14ac:dyDescent="0.2">
      <c r="E462" s="23"/>
      <c r="H462" s="18"/>
    </row>
    <row r="463" spans="5:8" x14ac:dyDescent="0.2">
      <c r="E463" s="23"/>
      <c r="H463" s="18"/>
    </row>
    <row r="464" spans="5:8" x14ac:dyDescent="0.2">
      <c r="E464" s="23"/>
      <c r="H464" s="18"/>
    </row>
    <row r="465" spans="5:8" x14ac:dyDescent="0.2">
      <c r="E465" s="23"/>
      <c r="H465" s="18"/>
    </row>
    <row r="466" spans="5:8" x14ac:dyDescent="0.2">
      <c r="E466" s="23"/>
      <c r="H466" s="18"/>
    </row>
    <row r="467" spans="5:8" x14ac:dyDescent="0.2">
      <c r="E467" s="23"/>
      <c r="H467" s="18"/>
    </row>
    <row r="468" spans="5:8" x14ac:dyDescent="0.2">
      <c r="E468" s="23"/>
      <c r="H468" s="18"/>
    </row>
    <row r="469" spans="5:8" x14ac:dyDescent="0.2">
      <c r="E469" s="23"/>
      <c r="H469" s="18"/>
    </row>
    <row r="470" spans="5:8" x14ac:dyDescent="0.2">
      <c r="E470" s="23"/>
      <c r="H470" s="18"/>
    </row>
    <row r="471" spans="5:8" x14ac:dyDescent="0.2">
      <c r="E471" s="23"/>
      <c r="H471" s="18"/>
    </row>
    <row r="472" spans="5:8" x14ac:dyDescent="0.2">
      <c r="E472" s="23"/>
      <c r="H472" s="18"/>
    </row>
    <row r="473" spans="5:8" x14ac:dyDescent="0.2">
      <c r="E473" s="23"/>
      <c r="H473" s="18"/>
    </row>
    <row r="474" spans="5:8" x14ac:dyDescent="0.2">
      <c r="E474" s="23"/>
      <c r="H474" s="18"/>
    </row>
    <row r="475" spans="5:8" x14ac:dyDescent="0.2">
      <c r="E475" s="23"/>
      <c r="H475" s="18"/>
    </row>
    <row r="476" spans="5:8" x14ac:dyDescent="0.2">
      <c r="E476" s="23"/>
      <c r="H476" s="18"/>
    </row>
    <row r="477" spans="5:8" x14ac:dyDescent="0.2">
      <c r="E477" s="23"/>
      <c r="H477" s="18"/>
    </row>
    <row r="478" spans="5:8" x14ac:dyDescent="0.2">
      <c r="E478" s="23"/>
      <c r="H478" s="18"/>
    </row>
    <row r="479" spans="5:8" x14ac:dyDescent="0.2">
      <c r="E479" s="23"/>
      <c r="H479" s="18"/>
    </row>
    <row r="480" spans="5:8" x14ac:dyDescent="0.2">
      <c r="E480" s="23"/>
      <c r="H480" s="18"/>
    </row>
    <row r="481" spans="5:8" x14ac:dyDescent="0.2">
      <c r="E481" s="23"/>
      <c r="H481" s="18"/>
    </row>
    <row r="482" spans="5:8" x14ac:dyDescent="0.2">
      <c r="E482" s="23"/>
      <c r="H482" s="18"/>
    </row>
    <row r="483" spans="5:8" x14ac:dyDescent="0.2">
      <c r="E483" s="23"/>
      <c r="H483" s="18"/>
    </row>
    <row r="484" spans="5:8" x14ac:dyDescent="0.2">
      <c r="E484" s="23"/>
      <c r="H484" s="18"/>
    </row>
    <row r="485" spans="5:8" x14ac:dyDescent="0.2">
      <c r="E485" s="23"/>
      <c r="H485" s="18"/>
    </row>
    <row r="486" spans="5:8" x14ac:dyDescent="0.2">
      <c r="E486" s="23"/>
      <c r="H486" s="18"/>
    </row>
    <row r="487" spans="5:8" x14ac:dyDescent="0.2">
      <c r="E487" s="23"/>
      <c r="H487" s="18"/>
    </row>
    <row r="488" spans="5:8" x14ac:dyDescent="0.2">
      <c r="E488" s="23"/>
      <c r="H488" s="18"/>
    </row>
    <row r="489" spans="5:8" x14ac:dyDescent="0.2">
      <c r="E489" s="23"/>
      <c r="H489" s="18"/>
    </row>
    <row r="490" spans="5:8" x14ac:dyDescent="0.2">
      <c r="E490" s="23"/>
      <c r="H490" s="18"/>
    </row>
    <row r="491" spans="5:8" x14ac:dyDescent="0.2">
      <c r="E491" s="23"/>
      <c r="H491" s="18"/>
    </row>
    <row r="492" spans="5:8" x14ac:dyDescent="0.2">
      <c r="E492" s="23"/>
      <c r="H492" s="18"/>
    </row>
    <row r="493" spans="5:8" x14ac:dyDescent="0.2">
      <c r="E493" s="23"/>
      <c r="H493" s="18"/>
    </row>
    <row r="494" spans="5:8" x14ac:dyDescent="0.2">
      <c r="E494" s="23"/>
      <c r="H494" s="18"/>
    </row>
    <row r="495" spans="5:8" x14ac:dyDescent="0.2">
      <c r="E495" s="23"/>
      <c r="H495" s="18"/>
    </row>
    <row r="496" spans="5:8" x14ac:dyDescent="0.2">
      <c r="E496" s="23"/>
      <c r="H496" s="18"/>
    </row>
    <row r="497" spans="5:8" x14ac:dyDescent="0.2">
      <c r="E497" s="23"/>
      <c r="H497" s="18"/>
    </row>
    <row r="498" spans="5:8" x14ac:dyDescent="0.2">
      <c r="E498" s="23"/>
      <c r="H498" s="18"/>
    </row>
    <row r="499" spans="5:8" x14ac:dyDescent="0.2">
      <c r="E499" s="23"/>
      <c r="H499" s="18"/>
    </row>
    <row r="500" spans="5:8" x14ac:dyDescent="0.2">
      <c r="E500" s="23"/>
      <c r="H500" s="18"/>
    </row>
    <row r="501" spans="5:8" x14ac:dyDescent="0.2">
      <c r="E501" s="23"/>
      <c r="H501" s="18"/>
    </row>
    <row r="502" spans="5:8" x14ac:dyDescent="0.2">
      <c r="E502" s="23"/>
      <c r="H502" s="18"/>
    </row>
    <row r="503" spans="5:8" x14ac:dyDescent="0.2">
      <c r="E503" s="23"/>
      <c r="H503" s="18"/>
    </row>
    <row r="504" spans="5:8" x14ac:dyDescent="0.2">
      <c r="E504" s="23"/>
      <c r="H504" s="18"/>
    </row>
    <row r="505" spans="5:8" x14ac:dyDescent="0.2">
      <c r="E505" s="23"/>
      <c r="H505" s="18"/>
    </row>
    <row r="506" spans="5:8" x14ac:dyDescent="0.2">
      <c r="E506" s="23"/>
      <c r="H506" s="18"/>
    </row>
    <row r="507" spans="5:8" x14ac:dyDescent="0.2">
      <c r="E507" s="23"/>
      <c r="H507" s="18"/>
    </row>
    <row r="508" spans="5:8" x14ac:dyDescent="0.2">
      <c r="E508" s="23"/>
      <c r="H508" s="18"/>
    </row>
    <row r="509" spans="5:8" x14ac:dyDescent="0.2">
      <c r="E509" s="23"/>
      <c r="H509" s="18"/>
    </row>
    <row r="510" spans="5:8" x14ac:dyDescent="0.2">
      <c r="E510" s="23"/>
      <c r="H510" s="18"/>
    </row>
    <row r="511" spans="5:8" x14ac:dyDescent="0.2">
      <c r="E511" s="23"/>
      <c r="H511" s="18"/>
    </row>
    <row r="512" spans="5:8" x14ac:dyDescent="0.2">
      <c r="E512" s="23"/>
      <c r="H512" s="18"/>
    </row>
    <row r="513" spans="5:8" x14ac:dyDescent="0.2">
      <c r="E513" s="23"/>
      <c r="H513" s="18"/>
    </row>
    <row r="514" spans="5:8" x14ac:dyDescent="0.2">
      <c r="E514" s="23"/>
      <c r="H514" s="18"/>
    </row>
    <row r="515" spans="5:8" x14ac:dyDescent="0.2">
      <c r="E515" s="23"/>
      <c r="H515" s="18"/>
    </row>
    <row r="516" spans="5:8" x14ac:dyDescent="0.2">
      <c r="E516" s="23"/>
      <c r="H516" s="18"/>
    </row>
    <row r="517" spans="5:8" x14ac:dyDescent="0.2">
      <c r="E517" s="23"/>
      <c r="H517" s="18"/>
    </row>
    <row r="518" spans="5:8" x14ac:dyDescent="0.2">
      <c r="E518" s="23"/>
      <c r="H518" s="18"/>
    </row>
    <row r="519" spans="5:8" x14ac:dyDescent="0.2">
      <c r="E519" s="23"/>
      <c r="H519" s="18"/>
    </row>
    <row r="520" spans="5:8" x14ac:dyDescent="0.2">
      <c r="E520" s="23"/>
      <c r="H520" s="18"/>
    </row>
    <row r="521" spans="5:8" x14ac:dyDescent="0.2">
      <c r="E521" s="23"/>
      <c r="H521" s="18"/>
    </row>
    <row r="522" spans="5:8" x14ac:dyDescent="0.2">
      <c r="E522" s="23"/>
      <c r="H522" s="18"/>
    </row>
    <row r="523" spans="5:8" x14ac:dyDescent="0.2">
      <c r="E523" s="23"/>
      <c r="H523" s="18"/>
    </row>
    <row r="524" spans="5:8" x14ac:dyDescent="0.2">
      <c r="E524" s="23"/>
      <c r="H524" s="18"/>
    </row>
    <row r="525" spans="5:8" x14ac:dyDescent="0.2">
      <c r="E525" s="23"/>
      <c r="H525" s="18"/>
    </row>
    <row r="526" spans="5:8" x14ac:dyDescent="0.2">
      <c r="E526" s="23"/>
      <c r="H526" s="18"/>
    </row>
    <row r="527" spans="5:8" x14ac:dyDescent="0.2">
      <c r="E527" s="23"/>
      <c r="H527" s="18"/>
    </row>
    <row r="528" spans="5:8" x14ac:dyDescent="0.2">
      <c r="E528" s="23"/>
      <c r="H528" s="18"/>
    </row>
    <row r="529" spans="5:8" x14ac:dyDescent="0.2">
      <c r="E529" s="23"/>
      <c r="H529" s="18"/>
    </row>
    <row r="530" spans="5:8" x14ac:dyDescent="0.2">
      <c r="E530" s="23"/>
      <c r="H530" s="18"/>
    </row>
    <row r="531" spans="5:8" x14ac:dyDescent="0.2">
      <c r="E531" s="23"/>
      <c r="H531" s="18"/>
    </row>
    <row r="532" spans="5:8" x14ac:dyDescent="0.2">
      <c r="E532" s="23"/>
      <c r="H532" s="18"/>
    </row>
    <row r="533" spans="5:8" x14ac:dyDescent="0.2">
      <c r="E533" s="23"/>
      <c r="H533" s="18"/>
    </row>
    <row r="534" spans="5:8" x14ac:dyDescent="0.2">
      <c r="E534" s="23"/>
      <c r="H534" s="18"/>
    </row>
    <row r="535" spans="5:8" x14ac:dyDescent="0.2">
      <c r="E535" s="23"/>
      <c r="H535" s="18"/>
    </row>
    <row r="536" spans="5:8" x14ac:dyDescent="0.2">
      <c r="E536" s="23"/>
      <c r="H536" s="18"/>
    </row>
    <row r="537" spans="5:8" x14ac:dyDescent="0.2">
      <c r="E537" s="23"/>
      <c r="H537" s="18"/>
    </row>
    <row r="538" spans="5:8" x14ac:dyDescent="0.2">
      <c r="E538" s="23"/>
      <c r="H538" s="18"/>
    </row>
    <row r="539" spans="5:8" x14ac:dyDescent="0.2">
      <c r="E539" s="23"/>
      <c r="H539" s="18"/>
    </row>
    <row r="540" spans="5:8" x14ac:dyDescent="0.2">
      <c r="E540" s="23"/>
      <c r="H540" s="18"/>
    </row>
    <row r="541" spans="5:8" x14ac:dyDescent="0.2">
      <c r="E541" s="23"/>
      <c r="H541" s="18"/>
    </row>
    <row r="542" spans="5:8" x14ac:dyDescent="0.2">
      <c r="E542" s="23"/>
      <c r="H542" s="18"/>
    </row>
    <row r="543" spans="5:8" x14ac:dyDescent="0.2">
      <c r="E543" s="23"/>
      <c r="H543" s="18"/>
    </row>
    <row r="544" spans="5:8" x14ac:dyDescent="0.2">
      <c r="E544" s="23"/>
      <c r="H544" s="18"/>
    </row>
    <row r="545" spans="5:8" x14ac:dyDescent="0.2">
      <c r="E545" s="23"/>
      <c r="H545" s="18"/>
    </row>
    <row r="546" spans="5:8" x14ac:dyDescent="0.2">
      <c r="E546" s="23"/>
      <c r="H546" s="18"/>
    </row>
    <row r="547" spans="5:8" x14ac:dyDescent="0.2">
      <c r="E547" s="23"/>
      <c r="H547" s="18"/>
    </row>
    <row r="548" spans="5:8" x14ac:dyDescent="0.2">
      <c r="E548" s="23"/>
      <c r="H548" s="18"/>
    </row>
    <row r="549" spans="5:8" x14ac:dyDescent="0.2">
      <c r="E549" s="23"/>
      <c r="H549" s="18"/>
    </row>
    <row r="550" spans="5:8" x14ac:dyDescent="0.2">
      <c r="H550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62150-75F1-104B-B614-600B46B5E0F0}">
  <dimension ref="A1:S261"/>
  <sheetViews>
    <sheetView zoomScale="112" workbookViewId="0">
      <selection activeCell="C2" sqref="C2:R3"/>
    </sheetView>
  </sheetViews>
  <sheetFormatPr baseColWidth="10" defaultRowHeight="15" x14ac:dyDescent="0.2"/>
  <cols>
    <col min="1" max="1" width="37" bestFit="1" customWidth="1"/>
    <col min="2" max="2" width="14.5" bestFit="1" customWidth="1"/>
    <col min="3" max="6" width="12.1640625" bestFit="1" customWidth="1"/>
    <col min="7" max="7" width="12.6640625" bestFit="1" customWidth="1"/>
    <col min="8" max="8" width="14.6640625" bestFit="1" customWidth="1"/>
    <col min="9" max="9" width="17" bestFit="1" customWidth="1"/>
    <col min="10" max="10" width="10" bestFit="1" customWidth="1"/>
    <col min="11" max="11" width="14.6640625" bestFit="1" customWidth="1"/>
    <col min="12" max="12" width="12.1640625" bestFit="1" customWidth="1"/>
    <col min="13" max="13" width="27.5" bestFit="1" customWidth="1"/>
    <col min="14" max="14" width="14.6640625" bestFit="1" customWidth="1"/>
    <col min="15" max="15" width="16.5" bestFit="1" customWidth="1"/>
    <col min="16" max="16" width="28.33203125" bestFit="1" customWidth="1"/>
    <col min="17" max="17" width="14.6640625" bestFit="1" customWidth="1"/>
    <col min="18" max="18" width="12.6640625" bestFit="1" customWidth="1"/>
    <col min="20" max="20" width="14.6640625" bestFit="1" customWidth="1"/>
  </cols>
  <sheetData>
    <row r="1" spans="1:18" ht="18" thickBot="1" x14ac:dyDescent="0.25">
      <c r="A1" s="9" t="s">
        <v>15</v>
      </c>
    </row>
    <row r="2" spans="1:18" ht="17" thickTop="1" x14ac:dyDescent="0.2">
      <c r="M2" s="73" t="s">
        <v>29</v>
      </c>
      <c r="N2" s="73"/>
      <c r="O2" s="73"/>
    </row>
    <row r="3" spans="1:18" ht="16" x14ac:dyDescent="0.2">
      <c r="C3" s="5" t="s">
        <v>17</v>
      </c>
      <c r="D3" s="5" t="s">
        <v>18</v>
      </c>
      <c r="E3" s="5" t="s">
        <v>21</v>
      </c>
      <c r="F3" s="5" t="s">
        <v>22</v>
      </c>
      <c r="G3" s="5" t="s">
        <v>23</v>
      </c>
      <c r="H3" s="5" t="s">
        <v>24</v>
      </c>
      <c r="I3" s="5" t="s">
        <v>25</v>
      </c>
      <c r="J3" s="5" t="s">
        <v>26</v>
      </c>
      <c r="K3" s="5" t="s">
        <v>27</v>
      </c>
      <c r="L3" s="5" t="s">
        <v>28</v>
      </c>
      <c r="M3" s="5" t="s">
        <v>44</v>
      </c>
      <c r="N3" s="5" t="s">
        <v>45</v>
      </c>
      <c r="O3" s="5" t="s">
        <v>46</v>
      </c>
      <c r="P3" s="5" t="s">
        <v>47</v>
      </c>
      <c r="Q3" s="5" t="s">
        <v>30</v>
      </c>
      <c r="R3" s="5" t="s">
        <v>31</v>
      </c>
    </row>
    <row r="4" spans="1:18" ht="16" x14ac:dyDescent="0.2">
      <c r="B4" s="5" t="s">
        <v>0</v>
      </c>
      <c r="C4" cm="1">
        <f t="array" ref="C4">[1]!MEAN(Table1[age])</f>
        <v>39.207025411061288</v>
      </c>
      <c r="D4">
        <f>MEDIAN(Table1[age])</f>
        <v>39</v>
      </c>
      <c r="E4">
        <f>MODE(Table1[age])</f>
        <v>18</v>
      </c>
      <c r="F4">
        <f>SUM(Table1[age])</f>
        <v>52459</v>
      </c>
      <c r="G4">
        <f>COUNT(Table1[age])</f>
        <v>1338</v>
      </c>
      <c r="H4">
        <f>_xlfn.VAR.S(Table1[age])</f>
        <v>197.40138665754375</v>
      </c>
      <c r="I4">
        <f>_xlfn.STDEV.S(Table1[age])</f>
        <v>14.049960379216154</v>
      </c>
      <c r="J4">
        <f>MIN(Table1[age])</f>
        <v>18</v>
      </c>
      <c r="K4">
        <f>MAX(Table1[age])</f>
        <v>64</v>
      </c>
      <c r="L4">
        <f>MAX(Table1[age]) - MIN(Table1[age])</f>
        <v>46</v>
      </c>
      <c r="M4">
        <f>QUARTILE(Table1[age],1)</f>
        <v>27</v>
      </c>
      <c r="N4">
        <f>QUARTILE(Table1[age],2)</f>
        <v>39</v>
      </c>
      <c r="O4">
        <f>QUARTILE(Table1[age],3)</f>
        <v>51</v>
      </c>
      <c r="P4" cm="1">
        <f t="array" ref="P4">[1]!IQR(Table1[age])</f>
        <v>24</v>
      </c>
      <c r="Q4">
        <f>SKEW(Table1[age])</f>
        <v>5.5672515652991868E-2</v>
      </c>
      <c r="R4">
        <f>KURT(Table1[age])</f>
        <v>-1.2450876526418739</v>
      </c>
    </row>
    <row r="5" spans="1:18" ht="16" x14ac:dyDescent="0.2">
      <c r="B5" s="5" t="s">
        <v>1</v>
      </c>
      <c r="C5" cm="1">
        <f t="array" ref="C5">[1]!MEAN(Table1[sex])</f>
        <v>0.50523168908819138</v>
      </c>
      <c r="D5">
        <f>MEDIAN(Table1[sex])</f>
        <v>1</v>
      </c>
      <c r="E5">
        <f>MODE(Table1[sex])</f>
        <v>1</v>
      </c>
      <c r="F5">
        <f>SUM(Table1[sex])</f>
        <v>676</v>
      </c>
      <c r="G5">
        <f>COUNT(Table1[sex])</f>
        <v>1338</v>
      </c>
      <c r="H5">
        <f>_xlfn.VAR.S(Table1[sex])</f>
        <v>0.25015959474673349</v>
      </c>
      <c r="I5">
        <f>_xlfn.STDEV.S(Table1[sex])</f>
        <v>0.50015956928437699</v>
      </c>
      <c r="J5">
        <f>MIN(Table1[sex])</f>
        <v>0</v>
      </c>
      <c r="K5">
        <f>MAX(Table1[sex])</f>
        <v>1</v>
      </c>
      <c r="L5">
        <f>MAX(Table1[sex]) - MIN(Table1[sex])</f>
        <v>1</v>
      </c>
      <c r="M5">
        <f>QUARTILE(Table1[sex],1)</f>
        <v>0</v>
      </c>
      <c r="N5">
        <f>QUARTILE(Table1[sex],2)</f>
        <v>1</v>
      </c>
      <c r="O5">
        <f>QUARTILE(Table1[sex],3)</f>
        <v>1</v>
      </c>
      <c r="P5" cm="1">
        <f t="array" ref="P5">[1]!IQR(Table1[sex])</f>
        <v>1</v>
      </c>
      <c r="Q5">
        <f>SKEW(Table1[sex])</f>
        <v>-2.0951397433346248E-2</v>
      </c>
      <c r="R5">
        <f>KURT(Table1[sex])</f>
        <v>-2.0025566364991452</v>
      </c>
    </row>
    <row r="6" spans="1:18" ht="16" x14ac:dyDescent="0.2">
      <c r="B6" s="5" t="s">
        <v>2</v>
      </c>
      <c r="C6" cm="1">
        <f t="array" ref="C6">[1]!MEAN(Table1[bmi])</f>
        <v>30.663396860986538</v>
      </c>
      <c r="D6">
        <f>MEDIAN(Table1[bmi])</f>
        <v>30.4</v>
      </c>
      <c r="E6">
        <f>MODE(Table1[bmi])</f>
        <v>32.299999999999997</v>
      </c>
      <c r="F6">
        <f>SUM(Table1[bmi])</f>
        <v>41027.624999999985</v>
      </c>
      <c r="G6">
        <f>COUNT(Table1[bmi])</f>
        <v>1338</v>
      </c>
      <c r="H6">
        <f>_xlfn.VAR.S(Table1[bmi])</f>
        <v>37.18788360977279</v>
      </c>
      <c r="I6">
        <f>_xlfn.STDEV.S(Table1[bmi])</f>
        <v>6.0981869116789778</v>
      </c>
      <c r="J6">
        <f>MIN(Table1[bmi])</f>
        <v>15.96</v>
      </c>
      <c r="K6">
        <f>MAX(Table1[bmi])</f>
        <v>53.13</v>
      </c>
      <c r="L6">
        <f>MAX(Table1[bmi]) - MIN(Table1[bmi])</f>
        <v>37.17</v>
      </c>
      <c r="M6">
        <f>QUARTILE(Table1[bmi],1)</f>
        <v>26.296250000000001</v>
      </c>
      <c r="N6">
        <f>QUARTILE(Table1[bmi],2)</f>
        <v>30.4</v>
      </c>
      <c r="O6">
        <f>QUARTILE(Table1[bmi],3)</f>
        <v>34.693750000000001</v>
      </c>
      <c r="P6" cm="1">
        <f t="array" ref="P6">[1]!IQR(Table1[bmi])</f>
        <v>8.3975000000000009</v>
      </c>
      <c r="Q6">
        <f>SKEW(Table1[bmi])</f>
        <v>0.28404711059874976</v>
      </c>
      <c r="R6">
        <f>KURT(Table1[bmi])</f>
        <v>-5.0731531354682335E-2</v>
      </c>
    </row>
    <row r="7" spans="1:18" ht="16" x14ac:dyDescent="0.2">
      <c r="B7" s="5" t="s">
        <v>3</v>
      </c>
      <c r="C7" cm="1">
        <f t="array" ref="C7">[1]!MEAN(Table1[children])</f>
        <v>1.0949177877428999</v>
      </c>
      <c r="D7">
        <f>MEDIAN(Table1[children])</f>
        <v>1</v>
      </c>
      <c r="E7">
        <f>MODE(Table1[children])</f>
        <v>0</v>
      </c>
      <c r="F7">
        <f>SUM(Table1[children])</f>
        <v>1465</v>
      </c>
      <c r="G7">
        <f>COUNT(Table1[children])</f>
        <v>1338</v>
      </c>
      <c r="H7">
        <f>_xlfn.VAR.S(Table1[children])</f>
        <v>1.4532127456669048</v>
      </c>
      <c r="I7">
        <f>_xlfn.STDEV.S(Table1[children])</f>
        <v>1.2054927397819137</v>
      </c>
      <c r="J7">
        <f>MIN(Table1[children])</f>
        <v>0</v>
      </c>
      <c r="K7">
        <f>MAX(Table1[children])</f>
        <v>5</v>
      </c>
      <c r="L7">
        <f>MAX(Table1[children]) - MIN(Table1[children])</f>
        <v>5</v>
      </c>
      <c r="M7">
        <f>QUARTILE(Table1[children],1)</f>
        <v>0</v>
      </c>
      <c r="N7">
        <f>QUARTILE(Table1[children],2)</f>
        <v>1</v>
      </c>
      <c r="O7">
        <f>QUARTILE(Table1[children],3)</f>
        <v>2</v>
      </c>
      <c r="P7" cm="1">
        <f t="array" ref="P7">[1]!IQR(Table1[children])</f>
        <v>2</v>
      </c>
      <c r="Q7">
        <f>SKEW(Table1[children])</f>
        <v>0.93838044017024602</v>
      </c>
      <c r="R7">
        <f>KURT(Table1[children])</f>
        <v>0.20245414671692163</v>
      </c>
    </row>
    <row r="8" spans="1:18" ht="16" x14ac:dyDescent="0.2">
      <c r="B8" s="5" t="s">
        <v>4</v>
      </c>
      <c r="C8" cm="1">
        <f t="array" ref="C8">[1]!MEAN(Table1[smoker])</f>
        <v>0.20478325859491778</v>
      </c>
      <c r="D8">
        <f>MEDIAN(Table1[smoker])</f>
        <v>0</v>
      </c>
      <c r="E8">
        <f>MODE(Table1[smoker])</f>
        <v>0</v>
      </c>
      <c r="F8">
        <f>SUM(Table1[smoker])</f>
        <v>274</v>
      </c>
      <c r="G8">
        <f>COUNT(Table1[smoker])</f>
        <v>1338</v>
      </c>
      <c r="H8">
        <f>_xlfn.VAR.S(Table1[smoker])</f>
        <v>0.16296887594988221</v>
      </c>
      <c r="I8">
        <f>_xlfn.STDEV.S(Table1[smoker])</f>
        <v>0.40369403754561722</v>
      </c>
      <c r="J8">
        <f>MIN(Table1[smoker])</f>
        <v>0</v>
      </c>
      <c r="K8">
        <f>MAX(Table1[smoker])</f>
        <v>1</v>
      </c>
      <c r="L8">
        <f>MAX(Table1[smoker]) - MIN(Table1[smoker])</f>
        <v>1</v>
      </c>
      <c r="M8">
        <f>QUARTILE(Table1[smoker],1)</f>
        <v>0</v>
      </c>
      <c r="N8">
        <f>QUARTILE(Table1[smoker],2)</f>
        <v>0</v>
      </c>
      <c r="O8">
        <f>QUARTILE(Table1[smoker],3)</f>
        <v>0</v>
      </c>
      <c r="P8" cm="1">
        <f t="array" ref="P8">[1]!IQR(Table1[smoker])</f>
        <v>0</v>
      </c>
      <c r="Q8">
        <f>SKEW(Table1[smoker])</f>
        <v>1.464766160195355</v>
      </c>
      <c r="R8">
        <f>KURT(Table1[smoker])</f>
        <v>0.14575553905185101</v>
      </c>
    </row>
    <row r="9" spans="1:18" ht="16" x14ac:dyDescent="0.2">
      <c r="B9" s="5" t="s">
        <v>5</v>
      </c>
      <c r="C9" cm="1">
        <f t="array" ref="C9">[1]!MEAN(Table1[region])</f>
        <v>2.4865470852017939</v>
      </c>
      <c r="D9">
        <f>MEDIAN(Table1[region])</f>
        <v>2</v>
      </c>
      <c r="E9">
        <f>MODE(Table1[region])</f>
        <v>2</v>
      </c>
      <c r="F9">
        <f>SUM(Table1[region])</f>
        <v>3327</v>
      </c>
      <c r="G9">
        <f>COUNT(Table1[region])</f>
        <v>1338</v>
      </c>
      <c r="H9">
        <f>_xlfn.VAR.S(Table1[region])</f>
        <v>1.2208360864125896</v>
      </c>
      <c r="I9">
        <f>_xlfn.STDEV.S(Table1[region])</f>
        <v>1.1049145154321169</v>
      </c>
      <c r="J9">
        <f>MIN(Table1[region])</f>
        <v>1</v>
      </c>
      <c r="K9">
        <f>MAX(Table1[region])</f>
        <v>4</v>
      </c>
      <c r="L9">
        <f>MAX(Table1[region]) - MIN(Table1[region])</f>
        <v>3</v>
      </c>
      <c r="M9">
        <f>QUARTILE(Table1[region],1)</f>
        <v>2</v>
      </c>
      <c r="N9">
        <f>QUARTILE(Table1[region],2)</f>
        <v>2</v>
      </c>
      <c r="O9">
        <f>QUARTILE(Table1[region],3)</f>
        <v>3</v>
      </c>
      <c r="P9" cm="1">
        <f t="array" ref="P9">[1]!IQR(Table1[region])</f>
        <v>1</v>
      </c>
      <c r="Q9">
        <f>SKEW(Table1[region])</f>
        <v>3.5750107134033419E-2</v>
      </c>
      <c r="R9">
        <f>KURT(Table1[region])</f>
        <v>-1.3279840801369276</v>
      </c>
    </row>
    <row r="10" spans="1:18" ht="16" x14ac:dyDescent="0.2">
      <c r="B10" s="5" t="s">
        <v>16</v>
      </c>
      <c r="C10" cm="1">
        <f t="array" ref="C10">[1]!MEAN(Table1[charges])</f>
        <v>13270.422265141257</v>
      </c>
      <c r="D10">
        <f>MEDIAN(Table1[charges])</f>
        <v>9382.0329999999994</v>
      </c>
      <c r="E10">
        <f>MODE(Table1[charges])</f>
        <v>1639.5631000000001</v>
      </c>
      <c r="F10">
        <f>SUM(Table1[charges])</f>
        <v>17755824.990759</v>
      </c>
      <c r="G10">
        <f>COUNT(Table1[charges])</f>
        <v>1338</v>
      </c>
      <c r="H10">
        <f>_xlfn.VAR.S(Table1[charges])</f>
        <v>146652372.15285519</v>
      </c>
      <c r="I10">
        <f>_xlfn.STDEV.S(Table1[charges])</f>
        <v>12110.01123669401</v>
      </c>
      <c r="J10">
        <f>MIN(Table1[charges])</f>
        <v>1121.8739</v>
      </c>
      <c r="K10">
        <f>MAX(Table1[charges])</f>
        <v>63770.428010000003</v>
      </c>
      <c r="L10">
        <f>MAX(Table1[charges]) - MIN(Table1[charges])</f>
        <v>62648.554110000005</v>
      </c>
      <c r="M10">
        <f>QUARTILE(Table1[charges],1)</f>
        <v>4740.2871500000001</v>
      </c>
      <c r="N10">
        <f>QUARTILE(Table1[charges],2)</f>
        <v>9382.0329999999994</v>
      </c>
      <c r="O10">
        <f>QUARTILE(Table1[charges],3)</f>
        <v>16639.912515</v>
      </c>
      <c r="P10" cm="1">
        <f t="array" ref="P10">[1]!IQR(Table1[charges])</f>
        <v>11899.625365</v>
      </c>
      <c r="Q10">
        <f>SKEW(Table1[charges])</f>
        <v>1.515879658024041</v>
      </c>
      <c r="R10">
        <f>KURT(Table1[charges])</f>
        <v>1.6062986532968111</v>
      </c>
    </row>
    <row r="14" spans="1:18" ht="18" thickBot="1" x14ac:dyDescent="0.25">
      <c r="A14" s="9" t="s">
        <v>32</v>
      </c>
    </row>
    <row r="15" spans="1:18" ht="17" thickTop="1" x14ac:dyDescent="0.2">
      <c r="B15" s="10"/>
      <c r="C15" s="5" t="s">
        <v>0</v>
      </c>
      <c r="D15" s="5" t="s">
        <v>1</v>
      </c>
      <c r="E15" s="5" t="s">
        <v>2</v>
      </c>
      <c r="F15" s="5" t="s">
        <v>3</v>
      </c>
      <c r="G15" s="5" t="s">
        <v>4</v>
      </c>
      <c r="H15" s="5" t="s">
        <v>5</v>
      </c>
      <c r="I15" s="5" t="s">
        <v>16</v>
      </c>
    </row>
    <row r="16" spans="1:18" ht="16" x14ac:dyDescent="0.2">
      <c r="B16" s="11" t="s">
        <v>0</v>
      </c>
      <c r="C16" s="6">
        <f>VARP(insurance!$A$2:$A$1339)</f>
        <v>197.25385198889089</v>
      </c>
      <c r="D16" s="6"/>
      <c r="E16" s="6"/>
      <c r="F16" s="6"/>
      <c r="G16" s="6"/>
      <c r="H16" s="6"/>
      <c r="I16" s="6"/>
    </row>
    <row r="17" spans="1:15" ht="18" thickBot="1" x14ac:dyDescent="0.25">
      <c r="B17" s="11" t="s">
        <v>1</v>
      </c>
      <c r="C17" s="6">
        <v>-0.14644931082019835</v>
      </c>
      <c r="D17" s="6">
        <f>VARP(insurance!$B$2:$B$1339)</f>
        <v>0.2499726294292845</v>
      </c>
      <c r="E17" s="6"/>
      <c r="F17" s="6"/>
      <c r="G17" s="6"/>
      <c r="H17" s="6"/>
      <c r="I17" s="6"/>
      <c r="O17" s="9" t="s">
        <v>20</v>
      </c>
    </row>
    <row r="18" spans="1:15" ht="17" thickTop="1" x14ac:dyDescent="0.2">
      <c r="B18" s="11" t="s">
        <v>2</v>
      </c>
      <c r="C18" s="6">
        <v>9.3553393643548048</v>
      </c>
      <c r="D18" s="6">
        <v>0.14132938861965177</v>
      </c>
      <c r="E18" s="6">
        <f>VARP(insurance!$C$2:$C$1339)</f>
        <v>37.16008997478788</v>
      </c>
      <c r="F18" s="6"/>
      <c r="G18" s="6"/>
      <c r="H18" s="6"/>
      <c r="I18" s="6"/>
      <c r="O18" t="s">
        <v>40</v>
      </c>
    </row>
    <row r="19" spans="1:15" ht="16" x14ac:dyDescent="0.2">
      <c r="B19" s="11" t="s">
        <v>3</v>
      </c>
      <c r="C19" s="6">
        <v>0.71876515156593035</v>
      </c>
      <c r="D19" s="6">
        <v>1.0340489899700819E-2</v>
      </c>
      <c r="E19" s="6">
        <v>9.372466267168042E-2</v>
      </c>
      <c r="F19" s="6">
        <f>VARP(insurance!$D$2:$D$1339)</f>
        <v>1.4521266374862867</v>
      </c>
      <c r="G19" s="6"/>
      <c r="H19" s="6"/>
      <c r="I19" s="6"/>
      <c r="O19" t="s">
        <v>41</v>
      </c>
    </row>
    <row r="20" spans="1:15" ht="16" x14ac:dyDescent="0.2">
      <c r="B20" s="11" t="s">
        <v>4</v>
      </c>
      <c r="C20" s="6">
        <v>-0.14179743096471756</v>
      </c>
      <c r="D20" s="6">
        <v>1.5371089080594889E-2</v>
      </c>
      <c r="E20" s="6">
        <v>9.2259044018580885E-3</v>
      </c>
      <c r="F20" s="6">
        <v>3.7313349465211911E-3</v>
      </c>
      <c r="G20" s="6">
        <f>VARP(insurance!$E$2:$E$1339)</f>
        <v>0.16284707559416481</v>
      </c>
      <c r="H20" s="6"/>
      <c r="I20" s="6"/>
      <c r="O20" t="s">
        <v>42</v>
      </c>
    </row>
    <row r="21" spans="1:15" ht="16" x14ac:dyDescent="0.2">
      <c r="B21" s="11" t="s">
        <v>5</v>
      </c>
      <c r="C21" s="6">
        <v>0.10330826412489023</v>
      </c>
      <c r="D21" s="6">
        <v>-3.6665393097254444E-3</v>
      </c>
      <c r="E21" s="6">
        <v>-2.7172164799881878E-2</v>
      </c>
      <c r="F21" s="6">
        <v>4.7241046471877685E-2</v>
      </c>
      <c r="G21" s="6">
        <v>-1.9666592933700652E-2</v>
      </c>
      <c r="H21" s="6">
        <f>VARP(insurance!$F$2:$F$1339)</f>
        <v>1.219923652865196</v>
      </c>
      <c r="I21" s="6"/>
      <c r="O21" t="s">
        <v>43</v>
      </c>
    </row>
    <row r="22" spans="1:15" ht="17" thickBot="1" x14ac:dyDescent="0.25">
      <c r="B22" s="11" t="s">
        <v>16</v>
      </c>
      <c r="C22" s="7">
        <v>50836.779276709232</v>
      </c>
      <c r="D22" s="7">
        <v>346.75511577317707</v>
      </c>
      <c r="E22" s="7">
        <v>14636.357263073798</v>
      </c>
      <c r="F22" s="7">
        <v>991.93228808524725</v>
      </c>
      <c r="G22" s="7">
        <v>3845.7905987976751</v>
      </c>
      <c r="H22" s="7">
        <v>-688.70865929443744</v>
      </c>
      <c r="I22" s="7">
        <f>VARP(insurance!$G$2:$G$1339)</f>
        <v>146542766.49354815</v>
      </c>
    </row>
    <row r="25" spans="1:15" ht="18" thickBot="1" x14ac:dyDescent="0.25">
      <c r="A25" s="9" t="s">
        <v>33</v>
      </c>
    </row>
    <row r="26" spans="1:15" ht="17" thickTop="1" x14ac:dyDescent="0.2">
      <c r="B26" s="10"/>
      <c r="C26" s="5" t="s">
        <v>0</v>
      </c>
      <c r="D26" s="5" t="s">
        <v>1</v>
      </c>
      <c r="E26" s="5" t="s">
        <v>2</v>
      </c>
      <c r="F26" s="5" t="s">
        <v>3</v>
      </c>
      <c r="G26" s="5" t="s">
        <v>4</v>
      </c>
      <c r="H26" s="5" t="s">
        <v>5</v>
      </c>
      <c r="I26" s="5" t="s">
        <v>16</v>
      </c>
    </row>
    <row r="27" spans="1:15" ht="16" x14ac:dyDescent="0.2">
      <c r="B27" s="11" t="s">
        <v>0</v>
      </c>
      <c r="C27" s="6">
        <v>1</v>
      </c>
      <c r="D27" s="6"/>
      <c r="E27" s="6"/>
      <c r="F27" s="6"/>
      <c r="G27" s="6"/>
      <c r="H27" s="6"/>
      <c r="I27" s="6"/>
    </row>
    <row r="28" spans="1:15" ht="16" x14ac:dyDescent="0.2">
      <c r="B28" s="11" t="s">
        <v>1</v>
      </c>
      <c r="C28" s="6">
        <v>-2.0855872182863163E-2</v>
      </c>
      <c r="D28" s="6">
        <v>1</v>
      </c>
      <c r="E28" s="6"/>
      <c r="F28" s="6"/>
      <c r="G28" s="6"/>
      <c r="H28" s="6"/>
      <c r="I28" s="6"/>
    </row>
    <row r="29" spans="1:15" ht="16" x14ac:dyDescent="0.2">
      <c r="B29" s="11" t="s">
        <v>2</v>
      </c>
      <c r="C29" s="6">
        <v>0.10927188154853502</v>
      </c>
      <c r="D29" s="6">
        <v>4.637115064629492E-2</v>
      </c>
      <c r="E29" s="6">
        <v>1</v>
      </c>
      <c r="F29" s="6"/>
      <c r="G29" s="6"/>
      <c r="H29" s="6"/>
      <c r="I29" s="6"/>
    </row>
    <row r="30" spans="1:15" ht="16" x14ac:dyDescent="0.2">
      <c r="B30" s="11" t="s">
        <v>3</v>
      </c>
      <c r="C30" s="6">
        <v>4.2468998558849488E-2</v>
      </c>
      <c r="D30" s="6">
        <v>1.7162977748757559E-2</v>
      </c>
      <c r="E30" s="6">
        <v>1.275890082067385E-2</v>
      </c>
      <c r="F30" s="6">
        <v>1</v>
      </c>
      <c r="G30" s="6"/>
      <c r="H30" s="6"/>
      <c r="I30" s="6"/>
    </row>
    <row r="31" spans="1:15" ht="16" x14ac:dyDescent="0.2">
      <c r="B31" s="11" t="s">
        <v>4</v>
      </c>
      <c r="C31" s="6">
        <v>-2.5018751536284814E-2</v>
      </c>
      <c r="D31" s="6">
        <v>7.6184816921096687E-2</v>
      </c>
      <c r="E31" s="6">
        <v>3.7504259049803363E-3</v>
      </c>
      <c r="F31" s="6">
        <v>7.673120307710949E-3</v>
      </c>
      <c r="G31" s="6">
        <v>1</v>
      </c>
      <c r="H31" s="6"/>
      <c r="I31" s="6"/>
    </row>
    <row r="32" spans="1:15" ht="16" x14ac:dyDescent="0.2">
      <c r="B32" s="11" t="s">
        <v>5</v>
      </c>
      <c r="C32" s="6">
        <v>6.6597203324933142E-3</v>
      </c>
      <c r="D32" s="6">
        <v>-6.6396286513960004E-3</v>
      </c>
      <c r="E32" s="6">
        <v>-4.0357061401996314E-3</v>
      </c>
      <c r="F32" s="6">
        <v>3.5493672476330798E-2</v>
      </c>
      <c r="G32" s="6">
        <v>-4.4123791203465837E-2</v>
      </c>
      <c r="H32" s="6">
        <v>1</v>
      </c>
      <c r="I32" s="6"/>
    </row>
    <row r="33" spans="1:9" ht="17" thickBot="1" x14ac:dyDescent="0.25">
      <c r="B33" s="11" t="s">
        <v>16</v>
      </c>
      <c r="C33" s="7">
        <v>0.29900819333064782</v>
      </c>
      <c r="D33" s="7">
        <v>5.7292062202025956E-2</v>
      </c>
      <c r="E33" s="7">
        <v>0.19834096883362906</v>
      </c>
      <c r="F33" s="7">
        <v>6.7998226847905102E-2</v>
      </c>
      <c r="G33" s="12">
        <v>0.78725143049846968</v>
      </c>
      <c r="H33" s="7">
        <v>-5.1509463270865453E-2</v>
      </c>
      <c r="I33" s="7">
        <v>1</v>
      </c>
    </row>
    <row r="36" spans="1:9" ht="18" thickBot="1" x14ac:dyDescent="0.25">
      <c r="A36" s="9" t="s">
        <v>19</v>
      </c>
    </row>
    <row r="37" spans="1:9" ht="16" thickTop="1" x14ac:dyDescent="0.2">
      <c r="A37" t="s">
        <v>34</v>
      </c>
    </row>
    <row r="43" spans="1:9" x14ac:dyDescent="0.2">
      <c r="B43" t="s">
        <v>39</v>
      </c>
    </row>
    <row r="51" spans="2:2" x14ac:dyDescent="0.2">
      <c r="B51" s="3"/>
    </row>
    <row r="73" spans="1:1" x14ac:dyDescent="0.2">
      <c r="A73" t="s">
        <v>35</v>
      </c>
    </row>
    <row r="113" spans="1:1" x14ac:dyDescent="0.2">
      <c r="A113" t="s">
        <v>36</v>
      </c>
    </row>
    <row r="145" spans="1:1" x14ac:dyDescent="0.2">
      <c r="A145" t="s">
        <v>37</v>
      </c>
    </row>
    <row r="191" spans="1:1" x14ac:dyDescent="0.2">
      <c r="A191" t="s">
        <v>38</v>
      </c>
    </row>
    <row r="210" spans="1:19" x14ac:dyDescent="0.2">
      <c r="A210" s="13" t="s">
        <v>53</v>
      </c>
    </row>
    <row r="211" spans="1:19" ht="21" thickBot="1" x14ac:dyDescent="0.3">
      <c r="A211" t="s">
        <v>66</v>
      </c>
      <c r="B211" s="74" t="s">
        <v>55</v>
      </c>
      <c r="C211" s="74"/>
      <c r="D211" s="74"/>
      <c r="E211" s="74"/>
      <c r="G211" s="75" t="s">
        <v>56</v>
      </c>
      <c r="H211" s="75"/>
      <c r="J211" s="75" t="s">
        <v>57</v>
      </c>
      <c r="K211" s="75"/>
    </row>
    <row r="212" spans="1:19" ht="16" thickTop="1" x14ac:dyDescent="0.2">
      <c r="A212" t="s">
        <v>56</v>
      </c>
      <c r="B212" s="1" t="s">
        <v>52</v>
      </c>
      <c r="C212" s="1" t="s">
        <v>4</v>
      </c>
      <c r="G212" s="1" t="s">
        <v>0</v>
      </c>
      <c r="H212" t="s">
        <v>52</v>
      </c>
      <c r="J212" s="1" t="s">
        <v>0</v>
      </c>
      <c r="K212" t="s">
        <v>54</v>
      </c>
    </row>
    <row r="213" spans="1:19" ht="18" thickBot="1" x14ac:dyDescent="0.25">
      <c r="A213" t="s">
        <v>57</v>
      </c>
      <c r="B213" s="1" t="s">
        <v>0</v>
      </c>
      <c r="C213" t="s">
        <v>10</v>
      </c>
      <c r="D213" t="s">
        <v>7</v>
      </c>
      <c r="E213" t="s">
        <v>14</v>
      </c>
      <c r="G213">
        <v>18</v>
      </c>
      <c r="H213" s="2">
        <v>488949.01138900011</v>
      </c>
      <c r="J213">
        <v>18</v>
      </c>
      <c r="K213" s="2">
        <v>2161.5050000000001</v>
      </c>
      <c r="M213" s="71" t="s">
        <v>58</v>
      </c>
      <c r="N213" s="71"/>
      <c r="P213" s="71" t="s">
        <v>62</v>
      </c>
      <c r="Q213" s="71"/>
      <c r="R213" s="70"/>
      <c r="S213" s="70"/>
    </row>
    <row r="214" spans="1:19" ht="16" thickTop="1" x14ac:dyDescent="0.2">
      <c r="A214" t="s">
        <v>58</v>
      </c>
      <c r="B214">
        <v>18</v>
      </c>
      <c r="C214" s="2">
        <v>183264.24873899997</v>
      </c>
      <c r="D214" s="2">
        <v>305684.76264999999</v>
      </c>
      <c r="E214" s="2">
        <v>488949.01138899999</v>
      </c>
      <c r="G214">
        <v>19</v>
      </c>
      <c r="H214" s="2">
        <v>662857.83474999992</v>
      </c>
      <c r="J214">
        <v>19</v>
      </c>
      <c r="K214" s="2">
        <v>1944.5900000000001</v>
      </c>
      <c r="M214" s="1" t="s">
        <v>1</v>
      </c>
      <c r="N214" t="s">
        <v>52</v>
      </c>
      <c r="P214" s="1" t="s">
        <v>3</v>
      </c>
      <c r="Q214" t="s">
        <v>52</v>
      </c>
    </row>
    <row r="215" spans="1:19" x14ac:dyDescent="0.2">
      <c r="A215" t="s">
        <v>67</v>
      </c>
      <c r="B215">
        <v>19</v>
      </c>
      <c r="C215" s="2">
        <v>176835.64492000002</v>
      </c>
      <c r="D215" s="2">
        <v>486022.18982999993</v>
      </c>
      <c r="E215" s="2">
        <v>662857.83474999992</v>
      </c>
      <c r="G215">
        <v>20</v>
      </c>
      <c r="H215" s="2">
        <v>294631.23435000004</v>
      </c>
      <c r="J215">
        <v>20</v>
      </c>
      <c r="K215" s="2">
        <v>888.3499999999998</v>
      </c>
      <c r="M215" t="s">
        <v>6</v>
      </c>
      <c r="N215" s="2">
        <v>8321061.1946189944</v>
      </c>
      <c r="P215">
        <v>0</v>
      </c>
      <c r="Q215" s="2">
        <v>7098069.9953389969</v>
      </c>
    </row>
    <row r="216" spans="1:19" x14ac:dyDescent="0.2">
      <c r="A216" t="s">
        <v>59</v>
      </c>
      <c r="B216">
        <v>20</v>
      </c>
      <c r="C216" s="2">
        <v>73462.258499999982</v>
      </c>
      <c r="D216" s="2">
        <v>221168.97585000002</v>
      </c>
      <c r="E216" s="2">
        <v>294631.23434999998</v>
      </c>
      <c r="G216">
        <v>21</v>
      </c>
      <c r="H216" s="2">
        <v>132453.00122999999</v>
      </c>
      <c r="J216">
        <v>21</v>
      </c>
      <c r="K216" s="2">
        <v>789.19999999999993</v>
      </c>
      <c r="M216" t="s">
        <v>9</v>
      </c>
      <c r="N216" s="2">
        <v>9434763.7961399946</v>
      </c>
      <c r="P216">
        <v>1</v>
      </c>
      <c r="Q216" s="2">
        <v>4124899.6734499969</v>
      </c>
    </row>
    <row r="217" spans="1:19" x14ac:dyDescent="0.2">
      <c r="A217" t="s">
        <v>65</v>
      </c>
      <c r="B217">
        <v>21</v>
      </c>
      <c r="C217" s="2">
        <v>99151.790729999993</v>
      </c>
      <c r="D217" s="2">
        <v>33301.210500000001</v>
      </c>
      <c r="E217" s="2">
        <v>132453.00122999999</v>
      </c>
      <c r="G217">
        <v>22</v>
      </c>
      <c r="H217" s="2">
        <v>280362.11845000001</v>
      </c>
      <c r="J217">
        <v>22</v>
      </c>
      <c r="K217" s="2">
        <v>870.45500000000004</v>
      </c>
      <c r="M217" t="s">
        <v>14</v>
      </c>
      <c r="N217" s="2">
        <v>17755824.990758989</v>
      </c>
      <c r="P217">
        <v>2</v>
      </c>
      <c r="Q217" s="2">
        <v>3617655.2961499989</v>
      </c>
    </row>
    <row r="218" spans="1:19" x14ac:dyDescent="0.2">
      <c r="A218" t="s">
        <v>62</v>
      </c>
      <c r="B218">
        <v>22</v>
      </c>
      <c r="C218" s="2">
        <v>56122.393349999991</v>
      </c>
      <c r="D218" s="2">
        <v>224239.72510000001</v>
      </c>
      <c r="E218" s="2">
        <v>280362.11845000001</v>
      </c>
      <c r="G218">
        <v>23</v>
      </c>
      <c r="H218" s="2">
        <v>347754.96110999992</v>
      </c>
      <c r="J218">
        <v>23</v>
      </c>
      <c r="K218" s="2">
        <v>880.72500000000002</v>
      </c>
      <c r="P218">
        <v>3</v>
      </c>
      <c r="Q218" s="2">
        <v>2410784.9835899989</v>
      </c>
    </row>
    <row r="219" spans="1:19" x14ac:dyDescent="0.2">
      <c r="A219" t="s">
        <v>63</v>
      </c>
      <c r="B219">
        <v>23</v>
      </c>
      <c r="C219" s="2">
        <v>125600.54141000002</v>
      </c>
      <c r="D219" s="2">
        <v>222154.4197</v>
      </c>
      <c r="E219" s="2">
        <v>347754.96111000003</v>
      </c>
      <c r="G219">
        <v>24</v>
      </c>
      <c r="H219" s="2">
        <v>298144.44693999999</v>
      </c>
      <c r="J219">
        <v>24</v>
      </c>
      <c r="K219" s="2">
        <v>815.99500000000012</v>
      </c>
      <c r="P219">
        <v>4</v>
      </c>
      <c r="Q219" s="2">
        <v>346266.40777999995</v>
      </c>
    </row>
    <row r="220" spans="1:19" ht="18" thickBot="1" x14ac:dyDescent="0.25">
      <c r="A220" t="s">
        <v>60</v>
      </c>
      <c r="B220">
        <v>24</v>
      </c>
      <c r="C220" s="2">
        <v>122923.46510999999</v>
      </c>
      <c r="D220" s="2">
        <v>175220.98183</v>
      </c>
      <c r="E220" s="2">
        <v>298144.44693999999</v>
      </c>
      <c r="G220">
        <v>25</v>
      </c>
      <c r="H220" s="2">
        <v>275474.22869999998</v>
      </c>
      <c r="J220">
        <v>25</v>
      </c>
      <c r="K220" s="2">
        <v>831.43</v>
      </c>
      <c r="M220" s="71" t="s">
        <v>64</v>
      </c>
      <c r="N220" s="71"/>
      <c r="P220">
        <v>5</v>
      </c>
      <c r="Q220" s="2">
        <v>158148.63445000001</v>
      </c>
    </row>
    <row r="221" spans="1:19" ht="16" thickTop="1" x14ac:dyDescent="0.2">
      <c r="A221" t="s">
        <v>68</v>
      </c>
      <c r="B221">
        <v>25</v>
      </c>
      <c r="C221" s="2">
        <v>127585.32270000002</v>
      </c>
      <c r="D221" s="2">
        <v>147888.90599999999</v>
      </c>
      <c r="E221" s="2">
        <v>275474.22869999998</v>
      </c>
      <c r="G221">
        <v>26</v>
      </c>
      <c r="H221" s="2">
        <v>171747.10863999999</v>
      </c>
      <c r="J221">
        <v>26</v>
      </c>
      <c r="K221" s="2">
        <v>824.00999999999988</v>
      </c>
      <c r="M221" s="1" t="s">
        <v>1</v>
      </c>
      <c r="N221" t="s">
        <v>54</v>
      </c>
      <c r="P221" t="s">
        <v>14</v>
      </c>
      <c r="Q221" s="2">
        <v>17755824.990758989</v>
      </c>
    </row>
    <row r="222" spans="1:19" x14ac:dyDescent="0.2">
      <c r="B222">
        <v>26</v>
      </c>
      <c r="C222" s="2">
        <v>104162.90419</v>
      </c>
      <c r="D222" s="2">
        <v>67584.204450000005</v>
      </c>
      <c r="E222" s="2">
        <v>171747.10863999999</v>
      </c>
      <c r="G222">
        <v>27</v>
      </c>
      <c r="H222" s="2">
        <v>341171.64820000005</v>
      </c>
      <c r="J222">
        <v>27</v>
      </c>
      <c r="K222" s="2">
        <v>821.34000000000015</v>
      </c>
      <c r="M222" t="s">
        <v>6</v>
      </c>
      <c r="N222" s="2">
        <v>20110.070000000022</v>
      </c>
      <c r="P222" s="70"/>
      <c r="Q222" s="70"/>
    </row>
    <row r="223" spans="1:19" ht="18" thickBot="1" x14ac:dyDescent="0.25">
      <c r="B223">
        <v>27</v>
      </c>
      <c r="C223" s="2">
        <v>110218.5606</v>
      </c>
      <c r="D223" s="2">
        <v>230953.0876</v>
      </c>
      <c r="E223" s="2">
        <v>341171.6482</v>
      </c>
      <c r="G223">
        <v>28</v>
      </c>
      <c r="H223" s="2">
        <v>253937.25179999994</v>
      </c>
      <c r="J223">
        <v>28</v>
      </c>
      <c r="K223" s="2">
        <v>825.5</v>
      </c>
      <c r="M223" t="s">
        <v>9</v>
      </c>
      <c r="N223" s="2">
        <v>20917.554999999986</v>
      </c>
      <c r="P223" s="71" t="s">
        <v>63</v>
      </c>
      <c r="Q223" s="71"/>
    </row>
    <row r="224" spans="1:19" ht="16" thickTop="1" x14ac:dyDescent="0.2">
      <c r="B224">
        <v>28</v>
      </c>
      <c r="C224" s="2">
        <v>150407.40125999998</v>
      </c>
      <c r="D224" s="2">
        <v>103529.85053999998</v>
      </c>
      <c r="E224" s="2">
        <v>253937.25179999997</v>
      </c>
      <c r="G224">
        <v>29</v>
      </c>
      <c r="H224" s="2">
        <v>281614.28563000006</v>
      </c>
      <c r="J224">
        <v>29</v>
      </c>
      <c r="K224" s="2">
        <v>793.34500000000014</v>
      </c>
      <c r="M224" t="s">
        <v>14</v>
      </c>
      <c r="N224" s="2">
        <v>41027.625000000007</v>
      </c>
      <c r="P224" s="1" t="s">
        <v>3</v>
      </c>
      <c r="Q224" t="s">
        <v>54</v>
      </c>
    </row>
    <row r="225" spans="2:17" x14ac:dyDescent="0.2">
      <c r="B225">
        <v>29</v>
      </c>
      <c r="C225" s="2">
        <v>132811.56716000004</v>
      </c>
      <c r="D225" s="2">
        <v>148802.71846999999</v>
      </c>
      <c r="E225" s="2">
        <v>281614.28563000006</v>
      </c>
      <c r="G225">
        <v>30</v>
      </c>
      <c r="H225" s="2">
        <v>343415.97966999991</v>
      </c>
      <c r="J225">
        <v>30</v>
      </c>
      <c r="K225" s="2">
        <v>825.05499999999995</v>
      </c>
      <c r="P225">
        <v>0</v>
      </c>
      <c r="Q225" s="2">
        <v>17535.870000000003</v>
      </c>
    </row>
    <row r="226" spans="2:17" x14ac:dyDescent="0.2">
      <c r="B226">
        <v>30</v>
      </c>
      <c r="C226" s="2">
        <v>94799.569620000024</v>
      </c>
      <c r="D226" s="2">
        <v>248616.41005000001</v>
      </c>
      <c r="E226" s="2">
        <v>343415.97967000003</v>
      </c>
      <c r="G226">
        <v>31</v>
      </c>
      <c r="H226" s="2">
        <v>275318.47547999996</v>
      </c>
      <c r="J226">
        <v>31</v>
      </c>
      <c r="K226" s="2">
        <v>807.79499999999985</v>
      </c>
      <c r="P226">
        <v>1</v>
      </c>
      <c r="Q226" s="2">
        <v>9921.8999999999978</v>
      </c>
    </row>
    <row r="227" spans="2:17" x14ac:dyDescent="0.2">
      <c r="B227">
        <v>31</v>
      </c>
      <c r="C227" s="2">
        <v>100739.73300000001</v>
      </c>
      <c r="D227" s="2">
        <v>174578.74247999999</v>
      </c>
      <c r="E227" s="2">
        <v>275318.47548000002</v>
      </c>
      <c r="G227">
        <v>32</v>
      </c>
      <c r="H227" s="2">
        <v>239727.80756000004</v>
      </c>
      <c r="J227">
        <v>32</v>
      </c>
      <c r="K227" s="2">
        <v>821.5400000000003</v>
      </c>
      <c r="P227">
        <v>2</v>
      </c>
      <c r="Q227" s="2">
        <v>7434.7450000000008</v>
      </c>
    </row>
    <row r="228" spans="2:17" x14ac:dyDescent="0.2">
      <c r="B228">
        <v>32</v>
      </c>
      <c r="C228" s="2">
        <v>110697.61405999999</v>
      </c>
      <c r="D228" s="2">
        <v>129030.19350000001</v>
      </c>
      <c r="E228" s="2">
        <v>239727.80755999999</v>
      </c>
      <c r="G228">
        <v>33</v>
      </c>
      <c r="H228" s="2">
        <v>321139.85766999994</v>
      </c>
      <c r="J228">
        <v>33</v>
      </c>
      <c r="K228" s="2">
        <v>810.24000000000024</v>
      </c>
      <c r="P228">
        <v>3</v>
      </c>
      <c r="Q228" s="2">
        <v>4817.4399999999987</v>
      </c>
    </row>
    <row r="229" spans="2:17" x14ac:dyDescent="0.2">
      <c r="B229">
        <v>33</v>
      </c>
      <c r="C229" s="2">
        <v>136920.62698</v>
      </c>
      <c r="D229" s="2">
        <v>184219.23069000003</v>
      </c>
      <c r="E229" s="2">
        <v>321139.85767000006</v>
      </c>
      <c r="G229">
        <v>34</v>
      </c>
      <c r="H229" s="2">
        <v>301951.73113999999</v>
      </c>
      <c r="J229">
        <v>34</v>
      </c>
      <c r="K229" s="2">
        <v>787.12499999999977</v>
      </c>
      <c r="P229">
        <v>4</v>
      </c>
      <c r="Q229" s="2">
        <v>784.78000000000009</v>
      </c>
    </row>
    <row r="230" spans="2:17" x14ac:dyDescent="0.2">
      <c r="B230">
        <v>34</v>
      </c>
      <c r="C230" s="2">
        <v>145832.20959000001</v>
      </c>
      <c r="D230" s="2">
        <v>156119.52155</v>
      </c>
      <c r="E230" s="2">
        <v>301951.73114000005</v>
      </c>
      <c r="G230">
        <v>35</v>
      </c>
      <c r="H230" s="2">
        <v>282679.55078000005</v>
      </c>
      <c r="J230">
        <v>35</v>
      </c>
      <c r="K230" s="2">
        <v>784.87000000000012</v>
      </c>
      <c r="P230">
        <v>5</v>
      </c>
      <c r="Q230" s="2">
        <v>532.8900000000001</v>
      </c>
    </row>
    <row r="231" spans="2:17" x14ac:dyDescent="0.2">
      <c r="B231">
        <v>35</v>
      </c>
      <c r="C231" s="2">
        <v>142340.90138</v>
      </c>
      <c r="D231" s="2">
        <v>140338.64939999999</v>
      </c>
      <c r="E231" s="2">
        <v>282679.55077999999</v>
      </c>
      <c r="G231">
        <v>36</v>
      </c>
      <c r="H231" s="2">
        <v>305111.90344999998</v>
      </c>
      <c r="J231">
        <v>36</v>
      </c>
      <c r="K231" s="2">
        <v>734.3549999999999</v>
      </c>
      <c r="P231" t="s">
        <v>14</v>
      </c>
      <c r="Q231" s="2">
        <v>41027.625</v>
      </c>
    </row>
    <row r="232" spans="2:17" x14ac:dyDescent="0.2">
      <c r="B232">
        <v>36</v>
      </c>
      <c r="C232" s="2">
        <v>107109.45094999998</v>
      </c>
      <c r="D232" s="2">
        <v>198002.45249999996</v>
      </c>
      <c r="E232" s="2">
        <v>305111.90344999993</v>
      </c>
      <c r="G232">
        <v>37</v>
      </c>
      <c r="H232" s="2">
        <v>450497.79693000001</v>
      </c>
      <c r="J232">
        <v>37</v>
      </c>
      <c r="K232" s="2">
        <v>780.41500000000008</v>
      </c>
    </row>
    <row r="233" spans="2:17" x14ac:dyDescent="0.2">
      <c r="B233">
        <v>37</v>
      </c>
      <c r="C233" s="2">
        <v>127921.25487999998</v>
      </c>
      <c r="D233" s="2">
        <v>322576.54204999999</v>
      </c>
      <c r="E233" s="2">
        <v>450497.79692999995</v>
      </c>
      <c r="G233">
        <v>38</v>
      </c>
      <c r="H233" s="2">
        <v>202568.34185</v>
      </c>
      <c r="J233">
        <v>38</v>
      </c>
      <c r="K233" s="2">
        <v>724.91500000000019</v>
      </c>
      <c r="M233" s="72"/>
      <c r="N233" s="72"/>
      <c r="P233" s="72"/>
      <c r="Q233" s="72"/>
    </row>
    <row r="234" spans="2:17" ht="18" thickBot="1" x14ac:dyDescent="0.25">
      <c r="B234">
        <v>38</v>
      </c>
      <c r="C234" s="2">
        <v>144798.39874999999</v>
      </c>
      <c r="D234" s="2">
        <v>57769.943100000004</v>
      </c>
      <c r="E234" s="2">
        <v>202568.34185</v>
      </c>
      <c r="G234">
        <v>39</v>
      </c>
      <c r="H234" s="2">
        <v>294456.07363</v>
      </c>
      <c r="J234">
        <v>39</v>
      </c>
      <c r="K234" s="2">
        <v>747.75500000000011</v>
      </c>
      <c r="M234" s="71" t="s">
        <v>59</v>
      </c>
      <c r="N234" s="71"/>
      <c r="P234" s="71" t="s">
        <v>60</v>
      </c>
      <c r="Q234" s="71"/>
    </row>
    <row r="235" spans="2:17" ht="16" thickTop="1" x14ac:dyDescent="0.2">
      <c r="B235">
        <v>39</v>
      </c>
      <c r="C235" s="2">
        <v>149975.46687999999</v>
      </c>
      <c r="D235" s="2">
        <v>144480.60675000001</v>
      </c>
      <c r="E235" s="2">
        <v>294456.07363</v>
      </c>
      <c r="G235">
        <v>40</v>
      </c>
      <c r="H235" s="2">
        <v>317850.78537</v>
      </c>
      <c r="J235">
        <v>40</v>
      </c>
      <c r="K235" s="2">
        <v>813.75499999999988</v>
      </c>
      <c r="M235" s="1" t="s">
        <v>4</v>
      </c>
      <c r="N235" t="s">
        <v>52</v>
      </c>
      <c r="P235" s="1" t="s">
        <v>5</v>
      </c>
      <c r="Q235" t="s">
        <v>52</v>
      </c>
    </row>
    <row r="236" spans="2:17" x14ac:dyDescent="0.2">
      <c r="B236">
        <v>40</v>
      </c>
      <c r="C236" s="2">
        <v>179766.76626999999</v>
      </c>
      <c r="D236" s="2">
        <v>138084.0191</v>
      </c>
      <c r="E236" s="2">
        <v>317850.78537</v>
      </c>
      <c r="G236">
        <v>41</v>
      </c>
      <c r="H236" s="2">
        <v>260651.13253999999</v>
      </c>
      <c r="J236">
        <v>41</v>
      </c>
      <c r="K236" s="2">
        <v>850.68499999999983</v>
      </c>
      <c r="M236" t="s">
        <v>10</v>
      </c>
      <c r="N236" s="2">
        <v>8974061.4689189959</v>
      </c>
      <c r="P236" t="s">
        <v>13</v>
      </c>
      <c r="Q236" s="2">
        <v>4343668.5833089994</v>
      </c>
    </row>
    <row r="237" spans="2:17" x14ac:dyDescent="0.2">
      <c r="B237">
        <v>41</v>
      </c>
      <c r="C237" s="2">
        <v>180780.07983999999</v>
      </c>
      <c r="D237" s="2">
        <v>79871.0527</v>
      </c>
      <c r="E237" s="2">
        <v>260651.13253999999</v>
      </c>
      <c r="G237">
        <v>42</v>
      </c>
      <c r="H237" s="2">
        <v>352648.04405999999</v>
      </c>
      <c r="J237">
        <v>42</v>
      </c>
      <c r="K237" s="2">
        <v>818.86000000000013</v>
      </c>
      <c r="M237" t="s">
        <v>7</v>
      </c>
      <c r="N237" s="2">
        <v>8781763.5218400005</v>
      </c>
      <c r="P237" t="s">
        <v>12</v>
      </c>
      <c r="Q237" s="2">
        <v>4035711.9965399993</v>
      </c>
    </row>
    <row r="238" spans="2:17" x14ac:dyDescent="0.2">
      <c r="B238">
        <v>42</v>
      </c>
      <c r="C238" s="2">
        <v>133486.21204999997</v>
      </c>
      <c r="D238" s="2">
        <v>219161.83201000001</v>
      </c>
      <c r="E238" s="2">
        <v>352648.04405999999</v>
      </c>
      <c r="G238">
        <v>43</v>
      </c>
      <c r="H238" s="2">
        <v>520216.52363999997</v>
      </c>
      <c r="J238">
        <v>43</v>
      </c>
      <c r="K238" s="2">
        <v>815.52000000000021</v>
      </c>
      <c r="M238" t="s">
        <v>14</v>
      </c>
      <c r="N238" s="2">
        <v>17755824.990758996</v>
      </c>
      <c r="P238" t="s">
        <v>11</v>
      </c>
      <c r="Q238" s="2">
        <v>5363689.763290002</v>
      </c>
    </row>
    <row r="239" spans="2:17" x14ac:dyDescent="0.2">
      <c r="B239">
        <v>43</v>
      </c>
      <c r="C239" s="2">
        <v>143392.26524000001</v>
      </c>
      <c r="D239" s="2">
        <v>376824.25839999999</v>
      </c>
      <c r="E239" s="2">
        <v>520216.52364000003</v>
      </c>
      <c r="G239">
        <v>44</v>
      </c>
      <c r="H239" s="2">
        <v>428203.70785000001</v>
      </c>
      <c r="J239">
        <v>44</v>
      </c>
      <c r="K239" s="2">
        <v>832.79500000000007</v>
      </c>
      <c r="P239" t="s">
        <v>8</v>
      </c>
      <c r="Q239" s="2">
        <v>4012754.6476200009</v>
      </c>
    </row>
    <row r="240" spans="2:17" ht="18" thickBot="1" x14ac:dyDescent="0.25">
      <c r="B240">
        <v>44</v>
      </c>
      <c r="C240" s="2">
        <v>191984.27849000003</v>
      </c>
      <c r="D240" s="2">
        <v>236219.42935999998</v>
      </c>
      <c r="E240" s="2">
        <v>428203.70785000001</v>
      </c>
      <c r="G240">
        <v>45</v>
      </c>
      <c r="H240" s="2">
        <v>430075.79583000002</v>
      </c>
      <c r="J240">
        <v>45</v>
      </c>
      <c r="K240" s="2">
        <v>863.59</v>
      </c>
      <c r="M240" s="71" t="s">
        <v>65</v>
      </c>
      <c r="N240" s="71"/>
      <c r="P240" t="s">
        <v>14</v>
      </c>
      <c r="Q240" s="2">
        <v>17755824.990759</v>
      </c>
    </row>
    <row r="241" spans="2:17" ht="16" thickTop="1" x14ac:dyDescent="0.2">
      <c r="B241">
        <v>45</v>
      </c>
      <c r="C241" s="2">
        <v>228828.97392000002</v>
      </c>
      <c r="D241" s="2">
        <v>201246.82191</v>
      </c>
      <c r="E241" s="2">
        <v>430075.79583000002</v>
      </c>
      <c r="G241">
        <v>46</v>
      </c>
      <c r="H241" s="2">
        <v>415935.12851999997</v>
      </c>
      <c r="J241">
        <v>46</v>
      </c>
      <c r="K241" s="2">
        <v>908.88499999999988</v>
      </c>
      <c r="M241" s="1" t="s">
        <v>4</v>
      </c>
      <c r="N241" t="s">
        <v>54</v>
      </c>
    </row>
    <row r="242" spans="2:17" x14ac:dyDescent="0.2">
      <c r="B242">
        <v>46</v>
      </c>
      <c r="C242" s="2">
        <v>223612.90282000008</v>
      </c>
      <c r="D242" s="2">
        <v>192322.22570000001</v>
      </c>
      <c r="E242" s="2">
        <v>415935.12852000009</v>
      </c>
      <c r="G242">
        <v>47</v>
      </c>
      <c r="H242" s="2">
        <v>511965.98820000002</v>
      </c>
      <c r="J242">
        <v>47</v>
      </c>
      <c r="K242" s="2">
        <v>889.26499999999999</v>
      </c>
      <c r="M242" t="s">
        <v>10</v>
      </c>
      <c r="N242" s="2">
        <v>32613.509999999966</v>
      </c>
    </row>
    <row r="243" spans="2:17" x14ac:dyDescent="0.2">
      <c r="B243">
        <v>47</v>
      </c>
      <c r="C243" s="2">
        <v>197700.45085000005</v>
      </c>
      <c r="D243" s="2">
        <v>314265.53735</v>
      </c>
      <c r="E243" s="2">
        <v>511965.98820000002</v>
      </c>
      <c r="G243">
        <v>48</v>
      </c>
      <c r="H243" s="2">
        <v>424342.51290999993</v>
      </c>
      <c r="J243">
        <v>48</v>
      </c>
      <c r="K243" s="2">
        <v>925.8449999999998</v>
      </c>
      <c r="M243" t="s">
        <v>7</v>
      </c>
      <c r="N243" s="2">
        <v>8414.1150000000034</v>
      </c>
    </row>
    <row r="244" spans="2:17" ht="18" thickBot="1" x14ac:dyDescent="0.25">
      <c r="B244">
        <v>48</v>
      </c>
      <c r="C244" s="2">
        <v>268693.44436000002</v>
      </c>
      <c r="D244" s="2">
        <v>155649.06855000003</v>
      </c>
      <c r="E244" s="2">
        <v>424342.51291000005</v>
      </c>
      <c r="G244">
        <v>49</v>
      </c>
      <c r="H244" s="2">
        <v>355488.17540000001</v>
      </c>
      <c r="J244">
        <v>49</v>
      </c>
      <c r="K244" s="2">
        <v>848.79000000000008</v>
      </c>
      <c r="M244" t="s">
        <v>14</v>
      </c>
      <c r="N244" s="2">
        <v>41027.624999999971</v>
      </c>
      <c r="P244" s="71" t="s">
        <v>61</v>
      </c>
      <c r="Q244" s="71"/>
    </row>
    <row r="245" spans="2:17" ht="16" thickTop="1" x14ac:dyDescent="0.2">
      <c r="B245">
        <v>49</v>
      </c>
      <c r="C245" s="2">
        <v>244539.86125000002</v>
      </c>
      <c r="D245" s="2">
        <v>110948.31414999999</v>
      </c>
      <c r="E245" s="2">
        <v>355488.17540000001</v>
      </c>
      <c r="G245">
        <v>50</v>
      </c>
      <c r="H245" s="2">
        <v>454227.09572000016</v>
      </c>
      <c r="J245">
        <v>50</v>
      </c>
      <c r="K245" s="2">
        <v>902.83500000000015</v>
      </c>
      <c r="P245" s="1" t="s">
        <v>5</v>
      </c>
      <c r="Q245" t="s">
        <v>54</v>
      </c>
    </row>
    <row r="246" spans="2:17" x14ac:dyDescent="0.2">
      <c r="B246">
        <v>50</v>
      </c>
      <c r="C246" s="2">
        <v>303833.73497000005</v>
      </c>
      <c r="D246" s="2">
        <v>150393.36074999999</v>
      </c>
      <c r="E246" s="2">
        <v>454227.09572000004</v>
      </c>
      <c r="G246">
        <v>51</v>
      </c>
      <c r="H246" s="2">
        <v>454785.42015000008</v>
      </c>
      <c r="J246">
        <v>51</v>
      </c>
      <c r="K246" s="2">
        <v>920.08499999999992</v>
      </c>
      <c r="P246" t="s">
        <v>13</v>
      </c>
      <c r="Q246" s="2">
        <v>9452.215000000002</v>
      </c>
    </row>
    <row r="247" spans="2:17" x14ac:dyDescent="0.2">
      <c r="B247">
        <v>51</v>
      </c>
      <c r="C247" s="2">
        <v>225840.31190000003</v>
      </c>
      <c r="D247" s="2">
        <v>228945.10824999999</v>
      </c>
      <c r="E247" s="2">
        <v>454785.42015000002</v>
      </c>
      <c r="G247">
        <v>52</v>
      </c>
      <c r="H247" s="2">
        <v>529431.82185999991</v>
      </c>
      <c r="J247">
        <v>52</v>
      </c>
      <c r="K247" s="2">
        <v>955.14499999999998</v>
      </c>
      <c r="P247" t="s">
        <v>12</v>
      </c>
      <c r="Q247" s="2">
        <v>9489.9300000000039</v>
      </c>
    </row>
    <row r="248" spans="2:17" x14ac:dyDescent="0.2">
      <c r="B248">
        <v>52</v>
      </c>
      <c r="C248" s="2">
        <v>324322.02798999997</v>
      </c>
      <c r="D248" s="2">
        <v>205109.79386999999</v>
      </c>
      <c r="E248" s="2">
        <v>529431.82186000003</v>
      </c>
      <c r="G248">
        <v>53</v>
      </c>
      <c r="H248" s="2">
        <v>448586.06114000006</v>
      </c>
      <c r="J248">
        <v>53</v>
      </c>
      <c r="K248" s="2">
        <v>850.10500000000025</v>
      </c>
      <c r="P248" t="s">
        <v>11</v>
      </c>
      <c r="Q248" s="2">
        <v>12141.580000000005</v>
      </c>
    </row>
    <row r="249" spans="2:17" x14ac:dyDescent="0.2">
      <c r="B249">
        <v>53</v>
      </c>
      <c r="C249" s="2">
        <v>289356.20769000001</v>
      </c>
      <c r="D249" s="2">
        <v>159229.85345</v>
      </c>
      <c r="E249" s="2">
        <v>448586.06114000001</v>
      </c>
      <c r="G249">
        <v>54</v>
      </c>
      <c r="H249" s="2">
        <v>525239.30131000001</v>
      </c>
      <c r="J249">
        <v>54</v>
      </c>
      <c r="K249" s="2">
        <v>874.55999999999983</v>
      </c>
      <c r="P249" t="s">
        <v>8</v>
      </c>
      <c r="Q249" s="2">
        <v>9943.8999999999978</v>
      </c>
    </row>
    <row r="250" spans="2:17" x14ac:dyDescent="0.2">
      <c r="B250">
        <v>54</v>
      </c>
      <c r="C250" s="2">
        <v>301277.12805</v>
      </c>
      <c r="D250" s="2">
        <v>223962.17325999998</v>
      </c>
      <c r="E250" s="2">
        <v>525239.30131000001</v>
      </c>
      <c r="G250">
        <v>55</v>
      </c>
      <c r="H250" s="2">
        <v>420278.1827</v>
      </c>
      <c r="J250">
        <v>55</v>
      </c>
      <c r="K250" s="2">
        <v>830.7</v>
      </c>
      <c r="P250" t="s">
        <v>14</v>
      </c>
      <c r="Q250" s="2">
        <v>41027.625000000007</v>
      </c>
    </row>
    <row r="251" spans="2:17" x14ac:dyDescent="0.2">
      <c r="B251">
        <v>55</v>
      </c>
      <c r="C251" s="2">
        <v>333550.68755000003</v>
      </c>
      <c r="D251" s="2">
        <v>86727.495150000002</v>
      </c>
      <c r="E251" s="2">
        <v>420278.1827</v>
      </c>
      <c r="G251">
        <v>56</v>
      </c>
      <c r="H251" s="2">
        <v>390663.41175000003</v>
      </c>
      <c r="J251">
        <v>56</v>
      </c>
      <c r="K251" s="2">
        <v>821.62499999999977</v>
      </c>
    </row>
    <row r="252" spans="2:17" x14ac:dyDescent="0.2">
      <c r="B252">
        <v>56</v>
      </c>
      <c r="C252" s="2">
        <v>254406.38440000001</v>
      </c>
      <c r="D252" s="2">
        <v>136257.02734999999</v>
      </c>
      <c r="E252" s="2">
        <v>390663.41174999997</v>
      </c>
      <c r="G252">
        <v>57</v>
      </c>
      <c r="H252" s="2">
        <v>427626.81650000002</v>
      </c>
      <c r="J252">
        <v>57</v>
      </c>
      <c r="K252" s="2">
        <v>801.95500000000015</v>
      </c>
    </row>
    <row r="253" spans="2:17" x14ac:dyDescent="0.2">
      <c r="B253">
        <v>57</v>
      </c>
      <c r="C253" s="2">
        <v>280620.00925</v>
      </c>
      <c r="D253" s="2">
        <v>147006.80724999998</v>
      </c>
      <c r="E253" s="2">
        <v>427626.81649999996</v>
      </c>
      <c r="G253">
        <v>58</v>
      </c>
      <c r="H253" s="2">
        <v>346973.20279000001</v>
      </c>
      <c r="J253">
        <v>58</v>
      </c>
      <c r="K253" s="2">
        <v>817.95499999999981</v>
      </c>
    </row>
    <row r="254" spans="2:17" x14ac:dyDescent="0.2">
      <c r="B254">
        <v>58</v>
      </c>
      <c r="C254" s="2">
        <v>299476.70834000001</v>
      </c>
      <c r="D254" s="2">
        <v>47496.494449999998</v>
      </c>
      <c r="E254" s="2">
        <v>346973.20279000001</v>
      </c>
      <c r="G254">
        <v>59</v>
      </c>
      <c r="H254" s="2">
        <v>472396.73828999995</v>
      </c>
      <c r="J254">
        <v>59</v>
      </c>
      <c r="K254" s="2">
        <v>764.30000000000007</v>
      </c>
    </row>
    <row r="255" spans="2:17" x14ac:dyDescent="0.2">
      <c r="B255">
        <v>59</v>
      </c>
      <c r="C255" s="2">
        <v>319665.98419000005</v>
      </c>
      <c r="D255" s="2">
        <v>152730.75410000002</v>
      </c>
      <c r="E255" s="2">
        <v>472396.73829000007</v>
      </c>
      <c r="G255">
        <v>60</v>
      </c>
      <c r="H255" s="2">
        <v>505526.62566999998</v>
      </c>
      <c r="J255">
        <v>60</v>
      </c>
      <c r="K255" s="2">
        <v>697.65500000000009</v>
      </c>
    </row>
    <row r="256" spans="2:17" x14ac:dyDescent="0.2">
      <c r="B256">
        <v>60</v>
      </c>
      <c r="C256" s="2">
        <v>264949.39448000002</v>
      </c>
      <c r="D256" s="2">
        <v>240577.23118999999</v>
      </c>
      <c r="E256" s="2">
        <v>505526.62566999998</v>
      </c>
      <c r="G256">
        <v>61</v>
      </c>
      <c r="H256" s="2">
        <v>506562.52499999997</v>
      </c>
      <c r="J256">
        <v>61</v>
      </c>
      <c r="K256" s="2">
        <v>748.61</v>
      </c>
    </row>
    <row r="257" spans="2:11" x14ac:dyDescent="0.2">
      <c r="B257">
        <v>61</v>
      </c>
      <c r="C257" s="2">
        <v>275089.75745000003</v>
      </c>
      <c r="D257" s="2">
        <v>231472.76754999999</v>
      </c>
      <c r="E257" s="2">
        <v>506562.52500000002</v>
      </c>
      <c r="G257">
        <v>62</v>
      </c>
      <c r="H257" s="2">
        <v>440768.70118999999</v>
      </c>
      <c r="J257">
        <v>62</v>
      </c>
      <c r="K257" s="2">
        <v>743.88</v>
      </c>
    </row>
    <row r="258" spans="2:11" x14ac:dyDescent="0.2">
      <c r="B258">
        <v>62</v>
      </c>
      <c r="C258" s="2">
        <v>292430.27193999995</v>
      </c>
      <c r="D258" s="2">
        <v>148338.42924999999</v>
      </c>
      <c r="E258" s="2">
        <v>440768.70118999993</v>
      </c>
      <c r="G258">
        <v>63</v>
      </c>
      <c r="H258" s="2">
        <v>457354.96460000006</v>
      </c>
      <c r="J258">
        <v>63</v>
      </c>
      <c r="K258" s="2">
        <v>734.24000000000012</v>
      </c>
    </row>
    <row r="259" spans="2:11" x14ac:dyDescent="0.2">
      <c r="B259">
        <v>63</v>
      </c>
      <c r="C259" s="2">
        <v>255696.04269999999</v>
      </c>
      <c r="D259" s="2">
        <v>201658.92189999999</v>
      </c>
      <c r="E259" s="2">
        <v>457354.96459999995</v>
      </c>
      <c r="G259">
        <v>64</v>
      </c>
      <c r="H259" s="2">
        <v>512061.67841999989</v>
      </c>
      <c r="J259">
        <v>64</v>
      </c>
      <c r="K259" s="2">
        <v>725.47500000000014</v>
      </c>
    </row>
    <row r="260" spans="2:11" x14ac:dyDescent="0.2">
      <c r="B260">
        <v>64</v>
      </c>
      <c r="C260" s="2">
        <v>237080.25816999999</v>
      </c>
      <c r="D260" s="2">
        <v>274981.42025000002</v>
      </c>
      <c r="E260" s="2">
        <v>512061.67842000001</v>
      </c>
      <c r="G260" t="s">
        <v>14</v>
      </c>
      <c r="H260" s="2">
        <v>17755824.990759008</v>
      </c>
      <c r="J260" t="s">
        <v>14</v>
      </c>
      <c r="K260" s="2">
        <v>41027.625</v>
      </c>
    </row>
    <row r="261" spans="2:11" x14ac:dyDescent="0.2">
      <c r="B261" t="s">
        <v>14</v>
      </c>
      <c r="C261" s="2">
        <v>8974061.4689190015</v>
      </c>
      <c r="D261" s="2">
        <v>8781763.5218400005</v>
      </c>
      <c r="E261" s="2">
        <v>17755824.990759008</v>
      </c>
    </row>
  </sheetData>
  <mergeCells count="16">
    <mergeCell ref="M2:O2"/>
    <mergeCell ref="B211:E211"/>
    <mergeCell ref="G211:H211"/>
    <mergeCell ref="J211:K211"/>
    <mergeCell ref="M213:N213"/>
    <mergeCell ref="R213:S213"/>
    <mergeCell ref="M220:N220"/>
    <mergeCell ref="P233:Q233"/>
    <mergeCell ref="M233:N233"/>
    <mergeCell ref="P244:Q244"/>
    <mergeCell ref="M240:N240"/>
    <mergeCell ref="P223:Q223"/>
    <mergeCell ref="M234:N234"/>
    <mergeCell ref="P234:Q234"/>
    <mergeCell ref="P222:Q222"/>
    <mergeCell ref="P213:Q213"/>
  </mergeCells>
  <phoneticPr fontId="6" type="noConversion"/>
  <pageMargins left="0.7" right="0.7" top="0.75" bottom="0.75" header="0.3" footer="0.3"/>
  <drawing r:id="rId1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8B7F8-D983-EA44-94B3-F18DC8D33144}">
  <dimension ref="A1:U1339"/>
  <sheetViews>
    <sheetView workbookViewId="0">
      <selection activeCell="D1" sqref="D1"/>
    </sheetView>
  </sheetViews>
  <sheetFormatPr baseColWidth="10" defaultRowHeight="15" x14ac:dyDescent="0.2"/>
  <cols>
    <col min="6" max="6" width="11" customWidth="1"/>
    <col min="8" max="8" width="11" customWidth="1"/>
    <col min="9" max="10" width="12" customWidth="1"/>
    <col min="17" max="17" width="16.83203125" bestFit="1" customWidth="1"/>
  </cols>
  <sheetData>
    <row r="1" spans="1:21" x14ac:dyDescent="0.2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129</v>
      </c>
      <c r="G1" s="23" t="s">
        <v>131</v>
      </c>
      <c r="H1" s="23" t="s">
        <v>132</v>
      </c>
      <c r="I1" s="23" t="s">
        <v>130</v>
      </c>
      <c r="J1" s="23" t="s">
        <v>16</v>
      </c>
      <c r="N1" s="23"/>
      <c r="O1" s="23"/>
      <c r="P1" s="23"/>
      <c r="Q1" s="23"/>
      <c r="R1" s="23"/>
      <c r="S1" s="23"/>
      <c r="T1" s="23"/>
      <c r="U1" s="23"/>
    </row>
    <row r="2" spans="1:21" x14ac:dyDescent="0.2">
      <c r="A2" s="23">
        <v>19</v>
      </c>
      <c r="B2" s="23">
        <v>0</v>
      </c>
      <c r="C2" s="23">
        <v>27.9</v>
      </c>
      <c r="D2" s="23">
        <v>0</v>
      </c>
      <c r="E2" s="23">
        <v>1</v>
      </c>
      <c r="F2" s="23">
        <v>0</v>
      </c>
      <c r="G2" s="23">
        <v>0</v>
      </c>
      <c r="H2" s="23">
        <v>1</v>
      </c>
      <c r="I2" s="23">
        <v>0</v>
      </c>
      <c r="J2" s="23">
        <v>16884.923999999999</v>
      </c>
      <c r="N2" s="23"/>
      <c r="O2" s="23"/>
      <c r="P2" s="23"/>
      <c r="Q2" s="23"/>
      <c r="R2" s="23"/>
      <c r="S2" s="23"/>
      <c r="T2" s="23"/>
      <c r="U2" s="23"/>
    </row>
    <row r="3" spans="1:21" x14ac:dyDescent="0.2">
      <c r="A3" s="23">
        <v>18</v>
      </c>
      <c r="B3" s="23">
        <v>1</v>
      </c>
      <c r="C3" s="23">
        <v>33.770000000000003</v>
      </c>
      <c r="D3" s="23">
        <v>1</v>
      </c>
      <c r="E3" s="23">
        <v>0</v>
      </c>
      <c r="F3" s="23">
        <v>0</v>
      </c>
      <c r="G3" s="23">
        <v>1</v>
      </c>
      <c r="H3" s="23">
        <v>0</v>
      </c>
      <c r="I3" s="23">
        <v>0</v>
      </c>
      <c r="J3" s="23">
        <v>1725.5523000000001</v>
      </c>
      <c r="N3" s="23"/>
      <c r="O3" s="23"/>
      <c r="P3" s="23"/>
      <c r="Q3" s="23"/>
      <c r="R3" s="23"/>
      <c r="S3" s="23"/>
      <c r="T3" s="23"/>
      <c r="U3" s="23"/>
    </row>
    <row r="4" spans="1:21" x14ac:dyDescent="0.2">
      <c r="A4" s="23">
        <v>28</v>
      </c>
      <c r="B4" s="23">
        <v>1</v>
      </c>
      <c r="C4" s="23">
        <v>33</v>
      </c>
      <c r="D4" s="23">
        <v>3</v>
      </c>
      <c r="E4" s="23">
        <v>0</v>
      </c>
      <c r="F4" s="23">
        <v>0</v>
      </c>
      <c r="G4" s="23">
        <v>1</v>
      </c>
      <c r="H4" s="23">
        <v>0</v>
      </c>
      <c r="I4" s="23">
        <v>0</v>
      </c>
      <c r="J4" s="23">
        <v>4449.4620000000004</v>
      </c>
      <c r="N4" s="23"/>
      <c r="O4" s="23"/>
      <c r="P4" s="23"/>
      <c r="Q4" s="23"/>
      <c r="R4" s="23"/>
      <c r="S4" s="23"/>
      <c r="T4" s="23"/>
      <c r="U4" s="23"/>
    </row>
    <row r="5" spans="1:21" x14ac:dyDescent="0.2">
      <c r="A5" s="23">
        <v>33</v>
      </c>
      <c r="B5" s="23">
        <v>1</v>
      </c>
      <c r="C5" s="23">
        <v>22.704999999999998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1</v>
      </c>
      <c r="J5" s="23">
        <v>21984.47061</v>
      </c>
      <c r="N5" s="23"/>
      <c r="O5" s="23"/>
      <c r="P5" s="23"/>
      <c r="Q5" s="23"/>
      <c r="R5" s="23"/>
      <c r="S5" s="23"/>
      <c r="T5" s="23"/>
      <c r="U5" s="23"/>
    </row>
    <row r="6" spans="1:21" x14ac:dyDescent="0.2">
      <c r="A6" s="23">
        <v>32</v>
      </c>
      <c r="B6" s="23">
        <v>1</v>
      </c>
      <c r="C6" s="23">
        <v>28.88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1</v>
      </c>
      <c r="J6" s="23">
        <v>3866.8552</v>
      </c>
      <c r="N6" s="23"/>
      <c r="O6" s="23"/>
      <c r="P6" s="23"/>
      <c r="Q6" s="23"/>
      <c r="R6" s="23"/>
      <c r="S6" s="23"/>
      <c r="T6" s="23"/>
      <c r="U6" s="23"/>
    </row>
    <row r="7" spans="1:21" x14ac:dyDescent="0.2">
      <c r="A7" s="23">
        <v>31</v>
      </c>
      <c r="B7" s="23">
        <v>0</v>
      </c>
      <c r="C7" s="23">
        <v>25.74</v>
      </c>
      <c r="D7" s="23">
        <v>0</v>
      </c>
      <c r="E7" s="23">
        <v>0</v>
      </c>
      <c r="F7" s="23">
        <v>0</v>
      </c>
      <c r="G7" s="23">
        <v>1</v>
      </c>
      <c r="H7" s="23">
        <v>0</v>
      </c>
      <c r="I7" s="23">
        <v>0</v>
      </c>
      <c r="J7" s="23">
        <v>3756.6215999999999</v>
      </c>
      <c r="N7" s="23"/>
      <c r="O7" s="23"/>
      <c r="P7" s="23"/>
      <c r="Q7" s="23"/>
      <c r="R7" s="23"/>
      <c r="S7" s="23"/>
      <c r="T7" s="23"/>
      <c r="U7" s="23"/>
    </row>
    <row r="8" spans="1:21" x14ac:dyDescent="0.2">
      <c r="A8" s="23">
        <v>46</v>
      </c>
      <c r="B8" s="23">
        <v>0</v>
      </c>
      <c r="C8" s="23">
        <v>33.44</v>
      </c>
      <c r="D8" s="23">
        <v>1</v>
      </c>
      <c r="E8" s="23">
        <v>0</v>
      </c>
      <c r="F8" s="23">
        <v>0</v>
      </c>
      <c r="G8" s="23">
        <v>1</v>
      </c>
      <c r="H8" s="23">
        <v>0</v>
      </c>
      <c r="I8" s="23">
        <v>0</v>
      </c>
      <c r="J8" s="23">
        <v>8240.5895999999993</v>
      </c>
      <c r="N8" s="23"/>
      <c r="O8" s="23"/>
      <c r="P8" s="23"/>
      <c r="Q8" s="23"/>
      <c r="R8" s="23"/>
      <c r="S8" s="23"/>
      <c r="T8" s="23"/>
      <c r="U8" s="23"/>
    </row>
    <row r="9" spans="1:21" x14ac:dyDescent="0.2">
      <c r="A9" s="23">
        <v>37</v>
      </c>
      <c r="B9" s="23">
        <v>0</v>
      </c>
      <c r="C9" s="23">
        <v>27.74</v>
      </c>
      <c r="D9" s="23">
        <v>3</v>
      </c>
      <c r="E9" s="23">
        <v>0</v>
      </c>
      <c r="F9" s="23">
        <v>0</v>
      </c>
      <c r="G9" s="23">
        <v>0</v>
      </c>
      <c r="H9" s="23">
        <v>0</v>
      </c>
      <c r="I9" s="23">
        <v>1</v>
      </c>
      <c r="J9" s="23">
        <v>7281.5056000000004</v>
      </c>
      <c r="N9" s="23"/>
      <c r="O9" s="23"/>
      <c r="P9" s="23"/>
      <c r="Q9" s="23"/>
      <c r="R9" s="23"/>
      <c r="S9" s="23"/>
      <c r="T9" s="23"/>
      <c r="U9" s="23"/>
    </row>
    <row r="10" spans="1:21" x14ac:dyDescent="0.2">
      <c r="A10" s="23">
        <v>37</v>
      </c>
      <c r="B10" s="23">
        <v>1</v>
      </c>
      <c r="C10" s="23">
        <v>29.83</v>
      </c>
      <c r="D10" s="23">
        <v>2</v>
      </c>
      <c r="E10" s="23">
        <v>0</v>
      </c>
      <c r="F10" s="23">
        <v>1</v>
      </c>
      <c r="G10" s="23">
        <v>0</v>
      </c>
      <c r="H10" s="23">
        <v>0</v>
      </c>
      <c r="I10" s="23">
        <v>0</v>
      </c>
      <c r="J10" s="23">
        <v>6406.4107000000004</v>
      </c>
      <c r="N10" s="23"/>
      <c r="O10" s="23"/>
      <c r="P10" s="23"/>
      <c r="Q10" s="23"/>
      <c r="R10" s="23"/>
      <c r="S10" s="23"/>
      <c r="T10" s="23"/>
      <c r="U10" s="23"/>
    </row>
    <row r="11" spans="1:21" x14ac:dyDescent="0.2">
      <c r="A11" s="23">
        <v>60</v>
      </c>
      <c r="B11" s="23">
        <v>0</v>
      </c>
      <c r="C11" s="23">
        <v>25.84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1</v>
      </c>
      <c r="J11" s="23">
        <v>28923.136920000001</v>
      </c>
      <c r="N11" s="23"/>
      <c r="O11" s="23"/>
      <c r="P11" s="23"/>
      <c r="Q11" s="23"/>
      <c r="R11" s="23"/>
      <c r="S11" s="23"/>
      <c r="T11" s="23"/>
      <c r="U11" s="23"/>
    </row>
    <row r="12" spans="1:21" x14ac:dyDescent="0.2">
      <c r="A12" s="23">
        <v>25</v>
      </c>
      <c r="B12" s="23">
        <v>1</v>
      </c>
      <c r="C12" s="23">
        <v>26.22</v>
      </c>
      <c r="D12" s="23">
        <v>0</v>
      </c>
      <c r="E12" s="23">
        <v>0</v>
      </c>
      <c r="F12" s="23">
        <v>1</v>
      </c>
      <c r="G12" s="23">
        <v>0</v>
      </c>
      <c r="H12" s="23">
        <v>0</v>
      </c>
      <c r="I12" s="23">
        <v>0</v>
      </c>
      <c r="J12" s="23">
        <v>2721.3208</v>
      </c>
      <c r="N12" s="23"/>
      <c r="O12" s="23"/>
      <c r="P12" s="23"/>
      <c r="Q12" s="23"/>
      <c r="R12" s="23"/>
      <c r="S12" s="23"/>
      <c r="T12" s="23"/>
      <c r="U12" s="23"/>
    </row>
    <row r="13" spans="1:21" x14ac:dyDescent="0.2">
      <c r="A13" s="23">
        <v>62</v>
      </c>
      <c r="B13" s="23">
        <v>0</v>
      </c>
      <c r="C13" s="23">
        <v>26.29</v>
      </c>
      <c r="D13" s="23">
        <v>0</v>
      </c>
      <c r="E13" s="23">
        <v>1</v>
      </c>
      <c r="F13" s="23">
        <v>0</v>
      </c>
      <c r="G13" s="23">
        <v>1</v>
      </c>
      <c r="H13" s="23">
        <v>0</v>
      </c>
      <c r="I13" s="23">
        <v>0</v>
      </c>
      <c r="J13" s="23">
        <v>27808.7251</v>
      </c>
      <c r="N13" s="23"/>
      <c r="O13" s="23"/>
      <c r="P13" s="23"/>
      <c r="Q13" s="23"/>
      <c r="R13" s="23"/>
      <c r="S13" s="23"/>
      <c r="T13" s="23"/>
      <c r="U13" s="23"/>
    </row>
    <row r="14" spans="1:21" x14ac:dyDescent="0.2">
      <c r="A14" s="23">
        <v>23</v>
      </c>
      <c r="B14" s="23">
        <v>1</v>
      </c>
      <c r="C14" s="23">
        <v>34.4</v>
      </c>
      <c r="D14" s="23">
        <v>0</v>
      </c>
      <c r="E14" s="23">
        <v>0</v>
      </c>
      <c r="F14" s="23">
        <v>0</v>
      </c>
      <c r="G14" s="23">
        <v>0</v>
      </c>
      <c r="H14" s="23">
        <v>1</v>
      </c>
      <c r="I14" s="23">
        <v>0</v>
      </c>
      <c r="J14" s="23">
        <v>1826.8430000000001</v>
      </c>
      <c r="N14" s="23"/>
      <c r="O14" s="23"/>
      <c r="P14" s="23"/>
      <c r="Q14" s="23"/>
      <c r="R14" s="23"/>
      <c r="S14" s="23"/>
      <c r="T14" s="23"/>
      <c r="U14" s="23"/>
    </row>
    <row r="15" spans="1:21" x14ac:dyDescent="0.2">
      <c r="A15" s="23">
        <v>56</v>
      </c>
      <c r="B15" s="23">
        <v>0</v>
      </c>
      <c r="C15" s="23">
        <v>39.82</v>
      </c>
      <c r="D15" s="23">
        <v>0</v>
      </c>
      <c r="E15" s="23">
        <v>0</v>
      </c>
      <c r="F15" s="23">
        <v>0</v>
      </c>
      <c r="G15" s="23">
        <v>1</v>
      </c>
      <c r="H15" s="23">
        <v>0</v>
      </c>
      <c r="I15" s="23">
        <v>0</v>
      </c>
      <c r="J15" s="23">
        <v>11090.7178</v>
      </c>
      <c r="N15" s="23"/>
      <c r="O15" s="23"/>
      <c r="P15" s="23"/>
      <c r="Q15" s="23"/>
      <c r="R15" s="23"/>
      <c r="S15" s="23"/>
      <c r="T15" s="23"/>
      <c r="U15" s="23"/>
    </row>
    <row r="16" spans="1:21" x14ac:dyDescent="0.2">
      <c r="A16" s="23">
        <v>27</v>
      </c>
      <c r="B16" s="23">
        <v>1</v>
      </c>
      <c r="C16" s="23">
        <v>42.13</v>
      </c>
      <c r="D16" s="23">
        <v>0</v>
      </c>
      <c r="E16" s="23">
        <v>1</v>
      </c>
      <c r="F16" s="23">
        <v>0</v>
      </c>
      <c r="G16" s="23">
        <v>1</v>
      </c>
      <c r="H16" s="23">
        <v>0</v>
      </c>
      <c r="I16" s="23">
        <v>0</v>
      </c>
      <c r="J16" s="23">
        <v>39611.757700000002</v>
      </c>
      <c r="N16" s="23"/>
      <c r="O16" s="23"/>
      <c r="P16" s="23"/>
      <c r="Q16" s="23"/>
      <c r="R16" s="23"/>
      <c r="S16" s="23"/>
      <c r="T16" s="23"/>
      <c r="U16" s="23"/>
    </row>
    <row r="17" spans="1:21" x14ac:dyDescent="0.2">
      <c r="A17" s="23">
        <v>19</v>
      </c>
      <c r="B17" s="23">
        <v>1</v>
      </c>
      <c r="C17" s="23">
        <v>24.6</v>
      </c>
      <c r="D17" s="23">
        <v>1</v>
      </c>
      <c r="E17" s="23">
        <v>0</v>
      </c>
      <c r="F17" s="23">
        <v>0</v>
      </c>
      <c r="G17" s="23">
        <v>0</v>
      </c>
      <c r="H17" s="23">
        <v>1</v>
      </c>
      <c r="I17" s="23">
        <v>0</v>
      </c>
      <c r="J17" s="23">
        <v>1837.2370000000001</v>
      </c>
      <c r="N17" s="23"/>
      <c r="O17" s="23"/>
      <c r="P17" s="23"/>
      <c r="Q17" s="23"/>
      <c r="R17" s="23"/>
      <c r="S17" s="23"/>
      <c r="T17" s="23"/>
      <c r="U17" s="23"/>
    </row>
    <row r="18" spans="1:21" x14ac:dyDescent="0.2">
      <c r="A18" s="23">
        <v>52</v>
      </c>
      <c r="B18" s="23">
        <v>0</v>
      </c>
      <c r="C18" s="23">
        <v>30.78</v>
      </c>
      <c r="D18" s="23">
        <v>1</v>
      </c>
      <c r="E18" s="23">
        <v>0</v>
      </c>
      <c r="F18" s="23">
        <v>1</v>
      </c>
      <c r="G18" s="23">
        <v>0</v>
      </c>
      <c r="H18" s="23">
        <v>0</v>
      </c>
      <c r="I18" s="23">
        <v>0</v>
      </c>
      <c r="J18" s="23">
        <v>10797.3362</v>
      </c>
      <c r="N18" s="23"/>
      <c r="O18" s="23"/>
      <c r="P18" s="23"/>
      <c r="Q18" s="23"/>
      <c r="R18" s="23"/>
      <c r="S18" s="23"/>
      <c r="T18" s="23"/>
      <c r="U18" s="23"/>
    </row>
    <row r="19" spans="1:21" x14ac:dyDescent="0.2">
      <c r="A19" s="23">
        <v>23</v>
      </c>
      <c r="B19" s="23">
        <v>1</v>
      </c>
      <c r="C19" s="23">
        <v>23.844999999999999</v>
      </c>
      <c r="D19" s="23">
        <v>0</v>
      </c>
      <c r="E19" s="23">
        <v>0</v>
      </c>
      <c r="F19" s="23">
        <v>1</v>
      </c>
      <c r="G19" s="23">
        <v>0</v>
      </c>
      <c r="H19" s="23">
        <v>0</v>
      </c>
      <c r="I19" s="23">
        <v>0</v>
      </c>
      <c r="J19" s="23">
        <v>2395.17155</v>
      </c>
      <c r="N19" s="23"/>
      <c r="O19" s="23"/>
      <c r="P19" s="23"/>
      <c r="Q19" s="23"/>
      <c r="R19" s="23"/>
      <c r="S19" s="23"/>
      <c r="T19" s="23"/>
      <c r="U19" s="23"/>
    </row>
    <row r="20" spans="1:21" x14ac:dyDescent="0.2">
      <c r="A20" s="23">
        <v>56</v>
      </c>
      <c r="B20" s="23">
        <v>1</v>
      </c>
      <c r="C20" s="23">
        <v>40.299999999999997</v>
      </c>
      <c r="D20" s="23">
        <v>0</v>
      </c>
      <c r="E20" s="23">
        <v>0</v>
      </c>
      <c r="F20" s="23">
        <v>0</v>
      </c>
      <c r="G20" s="23">
        <v>0</v>
      </c>
      <c r="H20" s="23">
        <v>1</v>
      </c>
      <c r="I20" s="23">
        <v>0</v>
      </c>
      <c r="J20" s="23">
        <v>10602.385</v>
      </c>
      <c r="N20" s="23"/>
      <c r="O20" s="23"/>
      <c r="P20" s="23"/>
      <c r="Q20" s="23"/>
      <c r="R20" s="23"/>
      <c r="S20" s="23"/>
      <c r="T20" s="23"/>
      <c r="U20" s="23"/>
    </row>
    <row r="21" spans="1:21" x14ac:dyDescent="0.2">
      <c r="A21" s="23">
        <v>30</v>
      </c>
      <c r="B21" s="23">
        <v>1</v>
      </c>
      <c r="C21" s="23">
        <v>35.299999999999997</v>
      </c>
      <c r="D21" s="23">
        <v>0</v>
      </c>
      <c r="E21" s="23">
        <v>1</v>
      </c>
      <c r="F21" s="23">
        <v>0</v>
      </c>
      <c r="G21" s="23">
        <v>0</v>
      </c>
      <c r="H21" s="23">
        <v>1</v>
      </c>
      <c r="I21" s="23">
        <v>0</v>
      </c>
      <c r="J21" s="23">
        <v>36837.466999999997</v>
      </c>
      <c r="N21" s="23"/>
      <c r="O21" s="23"/>
      <c r="P21" s="23"/>
      <c r="Q21" s="23"/>
      <c r="R21" s="23"/>
      <c r="S21" s="23"/>
      <c r="T21" s="23"/>
      <c r="U21" s="23"/>
    </row>
    <row r="22" spans="1:21" x14ac:dyDescent="0.2">
      <c r="A22" s="23">
        <v>60</v>
      </c>
      <c r="B22" s="23">
        <v>0</v>
      </c>
      <c r="C22" s="23">
        <v>36.005000000000003</v>
      </c>
      <c r="D22" s="23">
        <v>0</v>
      </c>
      <c r="E22" s="23">
        <v>0</v>
      </c>
      <c r="F22" s="23">
        <v>1</v>
      </c>
      <c r="G22" s="23">
        <v>0</v>
      </c>
      <c r="H22" s="23">
        <v>0</v>
      </c>
      <c r="I22" s="23">
        <v>0</v>
      </c>
      <c r="J22" s="23">
        <v>13228.846949999999</v>
      </c>
      <c r="N22" s="23"/>
      <c r="O22" s="23"/>
      <c r="P22" s="23"/>
      <c r="Q22" s="23"/>
      <c r="R22" s="23"/>
      <c r="S22" s="23"/>
      <c r="T22" s="23"/>
      <c r="U22" s="23"/>
    </row>
    <row r="23" spans="1:21" x14ac:dyDescent="0.2">
      <c r="A23" s="23">
        <v>30</v>
      </c>
      <c r="B23" s="23">
        <v>0</v>
      </c>
      <c r="C23" s="23">
        <v>32.4</v>
      </c>
      <c r="D23" s="23">
        <v>1</v>
      </c>
      <c r="E23" s="23">
        <v>0</v>
      </c>
      <c r="F23" s="23">
        <v>0</v>
      </c>
      <c r="G23" s="23">
        <v>0</v>
      </c>
      <c r="H23" s="23">
        <v>1</v>
      </c>
      <c r="I23" s="23">
        <v>0</v>
      </c>
      <c r="J23" s="23">
        <v>4149.7359999999999</v>
      </c>
      <c r="N23" s="23"/>
      <c r="O23" s="23"/>
      <c r="P23" s="23"/>
      <c r="Q23" s="23"/>
      <c r="R23" s="23"/>
      <c r="S23" s="23"/>
      <c r="T23" s="23"/>
      <c r="U23" s="23"/>
    </row>
    <row r="24" spans="1:21" x14ac:dyDescent="0.2">
      <c r="A24" s="23">
        <v>18</v>
      </c>
      <c r="B24" s="23">
        <v>1</v>
      </c>
      <c r="C24" s="23">
        <v>34.1</v>
      </c>
      <c r="D24" s="23">
        <v>0</v>
      </c>
      <c r="E24" s="23">
        <v>0</v>
      </c>
      <c r="F24" s="23">
        <v>0</v>
      </c>
      <c r="G24" s="23">
        <v>1</v>
      </c>
      <c r="H24" s="23">
        <v>0</v>
      </c>
      <c r="I24" s="23">
        <v>0</v>
      </c>
      <c r="J24" s="23">
        <v>1137.011</v>
      </c>
      <c r="N24" s="23"/>
      <c r="O24" s="23"/>
      <c r="P24" s="23"/>
      <c r="Q24" s="23"/>
      <c r="R24" s="23"/>
      <c r="S24" s="23"/>
      <c r="T24" s="23"/>
      <c r="U24" s="23"/>
    </row>
    <row r="25" spans="1:21" x14ac:dyDescent="0.2">
      <c r="A25" s="23">
        <v>34</v>
      </c>
      <c r="B25" s="23">
        <v>0</v>
      </c>
      <c r="C25" s="23">
        <v>31.92</v>
      </c>
      <c r="D25" s="23">
        <v>1</v>
      </c>
      <c r="E25" s="23">
        <v>1</v>
      </c>
      <c r="F25" s="23">
        <v>1</v>
      </c>
      <c r="G25" s="23">
        <v>0</v>
      </c>
      <c r="H25" s="23">
        <v>0</v>
      </c>
      <c r="I25" s="23">
        <v>0</v>
      </c>
      <c r="J25" s="23">
        <v>37701.876799999998</v>
      </c>
      <c r="N25" s="23"/>
      <c r="O25" s="23"/>
      <c r="P25" s="23"/>
      <c r="Q25" s="23"/>
      <c r="R25" s="23"/>
      <c r="S25" s="23"/>
      <c r="T25" s="23"/>
      <c r="U25" s="23"/>
    </row>
    <row r="26" spans="1:21" x14ac:dyDescent="0.2">
      <c r="A26" s="23">
        <v>37</v>
      </c>
      <c r="B26" s="23">
        <v>1</v>
      </c>
      <c r="C26" s="23">
        <v>28.024999999999999</v>
      </c>
      <c r="D26" s="23">
        <v>2</v>
      </c>
      <c r="E26" s="23">
        <v>0</v>
      </c>
      <c r="F26" s="23">
        <v>0</v>
      </c>
      <c r="G26" s="23">
        <v>0</v>
      </c>
      <c r="H26" s="23">
        <v>0</v>
      </c>
      <c r="I26" s="23">
        <v>1</v>
      </c>
      <c r="J26" s="23">
        <v>6203.90175</v>
      </c>
      <c r="N26" s="23"/>
      <c r="O26" s="23"/>
      <c r="P26" s="23"/>
      <c r="Q26" s="23"/>
      <c r="R26" s="23"/>
      <c r="S26" s="23"/>
      <c r="T26" s="23"/>
      <c r="U26" s="23"/>
    </row>
    <row r="27" spans="1:21" x14ac:dyDescent="0.2">
      <c r="A27" s="23">
        <v>59</v>
      </c>
      <c r="B27" s="23">
        <v>0</v>
      </c>
      <c r="C27" s="23">
        <v>27.72</v>
      </c>
      <c r="D27" s="23">
        <v>3</v>
      </c>
      <c r="E27" s="23">
        <v>0</v>
      </c>
      <c r="F27" s="23">
        <v>0</v>
      </c>
      <c r="G27" s="23">
        <v>1</v>
      </c>
      <c r="H27" s="23">
        <v>0</v>
      </c>
      <c r="I27" s="23">
        <v>0</v>
      </c>
      <c r="J27" s="23">
        <v>14001.1338</v>
      </c>
      <c r="N27" s="23"/>
      <c r="O27" s="23"/>
      <c r="P27" s="23"/>
      <c r="Q27" s="23"/>
      <c r="R27" s="23"/>
      <c r="S27" s="23"/>
      <c r="T27" s="23"/>
      <c r="U27" s="23"/>
    </row>
    <row r="28" spans="1:21" x14ac:dyDescent="0.2">
      <c r="A28" s="23">
        <v>63</v>
      </c>
      <c r="B28" s="23">
        <v>0</v>
      </c>
      <c r="C28" s="23">
        <v>23.085000000000001</v>
      </c>
      <c r="D28" s="23">
        <v>0</v>
      </c>
      <c r="E28" s="23">
        <v>0</v>
      </c>
      <c r="F28" s="23">
        <v>1</v>
      </c>
      <c r="G28" s="23">
        <v>0</v>
      </c>
      <c r="H28" s="23">
        <v>0</v>
      </c>
      <c r="I28" s="23">
        <v>0</v>
      </c>
      <c r="J28" s="23">
        <v>14451.835150000001</v>
      </c>
      <c r="N28" s="23"/>
      <c r="O28" s="23"/>
      <c r="P28" s="23"/>
      <c r="Q28" s="23"/>
      <c r="R28" s="23"/>
      <c r="S28" s="23"/>
      <c r="T28" s="23"/>
      <c r="U28" s="23"/>
    </row>
    <row r="29" spans="1:21" x14ac:dyDescent="0.2">
      <c r="A29" s="23">
        <v>55</v>
      </c>
      <c r="B29" s="23">
        <v>0</v>
      </c>
      <c r="C29" s="23">
        <v>32.774999999999999</v>
      </c>
      <c r="D29" s="23">
        <v>2</v>
      </c>
      <c r="E29" s="23">
        <v>0</v>
      </c>
      <c r="F29" s="23">
        <v>0</v>
      </c>
      <c r="G29" s="23">
        <v>0</v>
      </c>
      <c r="H29" s="23">
        <v>0</v>
      </c>
      <c r="I29" s="23">
        <v>1</v>
      </c>
      <c r="J29" s="23">
        <v>12268.632250000001</v>
      </c>
      <c r="N29" s="23"/>
      <c r="O29" s="23"/>
      <c r="P29" s="23"/>
      <c r="Q29" s="23"/>
      <c r="R29" s="23"/>
      <c r="S29" s="23"/>
      <c r="T29" s="23"/>
      <c r="U29" s="23"/>
    </row>
    <row r="30" spans="1:21" x14ac:dyDescent="0.2">
      <c r="A30" s="23">
        <v>23</v>
      </c>
      <c r="B30" s="23">
        <v>1</v>
      </c>
      <c r="C30" s="23">
        <v>17.385000000000002</v>
      </c>
      <c r="D30" s="23">
        <v>1</v>
      </c>
      <c r="E30" s="23">
        <v>0</v>
      </c>
      <c r="F30" s="23">
        <v>0</v>
      </c>
      <c r="G30" s="23">
        <v>0</v>
      </c>
      <c r="H30" s="23">
        <v>0</v>
      </c>
      <c r="I30" s="23">
        <v>1</v>
      </c>
      <c r="J30" s="23">
        <v>2775.1921499999999</v>
      </c>
      <c r="N30" s="23"/>
      <c r="O30" s="23"/>
      <c r="P30" s="23"/>
      <c r="Q30" s="23"/>
      <c r="R30" s="23"/>
      <c r="S30" s="23"/>
      <c r="T30" s="23"/>
      <c r="U30" s="23"/>
    </row>
    <row r="31" spans="1:21" x14ac:dyDescent="0.2">
      <c r="A31" s="23">
        <v>31</v>
      </c>
      <c r="B31" s="23">
        <v>1</v>
      </c>
      <c r="C31" s="23">
        <v>36.299999999999997</v>
      </c>
      <c r="D31" s="23">
        <v>2</v>
      </c>
      <c r="E31" s="23">
        <v>1</v>
      </c>
      <c r="F31" s="23">
        <v>0</v>
      </c>
      <c r="G31" s="23">
        <v>0</v>
      </c>
      <c r="H31" s="23">
        <v>1</v>
      </c>
      <c r="I31" s="23">
        <v>0</v>
      </c>
      <c r="J31" s="23">
        <v>38711</v>
      </c>
      <c r="N31" s="23"/>
      <c r="O31" s="23"/>
      <c r="P31" s="23"/>
      <c r="Q31" s="23"/>
      <c r="R31" s="23"/>
      <c r="S31" s="23"/>
      <c r="T31" s="23"/>
      <c r="U31" s="23"/>
    </row>
    <row r="32" spans="1:21" x14ac:dyDescent="0.2">
      <c r="A32" s="23">
        <v>22</v>
      </c>
      <c r="B32" s="23">
        <v>1</v>
      </c>
      <c r="C32" s="23">
        <v>35.6</v>
      </c>
      <c r="D32" s="23">
        <v>0</v>
      </c>
      <c r="E32" s="23">
        <v>1</v>
      </c>
      <c r="F32" s="23">
        <v>0</v>
      </c>
      <c r="G32" s="23">
        <v>0</v>
      </c>
      <c r="H32" s="23">
        <v>1</v>
      </c>
      <c r="I32" s="23">
        <v>0</v>
      </c>
      <c r="J32" s="23">
        <v>35585.576000000001</v>
      </c>
      <c r="N32" s="23"/>
      <c r="O32" s="23"/>
      <c r="P32" s="23"/>
      <c r="Q32" s="23"/>
      <c r="R32" s="23"/>
      <c r="S32" s="23"/>
      <c r="T32" s="23"/>
      <c r="U32" s="23"/>
    </row>
    <row r="33" spans="1:21" x14ac:dyDescent="0.2">
      <c r="A33" s="23">
        <v>18</v>
      </c>
      <c r="B33" s="23">
        <v>0</v>
      </c>
      <c r="C33" s="23">
        <v>26.315000000000001</v>
      </c>
      <c r="D33" s="23">
        <v>0</v>
      </c>
      <c r="E33" s="23">
        <v>0</v>
      </c>
      <c r="F33" s="23">
        <v>1</v>
      </c>
      <c r="G33" s="23">
        <v>0</v>
      </c>
      <c r="H33" s="23">
        <v>0</v>
      </c>
      <c r="I33" s="23">
        <v>0</v>
      </c>
      <c r="J33" s="23">
        <v>2198.1898500000002</v>
      </c>
      <c r="N33" s="23"/>
      <c r="O33" s="23"/>
      <c r="P33" s="23"/>
      <c r="Q33" s="23"/>
      <c r="R33" s="23"/>
      <c r="S33" s="23"/>
      <c r="T33" s="23"/>
      <c r="U33" s="23"/>
    </row>
    <row r="34" spans="1:21" x14ac:dyDescent="0.2">
      <c r="A34" s="23">
        <v>19</v>
      </c>
      <c r="B34" s="23">
        <v>0</v>
      </c>
      <c r="C34" s="23">
        <v>28.6</v>
      </c>
      <c r="D34" s="23">
        <v>5</v>
      </c>
      <c r="E34" s="23">
        <v>0</v>
      </c>
      <c r="F34" s="23">
        <v>0</v>
      </c>
      <c r="G34" s="23">
        <v>0</v>
      </c>
      <c r="H34" s="23">
        <v>1</v>
      </c>
      <c r="I34" s="23">
        <v>0</v>
      </c>
      <c r="J34" s="23">
        <v>4687.7969999999996</v>
      </c>
      <c r="N34" s="23"/>
      <c r="O34" s="23"/>
      <c r="P34" s="23"/>
      <c r="Q34" s="23"/>
      <c r="R34" s="23"/>
      <c r="S34" s="23"/>
      <c r="T34" s="23"/>
      <c r="U34" s="23"/>
    </row>
    <row r="35" spans="1:21" x14ac:dyDescent="0.2">
      <c r="A35" s="23">
        <v>63</v>
      </c>
      <c r="B35" s="23">
        <v>1</v>
      </c>
      <c r="C35" s="23">
        <v>28.31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1</v>
      </c>
      <c r="J35" s="23">
        <v>13770.097900000001</v>
      </c>
      <c r="N35" s="23"/>
      <c r="O35" s="23"/>
      <c r="P35" s="23"/>
      <c r="Q35" s="23"/>
      <c r="R35" s="23"/>
      <c r="S35" s="23"/>
      <c r="T35" s="23"/>
      <c r="U35" s="23"/>
    </row>
    <row r="36" spans="1:21" x14ac:dyDescent="0.2">
      <c r="A36" s="23">
        <v>28</v>
      </c>
      <c r="B36" s="23">
        <v>1</v>
      </c>
      <c r="C36" s="23">
        <v>36.4</v>
      </c>
      <c r="D36" s="23">
        <v>1</v>
      </c>
      <c r="E36" s="23">
        <v>1</v>
      </c>
      <c r="F36" s="23">
        <v>0</v>
      </c>
      <c r="G36" s="23">
        <v>0</v>
      </c>
      <c r="H36" s="23">
        <v>1</v>
      </c>
      <c r="I36" s="23">
        <v>0</v>
      </c>
      <c r="J36" s="23">
        <v>51194.559139999998</v>
      </c>
      <c r="N36" s="23"/>
      <c r="O36" s="23"/>
      <c r="P36" s="23"/>
      <c r="Q36" s="23"/>
      <c r="R36" s="23"/>
      <c r="S36" s="23"/>
      <c r="T36" s="23"/>
      <c r="U36" s="23"/>
    </row>
    <row r="37" spans="1:21" x14ac:dyDescent="0.2">
      <c r="A37" s="23">
        <v>19</v>
      </c>
      <c r="B37" s="23">
        <v>1</v>
      </c>
      <c r="C37" s="23">
        <v>20.425000000000001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1</v>
      </c>
      <c r="J37" s="23">
        <v>1625.4337499999999</v>
      </c>
      <c r="N37" s="23"/>
      <c r="O37" s="23"/>
      <c r="P37" s="23"/>
      <c r="Q37" s="23"/>
      <c r="R37" s="23"/>
      <c r="S37" s="23"/>
      <c r="T37" s="23"/>
      <c r="U37" s="23"/>
    </row>
    <row r="38" spans="1:21" x14ac:dyDescent="0.2">
      <c r="A38" s="23">
        <v>62</v>
      </c>
      <c r="B38" s="23">
        <v>0</v>
      </c>
      <c r="C38" s="23">
        <v>32.965000000000003</v>
      </c>
      <c r="D38" s="23">
        <v>3</v>
      </c>
      <c r="E38" s="23">
        <v>0</v>
      </c>
      <c r="F38" s="23">
        <v>0</v>
      </c>
      <c r="G38" s="23">
        <v>0</v>
      </c>
      <c r="H38" s="23">
        <v>0</v>
      </c>
      <c r="I38" s="23">
        <v>1</v>
      </c>
      <c r="J38" s="23">
        <v>15612.19335</v>
      </c>
      <c r="N38" s="23"/>
      <c r="O38" s="23"/>
      <c r="P38" s="23"/>
      <c r="Q38" s="23"/>
      <c r="R38" s="23"/>
      <c r="S38" s="23"/>
      <c r="T38" s="23"/>
      <c r="U38" s="23"/>
    </row>
    <row r="39" spans="1:21" x14ac:dyDescent="0.2">
      <c r="A39" s="23">
        <v>26</v>
      </c>
      <c r="B39" s="23">
        <v>1</v>
      </c>
      <c r="C39" s="23">
        <v>20.8</v>
      </c>
      <c r="D39" s="23">
        <v>0</v>
      </c>
      <c r="E39" s="23">
        <v>0</v>
      </c>
      <c r="F39" s="23">
        <v>0</v>
      </c>
      <c r="G39" s="23">
        <v>0</v>
      </c>
      <c r="H39" s="23">
        <v>1</v>
      </c>
      <c r="I39" s="23">
        <v>0</v>
      </c>
      <c r="J39" s="23">
        <v>2302.3000000000002</v>
      </c>
      <c r="N39" s="23"/>
      <c r="O39" s="23"/>
      <c r="P39" s="23"/>
      <c r="Q39" s="23"/>
      <c r="R39" s="23"/>
      <c r="S39" s="23"/>
      <c r="T39" s="23"/>
      <c r="U39" s="23"/>
    </row>
    <row r="40" spans="1:21" x14ac:dyDescent="0.2">
      <c r="A40" s="23">
        <v>35</v>
      </c>
      <c r="B40" s="23">
        <v>1</v>
      </c>
      <c r="C40" s="23">
        <v>36.67</v>
      </c>
      <c r="D40" s="23">
        <v>1</v>
      </c>
      <c r="E40" s="23">
        <v>1</v>
      </c>
      <c r="F40" s="23">
        <v>1</v>
      </c>
      <c r="G40" s="23">
        <v>0</v>
      </c>
      <c r="H40" s="23">
        <v>0</v>
      </c>
      <c r="I40" s="23">
        <v>0</v>
      </c>
      <c r="J40" s="23">
        <v>39774.276299999998</v>
      </c>
      <c r="N40" s="23"/>
      <c r="O40" s="23"/>
      <c r="P40" s="23"/>
      <c r="Q40" s="23"/>
      <c r="R40" s="23"/>
      <c r="S40" s="23"/>
      <c r="T40" s="23"/>
      <c r="U40" s="23"/>
    </row>
    <row r="41" spans="1:21" x14ac:dyDescent="0.2">
      <c r="A41" s="23">
        <v>60</v>
      </c>
      <c r="B41" s="23">
        <v>1</v>
      </c>
      <c r="C41" s="23">
        <v>39.9</v>
      </c>
      <c r="D41" s="23">
        <v>0</v>
      </c>
      <c r="E41" s="23">
        <v>1</v>
      </c>
      <c r="F41" s="23">
        <v>0</v>
      </c>
      <c r="G41" s="23">
        <v>0</v>
      </c>
      <c r="H41" s="23">
        <v>1</v>
      </c>
      <c r="I41" s="23">
        <v>0</v>
      </c>
      <c r="J41" s="23">
        <v>48173.360999999997</v>
      </c>
      <c r="N41" s="23"/>
      <c r="O41" s="23"/>
      <c r="P41" s="23"/>
      <c r="Q41" s="23"/>
      <c r="R41" s="23"/>
      <c r="S41" s="23"/>
      <c r="T41" s="23"/>
      <c r="U41" s="23"/>
    </row>
    <row r="42" spans="1:21" x14ac:dyDescent="0.2">
      <c r="A42" s="23">
        <v>24</v>
      </c>
      <c r="B42" s="23">
        <v>0</v>
      </c>
      <c r="C42" s="23">
        <v>26.6</v>
      </c>
      <c r="D42" s="23">
        <v>0</v>
      </c>
      <c r="E42" s="23">
        <v>0</v>
      </c>
      <c r="F42" s="23">
        <v>1</v>
      </c>
      <c r="G42" s="23">
        <v>0</v>
      </c>
      <c r="H42" s="23">
        <v>0</v>
      </c>
      <c r="I42" s="23">
        <v>0</v>
      </c>
      <c r="J42" s="23">
        <v>3046.0619999999999</v>
      </c>
      <c r="N42" s="23"/>
      <c r="O42" s="23"/>
      <c r="P42" s="23"/>
      <c r="Q42" s="23"/>
      <c r="R42" s="23"/>
      <c r="S42" s="23"/>
      <c r="T42" s="23"/>
      <c r="U42" s="23"/>
    </row>
    <row r="43" spans="1:21" x14ac:dyDescent="0.2">
      <c r="A43" s="23">
        <v>31</v>
      </c>
      <c r="B43" s="23">
        <v>0</v>
      </c>
      <c r="C43" s="23">
        <v>36.630000000000003</v>
      </c>
      <c r="D43" s="23">
        <v>2</v>
      </c>
      <c r="E43" s="23">
        <v>0</v>
      </c>
      <c r="F43" s="23">
        <v>0</v>
      </c>
      <c r="G43" s="23">
        <v>1</v>
      </c>
      <c r="H43" s="23">
        <v>0</v>
      </c>
      <c r="I43" s="23">
        <v>0</v>
      </c>
      <c r="J43" s="23">
        <v>4949.7587000000003</v>
      </c>
      <c r="N43" s="23"/>
      <c r="O43" s="23"/>
      <c r="P43" s="23"/>
      <c r="Q43" s="23"/>
      <c r="R43" s="23"/>
      <c r="S43" s="23"/>
      <c r="T43" s="23"/>
      <c r="U43" s="23"/>
    </row>
    <row r="44" spans="1:21" x14ac:dyDescent="0.2">
      <c r="A44" s="23">
        <v>41</v>
      </c>
      <c r="B44" s="23">
        <v>1</v>
      </c>
      <c r="C44" s="23">
        <v>21.78</v>
      </c>
      <c r="D44" s="23">
        <v>1</v>
      </c>
      <c r="E44" s="23">
        <v>0</v>
      </c>
      <c r="F44" s="23">
        <v>0</v>
      </c>
      <c r="G44" s="23">
        <v>1</v>
      </c>
      <c r="H44" s="23">
        <v>0</v>
      </c>
      <c r="I44" s="23">
        <v>0</v>
      </c>
      <c r="J44" s="23">
        <v>6272.4772000000003</v>
      </c>
      <c r="N44" s="23"/>
      <c r="O44" s="23"/>
      <c r="P44" s="23"/>
      <c r="Q44" s="23"/>
      <c r="R44" s="23"/>
      <c r="S44" s="23"/>
      <c r="T44" s="23"/>
      <c r="U44" s="23"/>
    </row>
    <row r="45" spans="1:21" x14ac:dyDescent="0.2">
      <c r="A45" s="23">
        <v>37</v>
      </c>
      <c r="B45" s="23">
        <v>0</v>
      </c>
      <c r="C45" s="23">
        <v>30.8</v>
      </c>
      <c r="D45" s="23">
        <v>2</v>
      </c>
      <c r="E45" s="23">
        <v>0</v>
      </c>
      <c r="F45" s="23">
        <v>0</v>
      </c>
      <c r="G45" s="23">
        <v>1</v>
      </c>
      <c r="H45" s="23">
        <v>0</v>
      </c>
      <c r="I45" s="23">
        <v>0</v>
      </c>
      <c r="J45" s="23">
        <v>6313.759</v>
      </c>
      <c r="N45" s="23"/>
      <c r="O45" s="23"/>
      <c r="P45" s="23"/>
      <c r="Q45" s="23"/>
      <c r="R45" s="23"/>
      <c r="S45" s="23"/>
      <c r="T45" s="23"/>
      <c r="U45" s="23"/>
    </row>
    <row r="46" spans="1:21" x14ac:dyDescent="0.2">
      <c r="A46" s="23">
        <v>38</v>
      </c>
      <c r="B46" s="23">
        <v>1</v>
      </c>
      <c r="C46" s="23">
        <v>37.049999999999997</v>
      </c>
      <c r="D46" s="23">
        <v>1</v>
      </c>
      <c r="E46" s="23">
        <v>0</v>
      </c>
      <c r="F46" s="23">
        <v>1</v>
      </c>
      <c r="G46" s="23">
        <v>0</v>
      </c>
      <c r="H46" s="23">
        <v>0</v>
      </c>
      <c r="I46" s="23">
        <v>0</v>
      </c>
      <c r="J46" s="23">
        <v>6079.6715000000004</v>
      </c>
      <c r="N46" s="23"/>
      <c r="O46" s="23"/>
      <c r="P46" s="23"/>
      <c r="Q46" s="23"/>
      <c r="R46" s="23"/>
      <c r="S46" s="23"/>
      <c r="T46" s="23"/>
      <c r="U46" s="23"/>
    </row>
    <row r="47" spans="1:21" x14ac:dyDescent="0.2">
      <c r="A47" s="23">
        <v>55</v>
      </c>
      <c r="B47" s="23">
        <v>1</v>
      </c>
      <c r="C47" s="23">
        <v>37.299999999999997</v>
      </c>
      <c r="D47" s="23">
        <v>0</v>
      </c>
      <c r="E47" s="23">
        <v>0</v>
      </c>
      <c r="F47" s="23">
        <v>0</v>
      </c>
      <c r="G47" s="23">
        <v>0</v>
      </c>
      <c r="H47" s="23">
        <v>1</v>
      </c>
      <c r="I47" s="23">
        <v>0</v>
      </c>
      <c r="J47" s="23">
        <v>20630.283510000001</v>
      </c>
      <c r="N47" s="23"/>
      <c r="O47" s="23"/>
      <c r="P47" s="23"/>
      <c r="Q47" s="23"/>
      <c r="R47" s="23"/>
      <c r="S47" s="23"/>
      <c r="T47" s="23"/>
      <c r="U47" s="23"/>
    </row>
    <row r="48" spans="1:21" x14ac:dyDescent="0.2">
      <c r="A48" s="23">
        <v>18</v>
      </c>
      <c r="B48" s="23">
        <v>0</v>
      </c>
      <c r="C48" s="23">
        <v>38.664999999999999</v>
      </c>
      <c r="D48" s="23">
        <v>2</v>
      </c>
      <c r="E48" s="23">
        <v>0</v>
      </c>
      <c r="F48" s="23">
        <v>1</v>
      </c>
      <c r="G48" s="23">
        <v>0</v>
      </c>
      <c r="H48" s="23">
        <v>0</v>
      </c>
      <c r="I48" s="23">
        <v>0</v>
      </c>
      <c r="J48" s="23">
        <v>3393.35635</v>
      </c>
      <c r="N48" s="23"/>
      <c r="O48" s="23"/>
      <c r="P48" s="23"/>
      <c r="Q48" s="23"/>
      <c r="R48" s="23"/>
      <c r="S48" s="23"/>
      <c r="T48" s="23"/>
      <c r="U48" s="23"/>
    </row>
    <row r="49" spans="1:21" x14ac:dyDescent="0.2">
      <c r="A49" s="23">
        <v>28</v>
      </c>
      <c r="B49" s="23">
        <v>0</v>
      </c>
      <c r="C49" s="23">
        <v>34.770000000000003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1</v>
      </c>
      <c r="J49" s="23">
        <v>3556.9223000000002</v>
      </c>
      <c r="N49" s="23"/>
      <c r="O49" s="23"/>
      <c r="P49" s="23"/>
      <c r="Q49" s="23"/>
      <c r="R49" s="23"/>
      <c r="S49" s="23"/>
      <c r="T49" s="23"/>
      <c r="U49" s="23"/>
    </row>
    <row r="50" spans="1:21" x14ac:dyDescent="0.2">
      <c r="A50" s="23">
        <v>60</v>
      </c>
      <c r="B50" s="23">
        <v>0</v>
      </c>
      <c r="C50" s="23">
        <v>24.53</v>
      </c>
      <c r="D50" s="23">
        <v>0</v>
      </c>
      <c r="E50" s="23">
        <v>0</v>
      </c>
      <c r="F50" s="23">
        <v>0</v>
      </c>
      <c r="G50" s="23">
        <v>1</v>
      </c>
      <c r="H50" s="23">
        <v>0</v>
      </c>
      <c r="I50" s="23">
        <v>0</v>
      </c>
      <c r="J50" s="23">
        <v>12629.896699999999</v>
      </c>
      <c r="N50" s="23"/>
      <c r="O50" s="23"/>
      <c r="P50" s="23"/>
      <c r="Q50" s="23"/>
      <c r="R50" s="23"/>
      <c r="S50" s="23"/>
      <c r="T50" s="23"/>
      <c r="U50" s="23"/>
    </row>
    <row r="51" spans="1:21" x14ac:dyDescent="0.2">
      <c r="A51" s="23">
        <v>36</v>
      </c>
      <c r="B51" s="23">
        <v>1</v>
      </c>
      <c r="C51" s="23">
        <v>35.200000000000003</v>
      </c>
      <c r="D51" s="23">
        <v>1</v>
      </c>
      <c r="E51" s="23">
        <v>1</v>
      </c>
      <c r="F51" s="23">
        <v>0</v>
      </c>
      <c r="G51" s="23">
        <v>1</v>
      </c>
      <c r="H51" s="23">
        <v>0</v>
      </c>
      <c r="I51" s="23">
        <v>0</v>
      </c>
      <c r="J51" s="23">
        <v>38709.175999999999</v>
      </c>
      <c r="N51" s="23"/>
      <c r="O51" s="23"/>
      <c r="P51" s="23"/>
      <c r="Q51" s="23"/>
      <c r="R51" s="23"/>
      <c r="S51" s="23"/>
      <c r="T51" s="23"/>
      <c r="U51" s="23"/>
    </row>
    <row r="52" spans="1:21" x14ac:dyDescent="0.2">
      <c r="A52" s="23">
        <v>18</v>
      </c>
      <c r="B52" s="23">
        <v>0</v>
      </c>
      <c r="C52" s="23">
        <v>35.625</v>
      </c>
      <c r="D52" s="23">
        <v>0</v>
      </c>
      <c r="E52" s="23">
        <v>0</v>
      </c>
      <c r="F52" s="23">
        <v>1</v>
      </c>
      <c r="G52" s="23">
        <v>0</v>
      </c>
      <c r="H52" s="23">
        <v>0</v>
      </c>
      <c r="I52" s="23">
        <v>0</v>
      </c>
      <c r="J52" s="23">
        <v>2211.1307499999998</v>
      </c>
      <c r="N52" s="23"/>
      <c r="O52" s="23"/>
      <c r="P52" s="23"/>
      <c r="Q52" s="23"/>
      <c r="R52" s="23"/>
      <c r="S52" s="23"/>
      <c r="T52" s="23"/>
      <c r="U52" s="23"/>
    </row>
    <row r="53" spans="1:21" x14ac:dyDescent="0.2">
      <c r="A53" s="23">
        <v>21</v>
      </c>
      <c r="B53" s="23">
        <v>0</v>
      </c>
      <c r="C53" s="23">
        <v>33.630000000000003</v>
      </c>
      <c r="D53" s="23">
        <v>2</v>
      </c>
      <c r="E53" s="23">
        <v>0</v>
      </c>
      <c r="F53" s="23">
        <v>0</v>
      </c>
      <c r="G53" s="23">
        <v>0</v>
      </c>
      <c r="H53" s="23">
        <v>0</v>
      </c>
      <c r="I53" s="23">
        <v>1</v>
      </c>
      <c r="J53" s="23">
        <v>3579.8287</v>
      </c>
      <c r="N53" s="23"/>
      <c r="O53" s="23"/>
      <c r="P53" s="23"/>
      <c r="Q53" s="23"/>
      <c r="R53" s="23"/>
      <c r="S53" s="23"/>
      <c r="T53" s="23"/>
      <c r="U53" s="23"/>
    </row>
    <row r="54" spans="1:21" x14ac:dyDescent="0.2">
      <c r="A54" s="23">
        <v>48</v>
      </c>
      <c r="B54" s="23">
        <v>1</v>
      </c>
      <c r="C54" s="23">
        <v>28</v>
      </c>
      <c r="D54" s="23">
        <v>1</v>
      </c>
      <c r="E54" s="23">
        <v>1</v>
      </c>
      <c r="F54" s="23">
        <v>0</v>
      </c>
      <c r="G54" s="23">
        <v>0</v>
      </c>
      <c r="H54" s="23">
        <v>1</v>
      </c>
      <c r="I54" s="23">
        <v>0</v>
      </c>
      <c r="J54" s="23">
        <v>23568.272000000001</v>
      </c>
      <c r="N54" s="23"/>
      <c r="O54" s="23"/>
      <c r="P54" s="23"/>
      <c r="Q54" s="23"/>
      <c r="R54" s="23"/>
      <c r="S54" s="23"/>
      <c r="T54" s="23"/>
      <c r="U54" s="23"/>
    </row>
    <row r="55" spans="1:21" x14ac:dyDescent="0.2">
      <c r="A55" s="23">
        <v>36</v>
      </c>
      <c r="B55" s="23">
        <v>1</v>
      </c>
      <c r="C55" s="23">
        <v>34.43</v>
      </c>
      <c r="D55" s="23">
        <v>0</v>
      </c>
      <c r="E55" s="23">
        <v>1</v>
      </c>
      <c r="F55" s="23">
        <v>0</v>
      </c>
      <c r="G55" s="23">
        <v>1</v>
      </c>
      <c r="H55" s="23">
        <v>0</v>
      </c>
      <c r="I55" s="23">
        <v>0</v>
      </c>
      <c r="J55" s="23">
        <v>37742.575700000001</v>
      </c>
      <c r="N55" s="23"/>
      <c r="O55" s="23"/>
      <c r="P55" s="23"/>
      <c r="Q55" s="23"/>
      <c r="R55" s="23"/>
      <c r="S55" s="23"/>
      <c r="T55" s="23"/>
      <c r="U55" s="23"/>
    </row>
    <row r="56" spans="1:21" x14ac:dyDescent="0.2">
      <c r="A56" s="23">
        <v>40</v>
      </c>
      <c r="B56" s="23">
        <v>0</v>
      </c>
      <c r="C56" s="23">
        <v>28.69</v>
      </c>
      <c r="D56" s="23">
        <v>3</v>
      </c>
      <c r="E56" s="23">
        <v>0</v>
      </c>
      <c r="F56" s="23">
        <v>0</v>
      </c>
      <c r="G56" s="23">
        <v>0</v>
      </c>
      <c r="H56" s="23">
        <v>0</v>
      </c>
      <c r="I56" s="23">
        <v>1</v>
      </c>
      <c r="J56" s="23">
        <v>8059.6791000000003</v>
      </c>
      <c r="N56" s="23"/>
      <c r="O56" s="23"/>
      <c r="P56" s="23"/>
      <c r="Q56" s="23"/>
      <c r="R56" s="23"/>
      <c r="S56" s="23"/>
      <c r="T56" s="23"/>
      <c r="U56" s="23"/>
    </row>
    <row r="57" spans="1:21" x14ac:dyDescent="0.2">
      <c r="A57" s="23">
        <v>58</v>
      </c>
      <c r="B57" s="23">
        <v>1</v>
      </c>
      <c r="C57" s="23">
        <v>36.954999999999998</v>
      </c>
      <c r="D57" s="23">
        <v>2</v>
      </c>
      <c r="E57" s="23">
        <v>1</v>
      </c>
      <c r="F57" s="23">
        <v>0</v>
      </c>
      <c r="G57" s="23">
        <v>0</v>
      </c>
      <c r="H57" s="23">
        <v>0</v>
      </c>
      <c r="I57" s="23">
        <v>1</v>
      </c>
      <c r="J57" s="23">
        <v>47496.494449999998</v>
      </c>
      <c r="N57" s="23"/>
      <c r="O57" s="23"/>
      <c r="P57" s="23"/>
      <c r="Q57" s="23"/>
      <c r="R57" s="23"/>
      <c r="S57" s="23"/>
      <c r="T57" s="23"/>
      <c r="U57" s="23"/>
    </row>
    <row r="58" spans="1:21" x14ac:dyDescent="0.2">
      <c r="A58" s="23">
        <v>58</v>
      </c>
      <c r="B58" s="23">
        <v>0</v>
      </c>
      <c r="C58" s="23">
        <v>31.824999999999999</v>
      </c>
      <c r="D58" s="23">
        <v>2</v>
      </c>
      <c r="E58" s="23">
        <v>0</v>
      </c>
      <c r="F58" s="23">
        <v>1</v>
      </c>
      <c r="G58" s="23">
        <v>0</v>
      </c>
      <c r="H58" s="23">
        <v>0</v>
      </c>
      <c r="I58" s="23">
        <v>0</v>
      </c>
      <c r="J58" s="23">
        <v>13607.36875</v>
      </c>
      <c r="N58" s="23"/>
      <c r="O58" s="23"/>
      <c r="P58" s="23"/>
      <c r="Q58" s="23"/>
      <c r="R58" s="23"/>
      <c r="S58" s="23"/>
      <c r="T58" s="23"/>
      <c r="U58" s="23"/>
    </row>
    <row r="59" spans="1:21" x14ac:dyDescent="0.2">
      <c r="A59" s="23">
        <v>18</v>
      </c>
      <c r="B59" s="23">
        <v>1</v>
      </c>
      <c r="C59" s="23">
        <v>31.68</v>
      </c>
      <c r="D59" s="23">
        <v>2</v>
      </c>
      <c r="E59" s="23">
        <v>1</v>
      </c>
      <c r="F59" s="23">
        <v>0</v>
      </c>
      <c r="G59" s="23">
        <v>1</v>
      </c>
      <c r="H59" s="23">
        <v>0</v>
      </c>
      <c r="I59" s="23">
        <v>0</v>
      </c>
      <c r="J59" s="23">
        <v>34303.167200000004</v>
      </c>
      <c r="N59" s="23"/>
      <c r="O59" s="23"/>
      <c r="P59" s="23"/>
      <c r="Q59" s="23"/>
      <c r="R59" s="23"/>
      <c r="S59" s="23"/>
      <c r="T59" s="23"/>
      <c r="U59" s="23"/>
    </row>
    <row r="60" spans="1:21" x14ac:dyDescent="0.2">
      <c r="A60" s="23">
        <v>53</v>
      </c>
      <c r="B60" s="23">
        <v>0</v>
      </c>
      <c r="C60" s="23">
        <v>22.88</v>
      </c>
      <c r="D60" s="23">
        <v>1</v>
      </c>
      <c r="E60" s="23">
        <v>1</v>
      </c>
      <c r="F60" s="23">
        <v>0</v>
      </c>
      <c r="G60" s="23">
        <v>1</v>
      </c>
      <c r="H60" s="23">
        <v>0</v>
      </c>
      <c r="I60" s="23">
        <v>0</v>
      </c>
      <c r="J60" s="23">
        <v>23244.790199999999</v>
      </c>
      <c r="N60" s="23"/>
      <c r="O60" s="23"/>
      <c r="P60" s="23"/>
      <c r="Q60" s="23"/>
      <c r="R60" s="23"/>
      <c r="S60" s="23"/>
      <c r="T60" s="23"/>
      <c r="U60" s="23"/>
    </row>
    <row r="61" spans="1:21" x14ac:dyDescent="0.2">
      <c r="A61" s="23">
        <v>34</v>
      </c>
      <c r="B61" s="23">
        <v>0</v>
      </c>
      <c r="C61" s="23">
        <v>37.335000000000001</v>
      </c>
      <c r="D61" s="23">
        <v>2</v>
      </c>
      <c r="E61" s="23">
        <v>0</v>
      </c>
      <c r="F61" s="23">
        <v>0</v>
      </c>
      <c r="G61" s="23">
        <v>0</v>
      </c>
      <c r="H61" s="23">
        <v>0</v>
      </c>
      <c r="I61" s="23">
        <v>1</v>
      </c>
      <c r="J61" s="23">
        <v>5989.5236500000001</v>
      </c>
      <c r="N61" s="23"/>
      <c r="O61" s="23"/>
      <c r="P61" s="23"/>
      <c r="Q61" s="23"/>
      <c r="R61" s="23"/>
      <c r="S61" s="23"/>
      <c r="T61" s="23"/>
      <c r="U61" s="23"/>
    </row>
    <row r="62" spans="1:21" x14ac:dyDescent="0.2">
      <c r="A62" s="23">
        <v>43</v>
      </c>
      <c r="B62" s="23">
        <v>1</v>
      </c>
      <c r="C62" s="23">
        <v>27.36</v>
      </c>
      <c r="D62" s="23">
        <v>3</v>
      </c>
      <c r="E62" s="23">
        <v>0</v>
      </c>
      <c r="F62" s="23">
        <v>1</v>
      </c>
      <c r="G62" s="23">
        <v>0</v>
      </c>
      <c r="H62" s="23">
        <v>0</v>
      </c>
      <c r="I62" s="23">
        <v>0</v>
      </c>
      <c r="J62" s="23">
        <v>8606.2173999999995</v>
      </c>
      <c r="N62" s="23"/>
      <c r="O62" s="23"/>
      <c r="P62" s="23"/>
      <c r="Q62" s="23"/>
      <c r="R62" s="23"/>
      <c r="S62" s="23"/>
      <c r="T62" s="23"/>
      <c r="U62" s="23"/>
    </row>
    <row r="63" spans="1:21" x14ac:dyDescent="0.2">
      <c r="A63" s="23">
        <v>25</v>
      </c>
      <c r="B63" s="23">
        <v>1</v>
      </c>
      <c r="C63" s="23">
        <v>33.659999999999997</v>
      </c>
      <c r="D63" s="23">
        <v>4</v>
      </c>
      <c r="E63" s="23">
        <v>0</v>
      </c>
      <c r="F63" s="23">
        <v>0</v>
      </c>
      <c r="G63" s="23">
        <v>1</v>
      </c>
      <c r="H63" s="23">
        <v>0</v>
      </c>
      <c r="I63" s="23">
        <v>0</v>
      </c>
      <c r="J63" s="23">
        <v>4504.6624000000002</v>
      </c>
      <c r="N63" s="23"/>
      <c r="O63" s="23"/>
      <c r="P63" s="23"/>
      <c r="Q63" s="23"/>
      <c r="R63" s="23"/>
      <c r="S63" s="23"/>
      <c r="T63" s="23"/>
      <c r="U63" s="23"/>
    </row>
    <row r="64" spans="1:21" x14ac:dyDescent="0.2">
      <c r="A64" s="23">
        <v>64</v>
      </c>
      <c r="B64" s="23">
        <v>1</v>
      </c>
      <c r="C64" s="23">
        <v>24.7</v>
      </c>
      <c r="D64" s="23">
        <v>1</v>
      </c>
      <c r="E64" s="23">
        <v>0</v>
      </c>
      <c r="F64" s="23">
        <v>0</v>
      </c>
      <c r="G64" s="23">
        <v>0</v>
      </c>
      <c r="H64" s="23">
        <v>0</v>
      </c>
      <c r="I64" s="23">
        <v>1</v>
      </c>
      <c r="J64" s="23">
        <v>30166.618170000002</v>
      </c>
      <c r="N64" s="23"/>
      <c r="O64" s="23"/>
      <c r="P64" s="23"/>
      <c r="Q64" s="23"/>
      <c r="R64" s="23"/>
      <c r="S64" s="23"/>
      <c r="T64" s="23"/>
      <c r="U64" s="23"/>
    </row>
    <row r="65" spans="1:21" x14ac:dyDescent="0.2">
      <c r="A65" s="23">
        <v>28</v>
      </c>
      <c r="B65" s="23">
        <v>0</v>
      </c>
      <c r="C65" s="23">
        <v>25.934999999999999</v>
      </c>
      <c r="D65" s="23">
        <v>1</v>
      </c>
      <c r="E65" s="23">
        <v>0</v>
      </c>
      <c r="F65" s="23">
        <v>0</v>
      </c>
      <c r="G65" s="23">
        <v>0</v>
      </c>
      <c r="H65" s="23">
        <v>0</v>
      </c>
      <c r="I65" s="23">
        <v>1</v>
      </c>
      <c r="J65" s="23">
        <v>4133.6416499999996</v>
      </c>
      <c r="N65" s="23"/>
      <c r="O65" s="23"/>
      <c r="P65" s="23"/>
      <c r="Q65" s="23"/>
      <c r="R65" s="23"/>
      <c r="S65" s="23"/>
      <c r="T65" s="23"/>
      <c r="U65" s="23"/>
    </row>
    <row r="66" spans="1:21" x14ac:dyDescent="0.2">
      <c r="A66" s="23">
        <v>20</v>
      </c>
      <c r="B66" s="23">
        <v>0</v>
      </c>
      <c r="C66" s="23">
        <v>22.42</v>
      </c>
      <c r="D66" s="23">
        <v>0</v>
      </c>
      <c r="E66" s="23">
        <v>1</v>
      </c>
      <c r="F66" s="23">
        <v>0</v>
      </c>
      <c r="G66" s="23">
        <v>0</v>
      </c>
      <c r="H66" s="23">
        <v>0</v>
      </c>
      <c r="I66" s="23">
        <v>1</v>
      </c>
      <c r="J66" s="23">
        <v>14711.7438</v>
      </c>
      <c r="N66" s="23"/>
      <c r="O66" s="23"/>
      <c r="P66" s="23"/>
      <c r="Q66" s="23"/>
      <c r="R66" s="23"/>
      <c r="S66" s="23"/>
      <c r="T66" s="23"/>
      <c r="U66" s="23"/>
    </row>
    <row r="67" spans="1:21" x14ac:dyDescent="0.2">
      <c r="A67" s="23">
        <v>19</v>
      </c>
      <c r="B67" s="23">
        <v>0</v>
      </c>
      <c r="C67" s="23">
        <v>28.9</v>
      </c>
      <c r="D67" s="23">
        <v>0</v>
      </c>
      <c r="E67" s="23">
        <v>0</v>
      </c>
      <c r="F67" s="23">
        <v>0</v>
      </c>
      <c r="G67" s="23">
        <v>0</v>
      </c>
      <c r="H67" s="23">
        <v>1</v>
      </c>
      <c r="I67" s="23">
        <v>0</v>
      </c>
      <c r="J67" s="23">
        <v>1743.2139999999999</v>
      </c>
      <c r="N67" s="23"/>
      <c r="O67" s="23"/>
      <c r="P67" s="23"/>
      <c r="Q67" s="23"/>
      <c r="R67" s="23"/>
      <c r="S67" s="23"/>
      <c r="T67" s="23"/>
      <c r="U67" s="23"/>
    </row>
    <row r="68" spans="1:21" x14ac:dyDescent="0.2">
      <c r="A68" s="23">
        <v>61</v>
      </c>
      <c r="B68" s="23">
        <v>0</v>
      </c>
      <c r="C68" s="23">
        <v>39.1</v>
      </c>
      <c r="D68" s="23">
        <v>2</v>
      </c>
      <c r="E68" s="23">
        <v>0</v>
      </c>
      <c r="F68" s="23">
        <v>0</v>
      </c>
      <c r="G68" s="23">
        <v>0</v>
      </c>
      <c r="H68" s="23">
        <v>1</v>
      </c>
      <c r="I68" s="23">
        <v>0</v>
      </c>
      <c r="J68" s="23">
        <v>14235.072</v>
      </c>
      <c r="N68" s="23"/>
      <c r="O68" s="23"/>
      <c r="P68" s="23"/>
      <c r="Q68" s="23"/>
      <c r="R68" s="23"/>
      <c r="S68" s="23"/>
      <c r="T68" s="23"/>
      <c r="U68" s="23"/>
    </row>
    <row r="69" spans="1:21" x14ac:dyDescent="0.2">
      <c r="A69" s="23">
        <v>40</v>
      </c>
      <c r="B69" s="23">
        <v>1</v>
      </c>
      <c r="C69" s="23">
        <v>26.315000000000001</v>
      </c>
      <c r="D69" s="23">
        <v>1</v>
      </c>
      <c r="E69" s="23">
        <v>0</v>
      </c>
      <c r="F69" s="23">
        <v>0</v>
      </c>
      <c r="G69" s="23">
        <v>0</v>
      </c>
      <c r="H69" s="23">
        <v>0</v>
      </c>
      <c r="I69" s="23">
        <v>1</v>
      </c>
      <c r="J69" s="23">
        <v>6389.3778499999999</v>
      </c>
      <c r="N69" s="23"/>
      <c r="O69" s="23"/>
      <c r="P69" s="23"/>
      <c r="Q69" s="23"/>
      <c r="R69" s="23"/>
      <c r="S69" s="23"/>
      <c r="T69" s="23"/>
      <c r="U69" s="23"/>
    </row>
    <row r="70" spans="1:21" x14ac:dyDescent="0.2">
      <c r="A70" s="23">
        <v>40</v>
      </c>
      <c r="B70" s="23">
        <v>0</v>
      </c>
      <c r="C70" s="23">
        <v>36.19</v>
      </c>
      <c r="D70" s="23">
        <v>0</v>
      </c>
      <c r="E70" s="23">
        <v>0</v>
      </c>
      <c r="F70" s="23">
        <v>0</v>
      </c>
      <c r="G70" s="23">
        <v>1</v>
      </c>
      <c r="H70" s="23">
        <v>0</v>
      </c>
      <c r="I70" s="23">
        <v>0</v>
      </c>
      <c r="J70" s="23">
        <v>5920.1040999999996</v>
      </c>
      <c r="N70" s="23"/>
      <c r="O70" s="23"/>
      <c r="P70" s="23"/>
      <c r="Q70" s="23"/>
      <c r="R70" s="23"/>
      <c r="S70" s="23"/>
      <c r="T70" s="23"/>
      <c r="U70" s="23"/>
    </row>
    <row r="71" spans="1:21" x14ac:dyDescent="0.2">
      <c r="A71" s="23">
        <v>28</v>
      </c>
      <c r="B71" s="23">
        <v>1</v>
      </c>
      <c r="C71" s="23">
        <v>23.98</v>
      </c>
      <c r="D71" s="23">
        <v>3</v>
      </c>
      <c r="E71" s="23">
        <v>1</v>
      </c>
      <c r="F71" s="23">
        <v>0</v>
      </c>
      <c r="G71" s="23">
        <v>1</v>
      </c>
      <c r="H71" s="23">
        <v>0</v>
      </c>
      <c r="I71" s="23">
        <v>0</v>
      </c>
      <c r="J71" s="23">
        <v>17663.144199999999</v>
      </c>
      <c r="N71" s="23"/>
      <c r="O71" s="23"/>
      <c r="P71" s="23"/>
      <c r="Q71" s="23"/>
      <c r="R71" s="23"/>
      <c r="S71" s="23"/>
      <c r="T71" s="23"/>
      <c r="U71" s="23"/>
    </row>
    <row r="72" spans="1:21" x14ac:dyDescent="0.2">
      <c r="A72" s="23">
        <v>27</v>
      </c>
      <c r="B72" s="23">
        <v>0</v>
      </c>
      <c r="C72" s="23">
        <v>24.75</v>
      </c>
      <c r="D72" s="23">
        <v>0</v>
      </c>
      <c r="E72" s="23">
        <v>1</v>
      </c>
      <c r="F72" s="23">
        <v>0</v>
      </c>
      <c r="G72" s="23">
        <v>1</v>
      </c>
      <c r="H72" s="23">
        <v>0</v>
      </c>
      <c r="I72" s="23">
        <v>0</v>
      </c>
      <c r="J72" s="23">
        <v>16577.779500000001</v>
      </c>
      <c r="N72" s="23"/>
      <c r="O72" s="23"/>
      <c r="P72" s="23"/>
      <c r="Q72" s="23"/>
      <c r="R72" s="23"/>
      <c r="S72" s="23"/>
      <c r="T72" s="23"/>
      <c r="U72" s="23"/>
    </row>
    <row r="73" spans="1:21" x14ac:dyDescent="0.2">
      <c r="A73" s="23">
        <v>31</v>
      </c>
      <c r="B73" s="23">
        <v>1</v>
      </c>
      <c r="C73" s="23">
        <v>28.5</v>
      </c>
      <c r="D73" s="23">
        <v>5</v>
      </c>
      <c r="E73" s="23">
        <v>0</v>
      </c>
      <c r="F73" s="23">
        <v>1</v>
      </c>
      <c r="G73" s="23">
        <v>0</v>
      </c>
      <c r="H73" s="23">
        <v>0</v>
      </c>
      <c r="I73" s="23">
        <v>0</v>
      </c>
      <c r="J73" s="23">
        <v>6799.4579999999996</v>
      </c>
      <c r="N73" s="23"/>
      <c r="O73" s="23"/>
      <c r="P73" s="23"/>
      <c r="Q73" s="23"/>
      <c r="R73" s="23"/>
      <c r="S73" s="23"/>
      <c r="T73" s="23"/>
      <c r="U73" s="23"/>
    </row>
    <row r="74" spans="1:21" x14ac:dyDescent="0.2">
      <c r="A74" s="23">
        <v>53</v>
      </c>
      <c r="B74" s="23">
        <v>0</v>
      </c>
      <c r="C74" s="23">
        <v>28.1</v>
      </c>
      <c r="D74" s="23">
        <v>3</v>
      </c>
      <c r="E74" s="23">
        <v>0</v>
      </c>
      <c r="F74" s="23">
        <v>0</v>
      </c>
      <c r="G74" s="23">
        <v>0</v>
      </c>
      <c r="H74" s="23">
        <v>1</v>
      </c>
      <c r="I74" s="23">
        <v>0</v>
      </c>
      <c r="J74" s="23">
        <v>11741.726000000001</v>
      </c>
      <c r="N74" s="23"/>
      <c r="O74" s="23"/>
      <c r="P74" s="23"/>
      <c r="Q74" s="23"/>
      <c r="R74" s="23"/>
      <c r="S74" s="23"/>
      <c r="T74" s="23"/>
      <c r="U74" s="23"/>
    </row>
    <row r="75" spans="1:21" x14ac:dyDescent="0.2">
      <c r="A75" s="23">
        <v>58</v>
      </c>
      <c r="B75" s="23">
        <v>1</v>
      </c>
      <c r="C75" s="23">
        <v>32.01</v>
      </c>
      <c r="D75" s="23">
        <v>1</v>
      </c>
      <c r="E75" s="23">
        <v>0</v>
      </c>
      <c r="F75" s="23">
        <v>0</v>
      </c>
      <c r="G75" s="23">
        <v>1</v>
      </c>
      <c r="H75" s="23">
        <v>0</v>
      </c>
      <c r="I75" s="23">
        <v>0</v>
      </c>
      <c r="J75" s="23">
        <v>11946.625899999999</v>
      </c>
      <c r="N75" s="23"/>
      <c r="O75" s="23"/>
      <c r="P75" s="23"/>
      <c r="Q75" s="23"/>
      <c r="R75" s="23"/>
      <c r="S75" s="23"/>
      <c r="T75" s="23"/>
      <c r="U75" s="23"/>
    </row>
    <row r="76" spans="1:21" x14ac:dyDescent="0.2">
      <c r="A76" s="23">
        <v>44</v>
      </c>
      <c r="B76" s="23">
        <v>1</v>
      </c>
      <c r="C76" s="23">
        <v>27.4</v>
      </c>
      <c r="D76" s="23">
        <v>2</v>
      </c>
      <c r="E76" s="23">
        <v>0</v>
      </c>
      <c r="F76" s="23">
        <v>0</v>
      </c>
      <c r="G76" s="23">
        <v>0</v>
      </c>
      <c r="H76" s="23">
        <v>1</v>
      </c>
      <c r="I76" s="23">
        <v>0</v>
      </c>
      <c r="J76" s="23">
        <v>7726.8540000000003</v>
      </c>
      <c r="N76" s="23"/>
      <c r="O76" s="23"/>
      <c r="P76" s="23"/>
      <c r="Q76" s="23"/>
      <c r="R76" s="23"/>
      <c r="S76" s="23"/>
      <c r="T76" s="23"/>
      <c r="U76" s="23"/>
    </row>
    <row r="77" spans="1:21" x14ac:dyDescent="0.2">
      <c r="A77" s="23">
        <v>57</v>
      </c>
      <c r="B77" s="23">
        <v>1</v>
      </c>
      <c r="C77" s="23">
        <v>34.01</v>
      </c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1</v>
      </c>
      <c r="J77" s="23">
        <v>11356.660900000001</v>
      </c>
      <c r="N77" s="23"/>
      <c r="O77" s="23"/>
      <c r="P77" s="23"/>
      <c r="Q77" s="23"/>
      <c r="R77" s="23"/>
      <c r="S77" s="23"/>
      <c r="T77" s="23"/>
      <c r="U77" s="23"/>
    </row>
    <row r="78" spans="1:21" x14ac:dyDescent="0.2">
      <c r="A78" s="23">
        <v>29</v>
      </c>
      <c r="B78" s="23">
        <v>0</v>
      </c>
      <c r="C78" s="23">
        <v>29.59</v>
      </c>
      <c r="D78" s="23">
        <v>1</v>
      </c>
      <c r="E78" s="23">
        <v>0</v>
      </c>
      <c r="F78" s="23">
        <v>0</v>
      </c>
      <c r="G78" s="23">
        <v>1</v>
      </c>
      <c r="H78" s="23">
        <v>0</v>
      </c>
      <c r="I78" s="23">
        <v>0</v>
      </c>
      <c r="J78" s="23">
        <v>3947.4131000000002</v>
      </c>
      <c r="N78" s="23"/>
      <c r="O78" s="23"/>
      <c r="P78" s="23"/>
      <c r="Q78" s="23"/>
      <c r="R78" s="23"/>
      <c r="S78" s="23"/>
      <c r="T78" s="23"/>
      <c r="U78" s="23"/>
    </row>
    <row r="79" spans="1:21" x14ac:dyDescent="0.2">
      <c r="A79" s="23">
        <v>21</v>
      </c>
      <c r="B79" s="23">
        <v>1</v>
      </c>
      <c r="C79" s="23">
        <v>35.53</v>
      </c>
      <c r="D79" s="23">
        <v>0</v>
      </c>
      <c r="E79" s="23">
        <v>0</v>
      </c>
      <c r="F79" s="23">
        <v>0</v>
      </c>
      <c r="G79" s="23">
        <v>1</v>
      </c>
      <c r="H79" s="23">
        <v>0</v>
      </c>
      <c r="I79" s="23">
        <v>0</v>
      </c>
      <c r="J79" s="23">
        <v>1532.4697000000001</v>
      </c>
      <c r="N79" s="23"/>
      <c r="O79" s="23"/>
      <c r="P79" s="23"/>
      <c r="Q79" s="23"/>
      <c r="R79" s="23"/>
      <c r="S79" s="23"/>
      <c r="T79" s="23"/>
      <c r="U79" s="23"/>
    </row>
    <row r="80" spans="1:21" x14ac:dyDescent="0.2">
      <c r="A80" s="23">
        <v>22</v>
      </c>
      <c r="B80" s="23">
        <v>0</v>
      </c>
      <c r="C80" s="23">
        <v>39.805</v>
      </c>
      <c r="D80" s="23">
        <v>0</v>
      </c>
      <c r="E80" s="23">
        <v>0</v>
      </c>
      <c r="F80" s="23">
        <v>1</v>
      </c>
      <c r="G80" s="23">
        <v>0</v>
      </c>
      <c r="H80" s="23">
        <v>0</v>
      </c>
      <c r="I80" s="23">
        <v>0</v>
      </c>
      <c r="J80" s="23">
        <v>2755.0209500000001</v>
      </c>
      <c r="N80" s="23"/>
      <c r="O80" s="23"/>
      <c r="P80" s="23"/>
      <c r="Q80" s="23"/>
      <c r="R80" s="23"/>
      <c r="S80" s="23"/>
      <c r="T80" s="23"/>
      <c r="U80" s="23"/>
    </row>
    <row r="81" spans="1:21" x14ac:dyDescent="0.2">
      <c r="A81" s="23">
        <v>41</v>
      </c>
      <c r="B81" s="23">
        <v>0</v>
      </c>
      <c r="C81" s="23">
        <v>32.965000000000003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1</v>
      </c>
      <c r="J81" s="23">
        <v>6571.0243499999997</v>
      </c>
      <c r="N81" s="23"/>
      <c r="O81" s="23"/>
      <c r="P81" s="23"/>
      <c r="Q81" s="23"/>
      <c r="R81" s="23"/>
      <c r="S81" s="23"/>
      <c r="T81" s="23"/>
      <c r="U81" s="23"/>
    </row>
    <row r="82" spans="1:21" x14ac:dyDescent="0.2">
      <c r="A82" s="23">
        <v>31</v>
      </c>
      <c r="B82" s="23">
        <v>1</v>
      </c>
      <c r="C82" s="23">
        <v>26.885000000000002</v>
      </c>
      <c r="D82" s="23">
        <v>1</v>
      </c>
      <c r="E82" s="23">
        <v>0</v>
      </c>
      <c r="F82" s="23">
        <v>1</v>
      </c>
      <c r="G82" s="23">
        <v>0</v>
      </c>
      <c r="H82" s="23">
        <v>0</v>
      </c>
      <c r="I82" s="23">
        <v>0</v>
      </c>
      <c r="J82" s="23">
        <v>4441.2131499999996</v>
      </c>
      <c r="N82" s="23"/>
      <c r="O82" s="23"/>
      <c r="P82" s="23"/>
      <c r="Q82" s="23"/>
      <c r="R82" s="23"/>
      <c r="S82" s="23"/>
      <c r="T82" s="23"/>
      <c r="U82" s="23"/>
    </row>
    <row r="83" spans="1:21" x14ac:dyDescent="0.2">
      <c r="A83" s="23">
        <v>45</v>
      </c>
      <c r="B83" s="23">
        <v>0</v>
      </c>
      <c r="C83" s="23">
        <v>38.284999999999997</v>
      </c>
      <c r="D83" s="23">
        <v>0</v>
      </c>
      <c r="E83" s="23">
        <v>0</v>
      </c>
      <c r="F83" s="23">
        <v>1</v>
      </c>
      <c r="G83" s="23">
        <v>0</v>
      </c>
      <c r="H83" s="23">
        <v>0</v>
      </c>
      <c r="I83" s="23">
        <v>0</v>
      </c>
      <c r="J83" s="23">
        <v>7935.29115</v>
      </c>
      <c r="N83" s="23"/>
      <c r="O83" s="23"/>
      <c r="P83" s="23"/>
      <c r="Q83" s="23"/>
      <c r="R83" s="23"/>
      <c r="S83" s="23"/>
      <c r="T83" s="23"/>
      <c r="U83" s="23"/>
    </row>
    <row r="84" spans="1:21" x14ac:dyDescent="0.2">
      <c r="A84" s="23">
        <v>22</v>
      </c>
      <c r="B84" s="23">
        <v>1</v>
      </c>
      <c r="C84" s="23">
        <v>37.619999999999997</v>
      </c>
      <c r="D84" s="23">
        <v>1</v>
      </c>
      <c r="E84" s="23">
        <v>1</v>
      </c>
      <c r="F84" s="23">
        <v>0</v>
      </c>
      <c r="G84" s="23">
        <v>1</v>
      </c>
      <c r="H84" s="23">
        <v>0</v>
      </c>
      <c r="I84" s="23">
        <v>0</v>
      </c>
      <c r="J84" s="23">
        <v>37165.163800000002</v>
      </c>
      <c r="N84" s="23"/>
      <c r="O84" s="23"/>
      <c r="P84" s="23"/>
      <c r="Q84" s="23"/>
      <c r="R84" s="23"/>
      <c r="S84" s="23"/>
      <c r="T84" s="23"/>
      <c r="U84" s="23"/>
    </row>
    <row r="85" spans="1:21" x14ac:dyDescent="0.2">
      <c r="A85" s="23">
        <v>48</v>
      </c>
      <c r="B85" s="23">
        <v>0</v>
      </c>
      <c r="C85" s="23">
        <v>41.23</v>
      </c>
      <c r="D85" s="23">
        <v>4</v>
      </c>
      <c r="E85" s="23">
        <v>0</v>
      </c>
      <c r="F85" s="23">
        <v>0</v>
      </c>
      <c r="G85" s="23">
        <v>0</v>
      </c>
      <c r="H85" s="23">
        <v>0</v>
      </c>
      <c r="I85" s="23">
        <v>1</v>
      </c>
      <c r="J85" s="23">
        <v>11033.661700000001</v>
      </c>
      <c r="N85" s="23"/>
      <c r="O85" s="23"/>
      <c r="P85" s="23"/>
      <c r="Q85" s="23"/>
      <c r="R85" s="23"/>
      <c r="S85" s="23"/>
      <c r="T85" s="23"/>
      <c r="U85" s="23"/>
    </row>
    <row r="86" spans="1:21" x14ac:dyDescent="0.2">
      <c r="A86" s="23">
        <v>37</v>
      </c>
      <c r="B86" s="23">
        <v>0</v>
      </c>
      <c r="C86" s="23">
        <v>34.799999999999997</v>
      </c>
      <c r="D86" s="23">
        <v>2</v>
      </c>
      <c r="E86" s="23">
        <v>1</v>
      </c>
      <c r="F86" s="23">
        <v>0</v>
      </c>
      <c r="G86" s="23">
        <v>0</v>
      </c>
      <c r="H86" s="23">
        <v>1</v>
      </c>
      <c r="I86" s="23">
        <v>0</v>
      </c>
      <c r="J86" s="23">
        <v>39836.519</v>
      </c>
      <c r="N86" s="23"/>
      <c r="O86" s="23"/>
      <c r="P86" s="23"/>
      <c r="Q86" s="23"/>
      <c r="R86" s="23"/>
      <c r="S86" s="23"/>
      <c r="T86" s="23"/>
      <c r="U86" s="23"/>
    </row>
    <row r="87" spans="1:21" x14ac:dyDescent="0.2">
      <c r="A87" s="23">
        <v>45</v>
      </c>
      <c r="B87" s="23">
        <v>1</v>
      </c>
      <c r="C87" s="23">
        <v>22.895</v>
      </c>
      <c r="D87" s="23">
        <v>2</v>
      </c>
      <c r="E87" s="23">
        <v>1</v>
      </c>
      <c r="F87" s="23">
        <v>0</v>
      </c>
      <c r="G87" s="23">
        <v>0</v>
      </c>
      <c r="H87" s="23">
        <v>0</v>
      </c>
      <c r="I87" s="23">
        <v>1</v>
      </c>
      <c r="J87" s="23">
        <v>21098.554049999999</v>
      </c>
      <c r="N87" s="23"/>
      <c r="O87" s="23"/>
      <c r="P87" s="23"/>
      <c r="Q87" s="23"/>
      <c r="R87" s="23"/>
      <c r="S87" s="23"/>
      <c r="T87" s="23"/>
      <c r="U87" s="23"/>
    </row>
    <row r="88" spans="1:21" x14ac:dyDescent="0.2">
      <c r="A88" s="23">
        <v>57</v>
      </c>
      <c r="B88" s="23">
        <v>0</v>
      </c>
      <c r="C88" s="23">
        <v>31.16</v>
      </c>
      <c r="D88" s="23">
        <v>0</v>
      </c>
      <c r="E88" s="23">
        <v>1</v>
      </c>
      <c r="F88" s="23">
        <v>0</v>
      </c>
      <c r="G88" s="23">
        <v>0</v>
      </c>
      <c r="H88" s="23">
        <v>0</v>
      </c>
      <c r="I88" s="23">
        <v>1</v>
      </c>
      <c r="J88" s="23">
        <v>43578.939400000003</v>
      </c>
      <c r="N88" s="23"/>
      <c r="O88" s="23"/>
      <c r="P88" s="23"/>
      <c r="Q88" s="23"/>
      <c r="R88" s="23"/>
      <c r="S88" s="23"/>
      <c r="T88" s="23"/>
      <c r="U88" s="23"/>
    </row>
    <row r="89" spans="1:21" x14ac:dyDescent="0.2">
      <c r="A89" s="23">
        <v>56</v>
      </c>
      <c r="B89" s="23">
        <v>0</v>
      </c>
      <c r="C89" s="23">
        <v>27.2</v>
      </c>
      <c r="D89" s="23">
        <v>0</v>
      </c>
      <c r="E89" s="23">
        <v>0</v>
      </c>
      <c r="F89" s="23">
        <v>0</v>
      </c>
      <c r="G89" s="23">
        <v>0</v>
      </c>
      <c r="H89" s="23">
        <v>1</v>
      </c>
      <c r="I89" s="23">
        <v>0</v>
      </c>
      <c r="J89" s="23">
        <v>11073.175999999999</v>
      </c>
      <c r="N89" s="23"/>
      <c r="O89" s="23"/>
      <c r="P89" s="23"/>
      <c r="Q89" s="23"/>
      <c r="R89" s="23"/>
      <c r="S89" s="23"/>
      <c r="T89" s="23"/>
      <c r="U89" s="23"/>
    </row>
    <row r="90" spans="1:21" x14ac:dyDescent="0.2">
      <c r="A90" s="23">
        <v>46</v>
      </c>
      <c r="B90" s="23">
        <v>0</v>
      </c>
      <c r="C90" s="23">
        <v>27.74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1</v>
      </c>
      <c r="J90" s="23">
        <v>8026.6665999999996</v>
      </c>
      <c r="N90" s="23"/>
      <c r="O90" s="23"/>
      <c r="P90" s="23"/>
      <c r="Q90" s="23"/>
      <c r="R90" s="23"/>
      <c r="S90" s="23"/>
      <c r="T90" s="23"/>
      <c r="U90" s="23"/>
    </row>
    <row r="91" spans="1:21" x14ac:dyDescent="0.2">
      <c r="A91" s="23">
        <v>55</v>
      </c>
      <c r="B91" s="23">
        <v>0</v>
      </c>
      <c r="C91" s="23">
        <v>26.98</v>
      </c>
      <c r="D91" s="23">
        <v>0</v>
      </c>
      <c r="E91" s="23">
        <v>0</v>
      </c>
      <c r="F91" s="23">
        <v>0</v>
      </c>
      <c r="G91" s="23">
        <v>0</v>
      </c>
      <c r="H91" s="23">
        <v>0</v>
      </c>
      <c r="I91" s="23">
        <v>1</v>
      </c>
      <c r="J91" s="23">
        <v>11082.5772</v>
      </c>
      <c r="N91" s="23"/>
      <c r="O91" s="23"/>
      <c r="P91" s="23"/>
      <c r="Q91" s="23"/>
      <c r="R91" s="23"/>
      <c r="S91" s="23"/>
      <c r="T91" s="23"/>
      <c r="U91" s="23"/>
    </row>
    <row r="92" spans="1:21" x14ac:dyDescent="0.2">
      <c r="A92" s="23">
        <v>21</v>
      </c>
      <c r="B92" s="23">
        <v>0</v>
      </c>
      <c r="C92" s="23">
        <v>39.49</v>
      </c>
      <c r="D92" s="23">
        <v>0</v>
      </c>
      <c r="E92" s="23">
        <v>0</v>
      </c>
      <c r="F92" s="23">
        <v>0</v>
      </c>
      <c r="G92" s="23">
        <v>1</v>
      </c>
      <c r="H92" s="23">
        <v>0</v>
      </c>
      <c r="I92" s="23">
        <v>0</v>
      </c>
      <c r="J92" s="23">
        <v>2026.9740999999999</v>
      </c>
      <c r="N92" s="23"/>
      <c r="O92" s="23"/>
      <c r="P92" s="23"/>
      <c r="Q92" s="23"/>
      <c r="R92" s="23"/>
      <c r="S92" s="23"/>
      <c r="T92" s="23"/>
      <c r="U92" s="23"/>
    </row>
    <row r="93" spans="1:21" x14ac:dyDescent="0.2">
      <c r="A93" s="23">
        <v>53</v>
      </c>
      <c r="B93" s="23">
        <v>0</v>
      </c>
      <c r="C93" s="23">
        <v>24.795000000000002</v>
      </c>
      <c r="D93" s="23">
        <v>1</v>
      </c>
      <c r="E93" s="23">
        <v>0</v>
      </c>
      <c r="F93" s="23">
        <v>0</v>
      </c>
      <c r="G93" s="23">
        <v>0</v>
      </c>
      <c r="H93" s="23">
        <v>0</v>
      </c>
      <c r="I93" s="23">
        <v>1</v>
      </c>
      <c r="J93" s="23">
        <v>10942.13205</v>
      </c>
      <c r="N93" s="23"/>
      <c r="O93" s="23"/>
      <c r="P93" s="23"/>
      <c r="Q93" s="23"/>
      <c r="R93" s="23"/>
      <c r="S93" s="23"/>
      <c r="T93" s="23"/>
      <c r="U93" s="23"/>
    </row>
    <row r="94" spans="1:21" x14ac:dyDescent="0.2">
      <c r="A94" s="23">
        <v>59</v>
      </c>
      <c r="B94" s="23">
        <v>1</v>
      </c>
      <c r="C94" s="23">
        <v>29.83</v>
      </c>
      <c r="D94" s="23">
        <v>3</v>
      </c>
      <c r="E94" s="23">
        <v>1</v>
      </c>
      <c r="F94" s="23">
        <v>1</v>
      </c>
      <c r="G94" s="23">
        <v>0</v>
      </c>
      <c r="H94" s="23">
        <v>0</v>
      </c>
      <c r="I94" s="23">
        <v>0</v>
      </c>
      <c r="J94" s="23">
        <v>30184.936699999998</v>
      </c>
      <c r="N94" s="23"/>
      <c r="O94" s="23"/>
      <c r="P94" s="23"/>
      <c r="Q94" s="23"/>
      <c r="R94" s="23"/>
      <c r="S94" s="23"/>
      <c r="T94" s="23"/>
      <c r="U94" s="23"/>
    </row>
    <row r="95" spans="1:21" x14ac:dyDescent="0.2">
      <c r="A95" s="23">
        <v>35</v>
      </c>
      <c r="B95" s="23">
        <v>1</v>
      </c>
      <c r="C95" s="23">
        <v>34.770000000000003</v>
      </c>
      <c r="D95" s="23">
        <v>2</v>
      </c>
      <c r="E95" s="23">
        <v>0</v>
      </c>
      <c r="F95" s="23">
        <v>0</v>
      </c>
      <c r="G95" s="23">
        <v>0</v>
      </c>
      <c r="H95" s="23">
        <v>0</v>
      </c>
      <c r="I95" s="23">
        <v>1</v>
      </c>
      <c r="J95" s="23">
        <v>5729.0052999999998</v>
      </c>
      <c r="N95" s="23"/>
      <c r="O95" s="23"/>
      <c r="P95" s="23"/>
      <c r="Q95" s="23"/>
      <c r="R95" s="23"/>
      <c r="S95" s="23"/>
      <c r="T95" s="23"/>
      <c r="U95" s="23"/>
    </row>
    <row r="96" spans="1:21" x14ac:dyDescent="0.2">
      <c r="A96" s="23">
        <v>64</v>
      </c>
      <c r="B96" s="23">
        <v>0</v>
      </c>
      <c r="C96" s="23">
        <v>31.3</v>
      </c>
      <c r="D96" s="23">
        <v>2</v>
      </c>
      <c r="E96" s="23">
        <v>1</v>
      </c>
      <c r="F96" s="23">
        <v>0</v>
      </c>
      <c r="G96" s="23">
        <v>0</v>
      </c>
      <c r="H96" s="23">
        <v>1</v>
      </c>
      <c r="I96" s="23">
        <v>0</v>
      </c>
      <c r="J96" s="23">
        <v>47291.055</v>
      </c>
      <c r="N96" s="23"/>
      <c r="O96" s="23"/>
      <c r="P96" s="23"/>
      <c r="Q96" s="23"/>
      <c r="R96" s="23"/>
      <c r="S96" s="23"/>
      <c r="T96" s="23"/>
      <c r="U96" s="23"/>
    </row>
    <row r="97" spans="1:21" x14ac:dyDescent="0.2">
      <c r="A97" s="23">
        <v>28</v>
      </c>
      <c r="B97" s="23">
        <v>0</v>
      </c>
      <c r="C97" s="23">
        <v>37.619999999999997</v>
      </c>
      <c r="D97" s="23">
        <v>1</v>
      </c>
      <c r="E97" s="23">
        <v>0</v>
      </c>
      <c r="F97" s="23">
        <v>0</v>
      </c>
      <c r="G97" s="23">
        <v>1</v>
      </c>
      <c r="H97" s="23">
        <v>0</v>
      </c>
      <c r="I97" s="23">
        <v>0</v>
      </c>
      <c r="J97" s="23">
        <v>3766.8838000000001</v>
      </c>
      <c r="N97" s="23"/>
      <c r="O97" s="23"/>
      <c r="P97" s="23"/>
      <c r="Q97" s="23"/>
      <c r="R97" s="23"/>
      <c r="S97" s="23"/>
      <c r="T97" s="23"/>
      <c r="U97" s="23"/>
    </row>
    <row r="98" spans="1:21" x14ac:dyDescent="0.2">
      <c r="A98" s="23">
        <v>54</v>
      </c>
      <c r="B98" s="23">
        <v>0</v>
      </c>
      <c r="C98" s="23">
        <v>30.8</v>
      </c>
      <c r="D98" s="23">
        <v>3</v>
      </c>
      <c r="E98" s="23">
        <v>0</v>
      </c>
      <c r="F98" s="23">
        <v>0</v>
      </c>
      <c r="G98" s="23">
        <v>0</v>
      </c>
      <c r="H98" s="23">
        <v>1</v>
      </c>
      <c r="I98" s="23">
        <v>0</v>
      </c>
      <c r="J98" s="23">
        <v>12105.32</v>
      </c>
      <c r="N98" s="23"/>
      <c r="O98" s="23"/>
      <c r="P98" s="23"/>
      <c r="Q98" s="23"/>
      <c r="R98" s="23"/>
      <c r="S98" s="23"/>
      <c r="T98" s="23"/>
      <c r="U98" s="23"/>
    </row>
    <row r="99" spans="1:21" x14ac:dyDescent="0.2">
      <c r="A99" s="23">
        <v>55</v>
      </c>
      <c r="B99" s="23">
        <v>1</v>
      </c>
      <c r="C99" s="23">
        <v>38.28</v>
      </c>
      <c r="D99" s="23">
        <v>0</v>
      </c>
      <c r="E99" s="23">
        <v>0</v>
      </c>
      <c r="F99" s="23">
        <v>0</v>
      </c>
      <c r="G99" s="23">
        <v>1</v>
      </c>
      <c r="H99" s="23">
        <v>0</v>
      </c>
      <c r="I99" s="23">
        <v>0</v>
      </c>
      <c r="J99" s="23">
        <v>10226.2842</v>
      </c>
      <c r="N99" s="23"/>
      <c r="O99" s="23"/>
      <c r="P99" s="23"/>
      <c r="Q99" s="23"/>
      <c r="R99" s="23"/>
      <c r="S99" s="23"/>
      <c r="T99" s="23"/>
      <c r="U99" s="23"/>
    </row>
    <row r="100" spans="1:21" x14ac:dyDescent="0.2">
      <c r="A100" s="23">
        <v>56</v>
      </c>
      <c r="B100" s="23">
        <v>1</v>
      </c>
      <c r="C100" s="23">
        <v>19.95</v>
      </c>
      <c r="D100" s="23">
        <v>0</v>
      </c>
      <c r="E100" s="23">
        <v>1</v>
      </c>
      <c r="F100" s="23">
        <v>1</v>
      </c>
      <c r="G100" s="23">
        <v>0</v>
      </c>
      <c r="H100" s="23">
        <v>0</v>
      </c>
      <c r="I100" s="23">
        <v>0</v>
      </c>
      <c r="J100" s="23">
        <v>22412.648499999999</v>
      </c>
      <c r="N100" s="23"/>
      <c r="O100" s="23"/>
      <c r="P100" s="23"/>
      <c r="Q100" s="23"/>
      <c r="R100" s="23"/>
      <c r="S100" s="23"/>
      <c r="T100" s="23"/>
      <c r="U100" s="23"/>
    </row>
    <row r="101" spans="1:21" x14ac:dyDescent="0.2">
      <c r="A101" s="23">
        <v>38</v>
      </c>
      <c r="B101" s="23">
        <v>1</v>
      </c>
      <c r="C101" s="23">
        <v>19.3</v>
      </c>
      <c r="D101" s="23">
        <v>0</v>
      </c>
      <c r="E101" s="23">
        <v>1</v>
      </c>
      <c r="F101" s="23">
        <v>0</v>
      </c>
      <c r="G101" s="23">
        <v>0</v>
      </c>
      <c r="H101" s="23">
        <v>1</v>
      </c>
      <c r="I101" s="23">
        <v>0</v>
      </c>
      <c r="J101" s="23">
        <v>15820.699000000001</v>
      </c>
      <c r="N101" s="23"/>
      <c r="O101" s="23"/>
      <c r="P101" s="23"/>
      <c r="Q101" s="23"/>
      <c r="R101" s="23"/>
      <c r="S101" s="23"/>
      <c r="T101" s="23"/>
      <c r="U101" s="23"/>
    </row>
    <row r="102" spans="1:21" x14ac:dyDescent="0.2">
      <c r="A102" s="23">
        <v>41</v>
      </c>
      <c r="B102" s="23">
        <v>0</v>
      </c>
      <c r="C102" s="23">
        <v>31.6</v>
      </c>
      <c r="D102" s="23">
        <v>0</v>
      </c>
      <c r="E102" s="23">
        <v>0</v>
      </c>
      <c r="F102" s="23">
        <v>0</v>
      </c>
      <c r="G102" s="23">
        <v>0</v>
      </c>
      <c r="H102" s="23">
        <v>1</v>
      </c>
      <c r="I102" s="23">
        <v>0</v>
      </c>
      <c r="J102" s="23">
        <v>6186.1270000000004</v>
      </c>
      <c r="N102" s="23"/>
      <c r="O102" s="23"/>
      <c r="P102" s="23"/>
      <c r="Q102" s="23"/>
      <c r="R102" s="23"/>
      <c r="S102" s="23"/>
      <c r="T102" s="23"/>
      <c r="U102" s="23"/>
    </row>
    <row r="103" spans="1:21" x14ac:dyDescent="0.2">
      <c r="A103" s="23">
        <v>30</v>
      </c>
      <c r="B103" s="23">
        <v>1</v>
      </c>
      <c r="C103" s="23">
        <v>25.46</v>
      </c>
      <c r="D103" s="23">
        <v>0</v>
      </c>
      <c r="E103" s="23">
        <v>0</v>
      </c>
      <c r="F103" s="23">
        <v>1</v>
      </c>
      <c r="G103" s="23">
        <v>0</v>
      </c>
      <c r="H103" s="23">
        <v>0</v>
      </c>
      <c r="I103" s="23">
        <v>0</v>
      </c>
      <c r="J103" s="23">
        <v>3645.0893999999998</v>
      </c>
      <c r="N103" s="23"/>
      <c r="O103" s="23"/>
      <c r="P103" s="23"/>
      <c r="Q103" s="23"/>
      <c r="R103" s="23"/>
      <c r="S103" s="23"/>
      <c r="T103" s="23"/>
      <c r="U103" s="23"/>
    </row>
    <row r="104" spans="1:21" x14ac:dyDescent="0.2">
      <c r="A104" s="23">
        <v>18</v>
      </c>
      <c r="B104" s="23">
        <v>0</v>
      </c>
      <c r="C104" s="23">
        <v>30.114999999999998</v>
      </c>
      <c r="D104" s="23">
        <v>0</v>
      </c>
      <c r="E104" s="23">
        <v>0</v>
      </c>
      <c r="F104" s="23">
        <v>1</v>
      </c>
      <c r="G104" s="23">
        <v>0</v>
      </c>
      <c r="H104" s="23">
        <v>0</v>
      </c>
      <c r="I104" s="23">
        <v>0</v>
      </c>
      <c r="J104" s="23">
        <v>21344.846699999998</v>
      </c>
      <c r="N104" s="23"/>
      <c r="O104" s="23"/>
      <c r="P104" s="23"/>
      <c r="Q104" s="23"/>
      <c r="R104" s="23"/>
      <c r="S104" s="23"/>
      <c r="T104" s="23"/>
      <c r="U104" s="23"/>
    </row>
    <row r="105" spans="1:21" x14ac:dyDescent="0.2">
      <c r="A105" s="23">
        <v>61</v>
      </c>
      <c r="B105" s="23">
        <v>0</v>
      </c>
      <c r="C105" s="23">
        <v>29.92</v>
      </c>
      <c r="D105" s="23">
        <v>3</v>
      </c>
      <c r="E105" s="23">
        <v>1</v>
      </c>
      <c r="F105" s="23">
        <v>0</v>
      </c>
      <c r="G105" s="23">
        <v>1</v>
      </c>
      <c r="H105" s="23">
        <v>0</v>
      </c>
      <c r="I105" s="23">
        <v>0</v>
      </c>
      <c r="J105" s="23">
        <v>30942.191800000001</v>
      </c>
      <c r="N105" s="23"/>
      <c r="O105" s="23"/>
      <c r="P105" s="23"/>
      <c r="Q105" s="23"/>
      <c r="R105" s="23"/>
      <c r="S105" s="23"/>
      <c r="T105" s="23"/>
      <c r="U105" s="23"/>
    </row>
    <row r="106" spans="1:21" x14ac:dyDescent="0.2">
      <c r="A106" s="23">
        <v>34</v>
      </c>
      <c r="B106" s="23">
        <v>0</v>
      </c>
      <c r="C106" s="23">
        <v>27.5</v>
      </c>
      <c r="D106" s="23">
        <v>1</v>
      </c>
      <c r="E106" s="23">
        <v>0</v>
      </c>
      <c r="F106" s="23">
        <v>0</v>
      </c>
      <c r="G106" s="23">
        <v>0</v>
      </c>
      <c r="H106" s="23">
        <v>1</v>
      </c>
      <c r="I106" s="23">
        <v>0</v>
      </c>
      <c r="J106" s="23">
        <v>5003.8530000000001</v>
      </c>
      <c r="N106" s="23"/>
      <c r="O106" s="23"/>
      <c r="P106" s="23"/>
      <c r="Q106" s="23"/>
      <c r="R106" s="23"/>
      <c r="S106" s="23"/>
      <c r="T106" s="23"/>
      <c r="U106" s="23"/>
    </row>
    <row r="107" spans="1:21" x14ac:dyDescent="0.2">
      <c r="A107" s="23">
        <v>20</v>
      </c>
      <c r="B107" s="23">
        <v>1</v>
      </c>
      <c r="C107" s="23">
        <v>28.024999999999999</v>
      </c>
      <c r="D107" s="23">
        <v>1</v>
      </c>
      <c r="E107" s="23">
        <v>1</v>
      </c>
      <c r="F107" s="23">
        <v>0</v>
      </c>
      <c r="G107" s="23">
        <v>0</v>
      </c>
      <c r="H107" s="23">
        <v>0</v>
      </c>
      <c r="I107" s="23">
        <v>1</v>
      </c>
      <c r="J107" s="23">
        <v>17560.37975</v>
      </c>
      <c r="N107" s="23"/>
      <c r="O107" s="23"/>
      <c r="P107" s="23"/>
      <c r="Q107" s="23"/>
      <c r="R107" s="23"/>
      <c r="S107" s="23"/>
      <c r="T107" s="23"/>
      <c r="U107" s="23"/>
    </row>
    <row r="108" spans="1:21" x14ac:dyDescent="0.2">
      <c r="A108" s="23">
        <v>19</v>
      </c>
      <c r="B108" s="23">
        <v>0</v>
      </c>
      <c r="C108" s="23">
        <v>28.4</v>
      </c>
      <c r="D108" s="23">
        <v>1</v>
      </c>
      <c r="E108" s="23">
        <v>0</v>
      </c>
      <c r="F108" s="23">
        <v>0</v>
      </c>
      <c r="G108" s="23">
        <v>0</v>
      </c>
      <c r="H108" s="23">
        <v>1</v>
      </c>
      <c r="I108" s="23">
        <v>0</v>
      </c>
      <c r="J108" s="23">
        <v>2331.5189999999998</v>
      </c>
      <c r="N108" s="23"/>
      <c r="O108" s="23"/>
      <c r="P108" s="23"/>
      <c r="Q108" s="23"/>
      <c r="R108" s="23"/>
      <c r="S108" s="23"/>
      <c r="T108" s="23"/>
      <c r="U108" s="23"/>
    </row>
    <row r="109" spans="1:21" x14ac:dyDescent="0.2">
      <c r="A109" s="23">
        <v>26</v>
      </c>
      <c r="B109" s="23">
        <v>1</v>
      </c>
      <c r="C109" s="23">
        <v>30.875</v>
      </c>
      <c r="D109" s="23">
        <v>2</v>
      </c>
      <c r="E109" s="23">
        <v>0</v>
      </c>
      <c r="F109" s="23">
        <v>0</v>
      </c>
      <c r="G109" s="23">
        <v>0</v>
      </c>
      <c r="H109" s="23">
        <v>0</v>
      </c>
      <c r="I109" s="23">
        <v>1</v>
      </c>
      <c r="J109" s="23">
        <v>3877.3042500000001</v>
      </c>
      <c r="N109" s="23"/>
      <c r="O109" s="23"/>
      <c r="P109" s="23"/>
      <c r="Q109" s="23"/>
      <c r="R109" s="23"/>
      <c r="S109" s="23"/>
      <c r="T109" s="23"/>
      <c r="U109" s="23"/>
    </row>
    <row r="110" spans="1:21" x14ac:dyDescent="0.2">
      <c r="A110" s="23">
        <v>29</v>
      </c>
      <c r="B110" s="23">
        <v>1</v>
      </c>
      <c r="C110" s="23">
        <v>27.94</v>
      </c>
      <c r="D110" s="23">
        <v>0</v>
      </c>
      <c r="E110" s="23">
        <v>0</v>
      </c>
      <c r="F110" s="23">
        <v>0</v>
      </c>
      <c r="G110" s="23">
        <v>1</v>
      </c>
      <c r="H110" s="23">
        <v>0</v>
      </c>
      <c r="I110" s="23">
        <v>0</v>
      </c>
      <c r="J110" s="23">
        <v>2867.1196</v>
      </c>
      <c r="N110" s="23"/>
      <c r="O110" s="23"/>
      <c r="P110" s="23"/>
      <c r="Q110" s="23"/>
      <c r="R110" s="23"/>
      <c r="S110" s="23"/>
      <c r="T110" s="23"/>
      <c r="U110" s="23"/>
    </row>
    <row r="111" spans="1:21" x14ac:dyDescent="0.2">
      <c r="A111" s="23">
        <v>63</v>
      </c>
      <c r="B111" s="23">
        <v>1</v>
      </c>
      <c r="C111" s="23">
        <v>35.090000000000003</v>
      </c>
      <c r="D111" s="23">
        <v>0</v>
      </c>
      <c r="E111" s="23">
        <v>1</v>
      </c>
      <c r="F111" s="23">
        <v>0</v>
      </c>
      <c r="G111" s="23">
        <v>1</v>
      </c>
      <c r="H111" s="23">
        <v>0</v>
      </c>
      <c r="I111" s="23">
        <v>0</v>
      </c>
      <c r="J111" s="23">
        <v>47055.532099999997</v>
      </c>
      <c r="N111" s="23"/>
      <c r="O111" s="23"/>
      <c r="P111" s="23"/>
      <c r="Q111" s="23"/>
      <c r="R111" s="23"/>
      <c r="S111" s="23"/>
      <c r="T111" s="23"/>
      <c r="U111" s="23"/>
    </row>
    <row r="112" spans="1:21" x14ac:dyDescent="0.2">
      <c r="A112" s="23">
        <v>54</v>
      </c>
      <c r="B112" s="23">
        <v>1</v>
      </c>
      <c r="C112" s="23">
        <v>33.630000000000003</v>
      </c>
      <c r="D112" s="23">
        <v>1</v>
      </c>
      <c r="E112" s="23">
        <v>0</v>
      </c>
      <c r="F112" s="23">
        <v>0</v>
      </c>
      <c r="G112" s="23">
        <v>0</v>
      </c>
      <c r="H112" s="23">
        <v>0</v>
      </c>
      <c r="I112" s="23">
        <v>1</v>
      </c>
      <c r="J112" s="23">
        <v>10825.253699999999</v>
      </c>
      <c r="N112" s="23"/>
      <c r="O112" s="23"/>
      <c r="P112" s="23"/>
      <c r="Q112" s="23"/>
      <c r="R112" s="23"/>
      <c r="S112" s="23"/>
      <c r="T112" s="23"/>
      <c r="U112" s="23"/>
    </row>
    <row r="113" spans="1:21" x14ac:dyDescent="0.2">
      <c r="A113" s="23">
        <v>55</v>
      </c>
      <c r="B113" s="23">
        <v>0</v>
      </c>
      <c r="C113" s="23">
        <v>29.7</v>
      </c>
      <c r="D113" s="23">
        <v>2</v>
      </c>
      <c r="E113" s="23">
        <v>0</v>
      </c>
      <c r="F113" s="23">
        <v>0</v>
      </c>
      <c r="G113" s="23">
        <v>0</v>
      </c>
      <c r="H113" s="23">
        <v>1</v>
      </c>
      <c r="I113" s="23">
        <v>0</v>
      </c>
      <c r="J113" s="23">
        <v>11881.358</v>
      </c>
      <c r="N113" s="23"/>
      <c r="O113" s="23"/>
      <c r="P113" s="23"/>
      <c r="Q113" s="23"/>
      <c r="R113" s="23"/>
      <c r="S113" s="23"/>
      <c r="T113" s="23"/>
      <c r="U113" s="23"/>
    </row>
    <row r="114" spans="1:21" x14ac:dyDescent="0.2">
      <c r="A114" s="23">
        <v>37</v>
      </c>
      <c r="B114" s="23">
        <v>1</v>
      </c>
      <c r="C114" s="23">
        <v>30.8</v>
      </c>
      <c r="D114" s="23">
        <v>0</v>
      </c>
      <c r="E114" s="23">
        <v>0</v>
      </c>
      <c r="F114" s="23">
        <v>0</v>
      </c>
      <c r="G114" s="23">
        <v>0</v>
      </c>
      <c r="H114" s="23">
        <v>1</v>
      </c>
      <c r="I114" s="23">
        <v>0</v>
      </c>
      <c r="J114" s="23">
        <v>4646.759</v>
      </c>
      <c r="N114" s="23"/>
      <c r="O114" s="23"/>
      <c r="P114" s="23"/>
      <c r="Q114" s="23"/>
      <c r="R114" s="23"/>
      <c r="S114" s="23"/>
      <c r="T114" s="23"/>
      <c r="U114" s="23"/>
    </row>
    <row r="115" spans="1:21" x14ac:dyDescent="0.2">
      <c r="A115" s="23">
        <v>21</v>
      </c>
      <c r="B115" s="23">
        <v>0</v>
      </c>
      <c r="C115" s="23">
        <v>35.72</v>
      </c>
      <c r="D115" s="23">
        <v>0</v>
      </c>
      <c r="E115" s="23">
        <v>0</v>
      </c>
      <c r="F115" s="23">
        <v>0</v>
      </c>
      <c r="G115" s="23">
        <v>0</v>
      </c>
      <c r="H115" s="23">
        <v>0</v>
      </c>
      <c r="I115" s="23">
        <v>1</v>
      </c>
      <c r="J115" s="23">
        <v>2404.7338</v>
      </c>
      <c r="N115" s="23"/>
      <c r="O115" s="23"/>
      <c r="P115" s="23"/>
      <c r="Q115" s="23"/>
      <c r="R115" s="23"/>
      <c r="S115" s="23"/>
      <c r="T115" s="23"/>
      <c r="U115" s="23"/>
    </row>
    <row r="116" spans="1:21" x14ac:dyDescent="0.2">
      <c r="A116" s="23">
        <v>52</v>
      </c>
      <c r="B116" s="23">
        <v>1</v>
      </c>
      <c r="C116" s="23">
        <v>32.204999999999998</v>
      </c>
      <c r="D116" s="23">
        <v>3</v>
      </c>
      <c r="E116" s="23">
        <v>0</v>
      </c>
      <c r="F116" s="23">
        <v>1</v>
      </c>
      <c r="G116" s="23">
        <v>0</v>
      </c>
      <c r="H116" s="23">
        <v>0</v>
      </c>
      <c r="I116" s="23">
        <v>0</v>
      </c>
      <c r="J116" s="23">
        <v>11488.31695</v>
      </c>
      <c r="N116" s="23"/>
      <c r="O116" s="23"/>
      <c r="P116" s="23"/>
      <c r="Q116" s="23"/>
      <c r="R116" s="23"/>
      <c r="S116" s="23"/>
      <c r="T116" s="23"/>
      <c r="U116" s="23"/>
    </row>
    <row r="117" spans="1:21" x14ac:dyDescent="0.2">
      <c r="A117" s="23">
        <v>60</v>
      </c>
      <c r="B117" s="23">
        <v>1</v>
      </c>
      <c r="C117" s="23">
        <v>28.594999999999999</v>
      </c>
      <c r="D117" s="23">
        <v>0</v>
      </c>
      <c r="E117" s="23">
        <v>0</v>
      </c>
      <c r="F117" s="23">
        <v>1</v>
      </c>
      <c r="G117" s="23">
        <v>0</v>
      </c>
      <c r="H117" s="23">
        <v>0</v>
      </c>
      <c r="I117" s="23">
        <v>0</v>
      </c>
      <c r="J117" s="23">
        <v>30259.995559999999</v>
      </c>
      <c r="N117" s="23"/>
      <c r="O117" s="23"/>
      <c r="P117" s="23"/>
      <c r="Q117" s="23"/>
      <c r="R117" s="23"/>
      <c r="S117" s="23"/>
      <c r="T117" s="23"/>
      <c r="U117" s="23"/>
    </row>
    <row r="118" spans="1:21" x14ac:dyDescent="0.2">
      <c r="A118" s="23">
        <v>58</v>
      </c>
      <c r="B118" s="23">
        <v>1</v>
      </c>
      <c r="C118" s="23">
        <v>49.06</v>
      </c>
      <c r="D118" s="23">
        <v>0</v>
      </c>
      <c r="E118" s="23">
        <v>0</v>
      </c>
      <c r="F118" s="23">
        <v>0</v>
      </c>
      <c r="G118" s="23">
        <v>1</v>
      </c>
      <c r="H118" s="23">
        <v>0</v>
      </c>
      <c r="I118" s="23">
        <v>0</v>
      </c>
      <c r="J118" s="23">
        <v>11381.3254</v>
      </c>
      <c r="N118" s="23"/>
      <c r="O118" s="23"/>
      <c r="P118" s="23"/>
      <c r="Q118" s="23"/>
      <c r="R118" s="23"/>
      <c r="S118" s="23"/>
      <c r="T118" s="23"/>
      <c r="U118" s="23"/>
    </row>
    <row r="119" spans="1:21" x14ac:dyDescent="0.2">
      <c r="A119" s="23">
        <v>29</v>
      </c>
      <c r="B119" s="23">
        <v>0</v>
      </c>
      <c r="C119" s="23">
        <v>27.94</v>
      </c>
      <c r="D119" s="23">
        <v>1</v>
      </c>
      <c r="E119" s="23">
        <v>1</v>
      </c>
      <c r="F119" s="23">
        <v>0</v>
      </c>
      <c r="G119" s="23">
        <v>1</v>
      </c>
      <c r="H119" s="23">
        <v>0</v>
      </c>
      <c r="I119" s="23">
        <v>0</v>
      </c>
      <c r="J119" s="23">
        <v>19107.779600000002</v>
      </c>
      <c r="N119" s="23"/>
      <c r="O119" s="23"/>
      <c r="P119" s="23"/>
      <c r="Q119" s="23"/>
      <c r="R119" s="23"/>
      <c r="S119" s="23"/>
      <c r="T119" s="23"/>
      <c r="U119" s="23"/>
    </row>
    <row r="120" spans="1:21" x14ac:dyDescent="0.2">
      <c r="A120" s="23">
        <v>49</v>
      </c>
      <c r="B120" s="23">
        <v>0</v>
      </c>
      <c r="C120" s="23">
        <v>27.17</v>
      </c>
      <c r="D120" s="23">
        <v>0</v>
      </c>
      <c r="E120" s="23">
        <v>0</v>
      </c>
      <c r="F120" s="23">
        <v>0</v>
      </c>
      <c r="G120" s="23">
        <v>1</v>
      </c>
      <c r="H120" s="23">
        <v>0</v>
      </c>
      <c r="I120" s="23">
        <v>0</v>
      </c>
      <c r="J120" s="23">
        <v>8601.3292999999994</v>
      </c>
      <c r="N120" s="23"/>
      <c r="O120" s="23"/>
      <c r="P120" s="23"/>
      <c r="Q120" s="23"/>
      <c r="R120" s="23"/>
      <c r="S120" s="23"/>
      <c r="T120" s="23"/>
      <c r="U120" s="23"/>
    </row>
    <row r="121" spans="1:21" x14ac:dyDescent="0.2">
      <c r="A121" s="23">
        <v>37</v>
      </c>
      <c r="B121" s="23">
        <v>0</v>
      </c>
      <c r="C121" s="23">
        <v>23.37</v>
      </c>
      <c r="D121" s="23">
        <v>2</v>
      </c>
      <c r="E121" s="23">
        <v>0</v>
      </c>
      <c r="F121" s="23">
        <v>0</v>
      </c>
      <c r="G121" s="23">
        <v>0</v>
      </c>
      <c r="H121" s="23">
        <v>0</v>
      </c>
      <c r="I121" s="23">
        <v>1</v>
      </c>
      <c r="J121" s="23">
        <v>6686.4313000000002</v>
      </c>
      <c r="N121" s="23"/>
      <c r="O121" s="23"/>
      <c r="P121" s="23"/>
      <c r="Q121" s="23"/>
      <c r="R121" s="23"/>
      <c r="S121" s="23"/>
      <c r="T121" s="23"/>
      <c r="U121" s="23"/>
    </row>
    <row r="122" spans="1:21" x14ac:dyDescent="0.2">
      <c r="A122" s="23">
        <v>44</v>
      </c>
      <c r="B122" s="23">
        <v>1</v>
      </c>
      <c r="C122" s="23">
        <v>37.1</v>
      </c>
      <c r="D122" s="23">
        <v>2</v>
      </c>
      <c r="E122" s="23">
        <v>0</v>
      </c>
      <c r="F122" s="23">
        <v>0</v>
      </c>
      <c r="G122" s="23">
        <v>0</v>
      </c>
      <c r="H122" s="23">
        <v>1</v>
      </c>
      <c r="I122" s="23">
        <v>0</v>
      </c>
      <c r="J122" s="23">
        <v>7740.3370000000004</v>
      </c>
      <c r="N122" s="23"/>
      <c r="O122" s="23"/>
      <c r="P122" s="23"/>
      <c r="Q122" s="23"/>
      <c r="R122" s="23"/>
      <c r="S122" s="23"/>
      <c r="T122" s="23"/>
      <c r="U122" s="23"/>
    </row>
    <row r="123" spans="1:21" x14ac:dyDescent="0.2">
      <c r="A123" s="23">
        <v>18</v>
      </c>
      <c r="B123" s="23">
        <v>1</v>
      </c>
      <c r="C123" s="23">
        <v>23.75</v>
      </c>
      <c r="D123" s="23">
        <v>0</v>
      </c>
      <c r="E123" s="23">
        <v>0</v>
      </c>
      <c r="F123" s="23">
        <v>1</v>
      </c>
      <c r="G123" s="23">
        <v>0</v>
      </c>
      <c r="H123" s="23">
        <v>0</v>
      </c>
      <c r="I123" s="23">
        <v>0</v>
      </c>
      <c r="J123" s="23">
        <v>1705.6244999999999</v>
      </c>
      <c r="N123" s="23"/>
      <c r="O123" s="23"/>
      <c r="P123" s="23"/>
      <c r="Q123" s="23"/>
      <c r="R123" s="23"/>
      <c r="S123" s="23"/>
      <c r="T123" s="23"/>
      <c r="U123" s="23"/>
    </row>
    <row r="124" spans="1:21" x14ac:dyDescent="0.2">
      <c r="A124" s="23">
        <v>20</v>
      </c>
      <c r="B124" s="23">
        <v>0</v>
      </c>
      <c r="C124" s="23">
        <v>28.975000000000001</v>
      </c>
      <c r="D124" s="23">
        <v>0</v>
      </c>
      <c r="E124" s="23">
        <v>0</v>
      </c>
      <c r="F124" s="23">
        <v>0</v>
      </c>
      <c r="G124" s="23">
        <v>0</v>
      </c>
      <c r="H124" s="23">
        <v>0</v>
      </c>
      <c r="I124" s="23">
        <v>1</v>
      </c>
      <c r="J124" s="23">
        <v>2257.47525</v>
      </c>
      <c r="N124" s="23"/>
      <c r="O124" s="23"/>
      <c r="P124" s="23"/>
      <c r="Q124" s="23"/>
      <c r="R124" s="23"/>
      <c r="S124" s="23"/>
      <c r="T124" s="23"/>
      <c r="U124" s="23"/>
    </row>
    <row r="125" spans="1:21" x14ac:dyDescent="0.2">
      <c r="A125" s="23">
        <v>44</v>
      </c>
      <c r="B125" s="23">
        <v>1</v>
      </c>
      <c r="C125" s="23">
        <v>31.35</v>
      </c>
      <c r="D125" s="23">
        <v>1</v>
      </c>
      <c r="E125" s="23">
        <v>1</v>
      </c>
      <c r="F125" s="23">
        <v>1</v>
      </c>
      <c r="G125" s="23">
        <v>0</v>
      </c>
      <c r="H125" s="23">
        <v>0</v>
      </c>
      <c r="I125" s="23">
        <v>0</v>
      </c>
      <c r="J125" s="23">
        <v>39556.494500000001</v>
      </c>
      <c r="N125" s="23"/>
      <c r="O125" s="23"/>
      <c r="P125" s="23"/>
      <c r="Q125" s="23"/>
      <c r="R125" s="23"/>
      <c r="S125" s="23"/>
      <c r="T125" s="23"/>
      <c r="U125" s="23"/>
    </row>
    <row r="126" spans="1:21" x14ac:dyDescent="0.2">
      <c r="A126" s="23">
        <v>47</v>
      </c>
      <c r="B126" s="23">
        <v>0</v>
      </c>
      <c r="C126" s="23">
        <v>33.914999999999999</v>
      </c>
      <c r="D126" s="23">
        <v>3</v>
      </c>
      <c r="E126" s="23">
        <v>0</v>
      </c>
      <c r="F126" s="23">
        <v>0</v>
      </c>
      <c r="G126" s="23">
        <v>0</v>
      </c>
      <c r="H126" s="23">
        <v>0</v>
      </c>
      <c r="I126" s="23">
        <v>1</v>
      </c>
      <c r="J126" s="23">
        <v>10115.00885</v>
      </c>
      <c r="N126" s="23"/>
      <c r="O126" s="23"/>
      <c r="P126" s="23"/>
      <c r="Q126" s="23"/>
      <c r="R126" s="23"/>
      <c r="S126" s="23"/>
      <c r="T126" s="23"/>
      <c r="U126" s="23"/>
    </row>
    <row r="127" spans="1:21" x14ac:dyDescent="0.2">
      <c r="A127" s="23">
        <v>26</v>
      </c>
      <c r="B127" s="23">
        <v>0</v>
      </c>
      <c r="C127" s="23">
        <v>28.785</v>
      </c>
      <c r="D127" s="23">
        <v>0</v>
      </c>
      <c r="E127" s="23">
        <v>0</v>
      </c>
      <c r="F127" s="23">
        <v>1</v>
      </c>
      <c r="G127" s="23">
        <v>0</v>
      </c>
      <c r="H127" s="23">
        <v>0</v>
      </c>
      <c r="I127" s="23">
        <v>0</v>
      </c>
      <c r="J127" s="23">
        <v>3385.3991500000002</v>
      </c>
      <c r="N127" s="23"/>
      <c r="O127" s="23"/>
      <c r="P127" s="23"/>
      <c r="Q127" s="23"/>
      <c r="R127" s="23"/>
      <c r="S127" s="23"/>
      <c r="T127" s="23"/>
      <c r="U127" s="23"/>
    </row>
    <row r="128" spans="1:21" x14ac:dyDescent="0.2">
      <c r="A128" s="23">
        <v>19</v>
      </c>
      <c r="B128" s="23">
        <v>0</v>
      </c>
      <c r="C128" s="23">
        <v>28.3</v>
      </c>
      <c r="D128" s="23">
        <v>0</v>
      </c>
      <c r="E128" s="23">
        <v>1</v>
      </c>
      <c r="F128" s="23">
        <v>0</v>
      </c>
      <c r="G128" s="23">
        <v>0</v>
      </c>
      <c r="H128" s="23">
        <v>1</v>
      </c>
      <c r="I128" s="23">
        <v>0</v>
      </c>
      <c r="J128" s="23">
        <v>17081.080000000002</v>
      </c>
      <c r="N128" s="23"/>
      <c r="O128" s="23"/>
      <c r="P128" s="23"/>
      <c r="Q128" s="23"/>
      <c r="R128" s="23"/>
      <c r="S128" s="23"/>
      <c r="T128" s="23"/>
      <c r="U128" s="23"/>
    </row>
    <row r="129" spans="1:21" x14ac:dyDescent="0.2">
      <c r="A129" s="23">
        <v>52</v>
      </c>
      <c r="B129" s="23">
        <v>0</v>
      </c>
      <c r="C129" s="23">
        <v>37.4</v>
      </c>
      <c r="D129" s="23">
        <v>0</v>
      </c>
      <c r="E129" s="23">
        <v>0</v>
      </c>
      <c r="F129" s="23">
        <v>0</v>
      </c>
      <c r="G129" s="23">
        <v>0</v>
      </c>
      <c r="H129" s="23">
        <v>1</v>
      </c>
      <c r="I129" s="23">
        <v>0</v>
      </c>
      <c r="J129" s="23">
        <v>9634.5380000000005</v>
      </c>
      <c r="N129" s="23"/>
      <c r="O129" s="23"/>
      <c r="P129" s="23"/>
      <c r="Q129" s="23"/>
      <c r="R129" s="23"/>
      <c r="S129" s="23"/>
      <c r="T129" s="23"/>
      <c r="U129" s="23"/>
    </row>
    <row r="130" spans="1:21" x14ac:dyDescent="0.2">
      <c r="A130" s="23">
        <v>32</v>
      </c>
      <c r="B130" s="23">
        <v>0</v>
      </c>
      <c r="C130" s="23">
        <v>17.765000000000001</v>
      </c>
      <c r="D130" s="23">
        <v>2</v>
      </c>
      <c r="E130" s="23">
        <v>1</v>
      </c>
      <c r="F130" s="23">
        <v>0</v>
      </c>
      <c r="G130" s="23">
        <v>0</v>
      </c>
      <c r="H130" s="23">
        <v>0</v>
      </c>
      <c r="I130" s="23">
        <v>1</v>
      </c>
      <c r="J130" s="23">
        <v>32734.186300000001</v>
      </c>
      <c r="N130" s="23"/>
      <c r="O130" s="23"/>
      <c r="P130" s="23"/>
      <c r="Q130" s="23"/>
      <c r="R130" s="23"/>
      <c r="S130" s="23"/>
      <c r="T130" s="23"/>
      <c r="U130" s="23"/>
    </row>
    <row r="131" spans="1:21" x14ac:dyDescent="0.2">
      <c r="A131" s="23">
        <v>38</v>
      </c>
      <c r="B131" s="23">
        <v>1</v>
      </c>
      <c r="C131" s="23">
        <v>34.700000000000003</v>
      </c>
      <c r="D131" s="23">
        <v>2</v>
      </c>
      <c r="E131" s="23">
        <v>0</v>
      </c>
      <c r="F131" s="23">
        <v>0</v>
      </c>
      <c r="G131" s="23">
        <v>0</v>
      </c>
      <c r="H131" s="23">
        <v>1</v>
      </c>
      <c r="I131" s="23">
        <v>0</v>
      </c>
      <c r="J131" s="23">
        <v>6082.4049999999997</v>
      </c>
      <c r="N131" s="23"/>
      <c r="O131" s="23"/>
      <c r="P131" s="23"/>
      <c r="Q131" s="23"/>
      <c r="R131" s="23"/>
      <c r="S131" s="23"/>
      <c r="T131" s="23"/>
      <c r="U131" s="23"/>
    </row>
    <row r="132" spans="1:21" x14ac:dyDescent="0.2">
      <c r="A132" s="23">
        <v>59</v>
      </c>
      <c r="B132" s="23">
        <v>0</v>
      </c>
      <c r="C132" s="23">
        <v>26.504999999999999</v>
      </c>
      <c r="D132" s="23">
        <v>0</v>
      </c>
      <c r="E132" s="23">
        <v>0</v>
      </c>
      <c r="F132" s="23">
        <v>1</v>
      </c>
      <c r="G132" s="23">
        <v>0</v>
      </c>
      <c r="H132" s="23">
        <v>0</v>
      </c>
      <c r="I132" s="23">
        <v>0</v>
      </c>
      <c r="J132" s="23">
        <v>12815.444949999999</v>
      </c>
      <c r="N132" s="23"/>
      <c r="O132" s="23"/>
      <c r="P132" s="23"/>
      <c r="Q132" s="23"/>
      <c r="R132" s="23"/>
      <c r="S132" s="23"/>
      <c r="T132" s="23"/>
      <c r="U132" s="23"/>
    </row>
    <row r="133" spans="1:21" x14ac:dyDescent="0.2">
      <c r="A133" s="23">
        <v>61</v>
      </c>
      <c r="B133" s="23">
        <v>0</v>
      </c>
      <c r="C133" s="23">
        <v>22.04</v>
      </c>
      <c r="D133" s="23">
        <v>0</v>
      </c>
      <c r="E133" s="23">
        <v>0</v>
      </c>
      <c r="F133" s="23">
        <v>1</v>
      </c>
      <c r="G133" s="23">
        <v>0</v>
      </c>
      <c r="H133" s="23">
        <v>0</v>
      </c>
      <c r="I133" s="23">
        <v>0</v>
      </c>
      <c r="J133" s="23">
        <v>13616.3586</v>
      </c>
      <c r="N133" s="23"/>
      <c r="O133" s="23"/>
      <c r="P133" s="23"/>
      <c r="Q133" s="23"/>
      <c r="R133" s="23"/>
      <c r="S133" s="23"/>
      <c r="T133" s="23"/>
      <c r="U133" s="23"/>
    </row>
    <row r="134" spans="1:21" x14ac:dyDescent="0.2">
      <c r="A134" s="23">
        <v>53</v>
      </c>
      <c r="B134" s="23">
        <v>0</v>
      </c>
      <c r="C134" s="23">
        <v>35.9</v>
      </c>
      <c r="D134" s="23">
        <v>2</v>
      </c>
      <c r="E134" s="23">
        <v>0</v>
      </c>
      <c r="F134" s="23">
        <v>0</v>
      </c>
      <c r="G134" s="23">
        <v>0</v>
      </c>
      <c r="H134" s="23">
        <v>1</v>
      </c>
      <c r="I134" s="23">
        <v>0</v>
      </c>
      <c r="J134" s="23">
        <v>11163.567999999999</v>
      </c>
      <c r="N134" s="23"/>
      <c r="O134" s="23"/>
      <c r="P134" s="23"/>
      <c r="Q134" s="23"/>
      <c r="R134" s="23"/>
      <c r="S134" s="23"/>
      <c r="T134" s="23"/>
      <c r="U134" s="23"/>
    </row>
    <row r="135" spans="1:21" x14ac:dyDescent="0.2">
      <c r="A135" s="23">
        <v>19</v>
      </c>
      <c r="B135" s="23">
        <v>1</v>
      </c>
      <c r="C135" s="23">
        <v>25.555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1</v>
      </c>
      <c r="J135" s="23">
        <v>1632.5644500000001</v>
      </c>
      <c r="N135" s="23"/>
      <c r="O135" s="23"/>
      <c r="P135" s="23"/>
      <c r="Q135" s="23"/>
      <c r="R135" s="23"/>
      <c r="S135" s="23"/>
      <c r="T135" s="23"/>
      <c r="U135" s="23"/>
    </row>
    <row r="136" spans="1:21" x14ac:dyDescent="0.2">
      <c r="A136" s="23">
        <v>20</v>
      </c>
      <c r="B136" s="23">
        <v>0</v>
      </c>
      <c r="C136" s="23">
        <v>28.785</v>
      </c>
      <c r="D136" s="23">
        <v>0</v>
      </c>
      <c r="E136" s="23">
        <v>0</v>
      </c>
      <c r="F136" s="23">
        <v>1</v>
      </c>
      <c r="G136" s="23">
        <v>0</v>
      </c>
      <c r="H136" s="23">
        <v>0</v>
      </c>
      <c r="I136" s="23">
        <v>0</v>
      </c>
      <c r="J136" s="23">
        <v>2457.2111500000001</v>
      </c>
      <c r="N136" s="23"/>
      <c r="O136" s="23"/>
      <c r="P136" s="23"/>
      <c r="Q136" s="23"/>
      <c r="R136" s="23"/>
      <c r="S136" s="23"/>
      <c r="T136" s="23"/>
      <c r="U136" s="23"/>
    </row>
    <row r="137" spans="1:21" x14ac:dyDescent="0.2">
      <c r="A137" s="23">
        <v>22</v>
      </c>
      <c r="B137" s="23">
        <v>0</v>
      </c>
      <c r="C137" s="23">
        <v>28.05</v>
      </c>
      <c r="D137" s="23">
        <v>0</v>
      </c>
      <c r="E137" s="23">
        <v>0</v>
      </c>
      <c r="F137" s="23">
        <v>0</v>
      </c>
      <c r="G137" s="23">
        <v>1</v>
      </c>
      <c r="H137" s="23">
        <v>0</v>
      </c>
      <c r="I137" s="23">
        <v>0</v>
      </c>
      <c r="J137" s="23">
        <v>2155.6815000000001</v>
      </c>
      <c r="N137" s="23"/>
      <c r="O137" s="23"/>
      <c r="P137" s="23"/>
      <c r="Q137" s="23"/>
      <c r="R137" s="23"/>
      <c r="S137" s="23"/>
      <c r="T137" s="23"/>
      <c r="U137" s="23"/>
    </row>
    <row r="138" spans="1:21" x14ac:dyDescent="0.2">
      <c r="A138" s="23">
        <v>19</v>
      </c>
      <c r="B138" s="23">
        <v>1</v>
      </c>
      <c r="C138" s="23">
        <v>34.1</v>
      </c>
      <c r="D138" s="23">
        <v>0</v>
      </c>
      <c r="E138" s="23">
        <v>0</v>
      </c>
      <c r="F138" s="23">
        <v>0</v>
      </c>
      <c r="G138" s="23">
        <v>0</v>
      </c>
      <c r="H138" s="23">
        <v>1</v>
      </c>
      <c r="I138" s="23">
        <v>0</v>
      </c>
      <c r="J138" s="23">
        <v>1261.442</v>
      </c>
      <c r="N138" s="23"/>
      <c r="O138" s="23"/>
      <c r="P138" s="23"/>
      <c r="Q138" s="23"/>
      <c r="R138" s="23"/>
      <c r="S138" s="23"/>
      <c r="T138" s="23"/>
      <c r="U138" s="23"/>
    </row>
    <row r="139" spans="1:21" x14ac:dyDescent="0.2">
      <c r="A139" s="23">
        <v>22</v>
      </c>
      <c r="B139" s="23">
        <v>1</v>
      </c>
      <c r="C139" s="23">
        <v>25.175000000000001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1</v>
      </c>
      <c r="J139" s="23">
        <v>2045.68525</v>
      </c>
      <c r="N139" s="23"/>
      <c r="O139" s="23"/>
      <c r="P139" s="23"/>
      <c r="Q139" s="23"/>
      <c r="R139" s="23"/>
      <c r="S139" s="23"/>
      <c r="T139" s="23"/>
      <c r="U139" s="23"/>
    </row>
    <row r="140" spans="1:21" x14ac:dyDescent="0.2">
      <c r="A140" s="23">
        <v>54</v>
      </c>
      <c r="B140" s="23">
        <v>0</v>
      </c>
      <c r="C140" s="23">
        <v>31.9</v>
      </c>
      <c r="D140" s="23">
        <v>3</v>
      </c>
      <c r="E140" s="23">
        <v>0</v>
      </c>
      <c r="F140" s="23">
        <v>0</v>
      </c>
      <c r="G140" s="23">
        <v>1</v>
      </c>
      <c r="H140" s="23">
        <v>0</v>
      </c>
      <c r="I140" s="23">
        <v>0</v>
      </c>
      <c r="J140" s="23">
        <v>27322.73386</v>
      </c>
      <c r="N140" s="23"/>
      <c r="O140" s="23"/>
      <c r="P140" s="23"/>
      <c r="Q140" s="23"/>
      <c r="R140" s="23"/>
      <c r="S140" s="23"/>
      <c r="T140" s="23"/>
      <c r="U140" s="23"/>
    </row>
    <row r="141" spans="1:21" x14ac:dyDescent="0.2">
      <c r="A141" s="23">
        <v>22</v>
      </c>
      <c r="B141" s="23">
        <v>0</v>
      </c>
      <c r="C141" s="23">
        <v>36</v>
      </c>
      <c r="D141" s="23">
        <v>0</v>
      </c>
      <c r="E141" s="23">
        <v>0</v>
      </c>
      <c r="F141" s="23">
        <v>0</v>
      </c>
      <c r="G141" s="23">
        <v>0</v>
      </c>
      <c r="H141" s="23">
        <v>1</v>
      </c>
      <c r="I141" s="23">
        <v>0</v>
      </c>
      <c r="J141" s="23">
        <v>2166.732</v>
      </c>
      <c r="N141" s="23"/>
      <c r="O141" s="23"/>
      <c r="P141" s="23"/>
      <c r="Q141" s="23"/>
      <c r="R141" s="23"/>
      <c r="S141" s="23"/>
      <c r="T141" s="23"/>
      <c r="U141" s="23"/>
    </row>
    <row r="142" spans="1:21" x14ac:dyDescent="0.2">
      <c r="A142" s="23">
        <v>34</v>
      </c>
      <c r="B142" s="23">
        <v>1</v>
      </c>
      <c r="C142" s="23">
        <v>22.42</v>
      </c>
      <c r="D142" s="23">
        <v>2</v>
      </c>
      <c r="E142" s="23">
        <v>0</v>
      </c>
      <c r="F142" s="23">
        <v>1</v>
      </c>
      <c r="G142" s="23">
        <v>0</v>
      </c>
      <c r="H142" s="23">
        <v>0</v>
      </c>
      <c r="I142" s="23">
        <v>0</v>
      </c>
      <c r="J142" s="23">
        <v>27375.904780000001</v>
      </c>
      <c r="N142" s="23"/>
      <c r="O142" s="23"/>
      <c r="P142" s="23"/>
      <c r="Q142" s="23"/>
      <c r="R142" s="23"/>
      <c r="S142" s="23"/>
      <c r="T142" s="23"/>
      <c r="U142" s="23"/>
    </row>
    <row r="143" spans="1:21" x14ac:dyDescent="0.2">
      <c r="A143" s="23">
        <v>26</v>
      </c>
      <c r="B143" s="23">
        <v>1</v>
      </c>
      <c r="C143" s="23">
        <v>32.49</v>
      </c>
      <c r="D143" s="23">
        <v>1</v>
      </c>
      <c r="E143" s="23">
        <v>0</v>
      </c>
      <c r="F143" s="23">
        <v>1</v>
      </c>
      <c r="G143" s="23">
        <v>0</v>
      </c>
      <c r="H143" s="23">
        <v>0</v>
      </c>
      <c r="I143" s="23">
        <v>0</v>
      </c>
      <c r="J143" s="23">
        <v>3490.5491000000002</v>
      </c>
      <c r="N143" s="23"/>
      <c r="O143" s="23"/>
      <c r="P143" s="23"/>
      <c r="Q143" s="23"/>
      <c r="R143" s="23"/>
      <c r="S143" s="23"/>
      <c r="T143" s="23"/>
      <c r="U143" s="23"/>
    </row>
    <row r="144" spans="1:21" x14ac:dyDescent="0.2">
      <c r="A144" s="23">
        <v>34</v>
      </c>
      <c r="B144" s="23">
        <v>1</v>
      </c>
      <c r="C144" s="23">
        <v>25.3</v>
      </c>
      <c r="D144" s="23">
        <v>2</v>
      </c>
      <c r="E144" s="23">
        <v>1</v>
      </c>
      <c r="F144" s="23">
        <v>0</v>
      </c>
      <c r="G144" s="23">
        <v>1</v>
      </c>
      <c r="H144" s="23">
        <v>0</v>
      </c>
      <c r="I144" s="23">
        <v>0</v>
      </c>
      <c r="J144" s="23">
        <v>18972.494999999999</v>
      </c>
      <c r="N144" s="23"/>
      <c r="O144" s="23"/>
      <c r="P144" s="23"/>
      <c r="Q144" s="23"/>
      <c r="R144" s="23"/>
      <c r="S144" s="23"/>
      <c r="T144" s="23"/>
      <c r="U144" s="23"/>
    </row>
    <row r="145" spans="1:21" x14ac:dyDescent="0.2">
      <c r="A145" s="23">
        <v>29</v>
      </c>
      <c r="B145" s="23">
        <v>1</v>
      </c>
      <c r="C145" s="23">
        <v>29.734999999999999</v>
      </c>
      <c r="D145" s="23">
        <v>2</v>
      </c>
      <c r="E145" s="23">
        <v>0</v>
      </c>
      <c r="F145" s="23">
        <v>0</v>
      </c>
      <c r="G145" s="23">
        <v>0</v>
      </c>
      <c r="H145" s="23">
        <v>0</v>
      </c>
      <c r="I145" s="23">
        <v>1</v>
      </c>
      <c r="J145" s="23">
        <v>18157.876</v>
      </c>
      <c r="N145" s="23"/>
      <c r="O145" s="23"/>
      <c r="P145" s="23"/>
      <c r="Q145" s="23"/>
      <c r="R145" s="23"/>
      <c r="S145" s="23"/>
      <c r="T145" s="23"/>
      <c r="U145" s="23"/>
    </row>
    <row r="146" spans="1:21" x14ac:dyDescent="0.2">
      <c r="A146" s="23">
        <v>30</v>
      </c>
      <c r="B146" s="23">
        <v>1</v>
      </c>
      <c r="C146" s="23">
        <v>28.69</v>
      </c>
      <c r="D146" s="23">
        <v>3</v>
      </c>
      <c r="E146" s="23">
        <v>1</v>
      </c>
      <c r="F146" s="23">
        <v>0</v>
      </c>
      <c r="G146" s="23">
        <v>0</v>
      </c>
      <c r="H146" s="23">
        <v>0</v>
      </c>
      <c r="I146" s="23">
        <v>1</v>
      </c>
      <c r="J146" s="23">
        <v>20745.989099999999</v>
      </c>
      <c r="N146" s="23"/>
      <c r="O146" s="23"/>
      <c r="P146" s="23"/>
      <c r="Q146" s="23"/>
      <c r="R146" s="23"/>
      <c r="S146" s="23"/>
      <c r="T146" s="23"/>
      <c r="U146" s="23"/>
    </row>
    <row r="147" spans="1:21" x14ac:dyDescent="0.2">
      <c r="A147" s="23">
        <v>29</v>
      </c>
      <c r="B147" s="23">
        <v>0</v>
      </c>
      <c r="C147" s="23">
        <v>38.83</v>
      </c>
      <c r="D147" s="23">
        <v>3</v>
      </c>
      <c r="E147" s="23">
        <v>0</v>
      </c>
      <c r="F147" s="23">
        <v>0</v>
      </c>
      <c r="G147" s="23">
        <v>1</v>
      </c>
      <c r="H147" s="23">
        <v>0</v>
      </c>
      <c r="I147" s="23">
        <v>0</v>
      </c>
      <c r="J147" s="23">
        <v>5138.2566999999999</v>
      </c>
      <c r="N147" s="23"/>
      <c r="O147" s="23"/>
      <c r="P147" s="23"/>
      <c r="Q147" s="23"/>
      <c r="R147" s="23"/>
      <c r="S147" s="23"/>
      <c r="T147" s="23"/>
      <c r="U147" s="23"/>
    </row>
    <row r="148" spans="1:21" x14ac:dyDescent="0.2">
      <c r="A148" s="23">
        <v>46</v>
      </c>
      <c r="B148" s="23">
        <v>1</v>
      </c>
      <c r="C148" s="23">
        <v>30.495000000000001</v>
      </c>
      <c r="D148" s="23">
        <v>3</v>
      </c>
      <c r="E148" s="23">
        <v>1</v>
      </c>
      <c r="F148" s="23">
        <v>0</v>
      </c>
      <c r="G148" s="23">
        <v>0</v>
      </c>
      <c r="H148" s="23">
        <v>0</v>
      </c>
      <c r="I148" s="23">
        <v>1</v>
      </c>
      <c r="J148" s="23">
        <v>40720.551050000002</v>
      </c>
      <c r="N148" s="23"/>
      <c r="O148" s="23"/>
      <c r="P148" s="23"/>
      <c r="Q148" s="23"/>
      <c r="R148" s="23"/>
      <c r="S148" s="23"/>
      <c r="T148" s="23"/>
      <c r="U148" s="23"/>
    </row>
    <row r="149" spans="1:21" x14ac:dyDescent="0.2">
      <c r="A149" s="23">
        <v>51</v>
      </c>
      <c r="B149" s="23">
        <v>0</v>
      </c>
      <c r="C149" s="23">
        <v>37.729999999999997</v>
      </c>
      <c r="D149" s="23">
        <v>1</v>
      </c>
      <c r="E149" s="23">
        <v>0</v>
      </c>
      <c r="F149" s="23">
        <v>0</v>
      </c>
      <c r="G149" s="23">
        <v>1</v>
      </c>
      <c r="H149" s="23">
        <v>0</v>
      </c>
      <c r="I149" s="23">
        <v>0</v>
      </c>
      <c r="J149" s="23">
        <v>9877.6077000000005</v>
      </c>
      <c r="N149" s="23"/>
      <c r="O149" s="23"/>
      <c r="P149" s="23"/>
      <c r="Q149" s="23"/>
      <c r="R149" s="23"/>
      <c r="S149" s="23"/>
      <c r="T149" s="23"/>
      <c r="U149" s="23"/>
    </row>
    <row r="150" spans="1:21" x14ac:dyDescent="0.2">
      <c r="A150" s="23">
        <v>53</v>
      </c>
      <c r="B150" s="23">
        <v>0</v>
      </c>
      <c r="C150" s="23">
        <v>37.43</v>
      </c>
      <c r="D150" s="23">
        <v>1</v>
      </c>
      <c r="E150" s="23">
        <v>0</v>
      </c>
      <c r="F150" s="23">
        <v>0</v>
      </c>
      <c r="G150" s="23">
        <v>0</v>
      </c>
      <c r="H150" s="23">
        <v>0</v>
      </c>
      <c r="I150" s="23">
        <v>1</v>
      </c>
      <c r="J150" s="23">
        <v>10959.6947</v>
      </c>
      <c r="N150" s="23"/>
      <c r="O150" s="23"/>
      <c r="P150" s="23"/>
      <c r="Q150" s="23"/>
      <c r="R150" s="23"/>
      <c r="S150" s="23"/>
      <c r="T150" s="23"/>
      <c r="U150" s="23"/>
    </row>
    <row r="151" spans="1:21" x14ac:dyDescent="0.2">
      <c r="A151" s="23">
        <v>19</v>
      </c>
      <c r="B151" s="23">
        <v>1</v>
      </c>
      <c r="C151" s="23">
        <v>28.4</v>
      </c>
      <c r="D151" s="23">
        <v>1</v>
      </c>
      <c r="E151" s="23">
        <v>0</v>
      </c>
      <c r="F151" s="23">
        <v>0</v>
      </c>
      <c r="G151" s="23">
        <v>0</v>
      </c>
      <c r="H151" s="23">
        <v>1</v>
      </c>
      <c r="I151" s="23">
        <v>0</v>
      </c>
      <c r="J151" s="23">
        <v>1842.519</v>
      </c>
      <c r="N151" s="23"/>
      <c r="O151" s="23"/>
      <c r="P151" s="23"/>
      <c r="Q151" s="23"/>
      <c r="R151" s="23"/>
      <c r="S151" s="23"/>
      <c r="T151" s="23"/>
      <c r="U151" s="23"/>
    </row>
    <row r="152" spans="1:21" x14ac:dyDescent="0.2">
      <c r="A152" s="23">
        <v>35</v>
      </c>
      <c r="B152" s="23">
        <v>1</v>
      </c>
      <c r="C152" s="23">
        <v>24.13</v>
      </c>
      <c r="D152" s="23">
        <v>1</v>
      </c>
      <c r="E152" s="23">
        <v>0</v>
      </c>
      <c r="F152" s="23">
        <v>0</v>
      </c>
      <c r="G152" s="23">
        <v>0</v>
      </c>
      <c r="H152" s="23">
        <v>0</v>
      </c>
      <c r="I152" s="23">
        <v>1</v>
      </c>
      <c r="J152" s="23">
        <v>5125.2156999999997</v>
      </c>
      <c r="N152" s="23"/>
      <c r="O152" s="23"/>
      <c r="P152" s="23"/>
      <c r="Q152" s="23"/>
      <c r="R152" s="23"/>
      <c r="S152" s="23"/>
      <c r="T152" s="23"/>
      <c r="U152" s="23"/>
    </row>
    <row r="153" spans="1:21" x14ac:dyDescent="0.2">
      <c r="A153" s="23">
        <v>48</v>
      </c>
      <c r="B153" s="23">
        <v>1</v>
      </c>
      <c r="C153" s="23">
        <v>29.7</v>
      </c>
      <c r="D153" s="23">
        <v>0</v>
      </c>
      <c r="E153" s="23">
        <v>0</v>
      </c>
      <c r="F153" s="23">
        <v>0</v>
      </c>
      <c r="G153" s="23">
        <v>1</v>
      </c>
      <c r="H153" s="23">
        <v>0</v>
      </c>
      <c r="I153" s="23">
        <v>0</v>
      </c>
      <c r="J153" s="23">
        <v>7789.6350000000002</v>
      </c>
      <c r="N153" s="23"/>
      <c r="O153" s="23"/>
      <c r="P153" s="23"/>
      <c r="Q153" s="23"/>
      <c r="R153" s="23"/>
      <c r="S153" s="23"/>
      <c r="T153" s="23"/>
      <c r="U153" s="23"/>
    </row>
    <row r="154" spans="1:21" x14ac:dyDescent="0.2">
      <c r="A154" s="23">
        <v>32</v>
      </c>
      <c r="B154" s="23">
        <v>0</v>
      </c>
      <c r="C154" s="23">
        <v>37.145000000000003</v>
      </c>
      <c r="D154" s="23">
        <v>3</v>
      </c>
      <c r="E154" s="23">
        <v>0</v>
      </c>
      <c r="F154" s="23">
        <v>1</v>
      </c>
      <c r="G154" s="23">
        <v>0</v>
      </c>
      <c r="H154" s="23">
        <v>0</v>
      </c>
      <c r="I154" s="23">
        <v>0</v>
      </c>
      <c r="J154" s="23">
        <v>6334.3435499999996</v>
      </c>
      <c r="N154" s="23"/>
      <c r="O154" s="23"/>
      <c r="P154" s="23"/>
      <c r="Q154" s="23"/>
      <c r="R154" s="23"/>
      <c r="S154" s="23"/>
      <c r="T154" s="23"/>
      <c r="U154" s="23"/>
    </row>
    <row r="155" spans="1:21" x14ac:dyDescent="0.2">
      <c r="A155" s="23">
        <v>42</v>
      </c>
      <c r="B155" s="23">
        <v>0</v>
      </c>
      <c r="C155" s="23">
        <v>23.37</v>
      </c>
      <c r="D155" s="23">
        <v>0</v>
      </c>
      <c r="E155" s="23">
        <v>1</v>
      </c>
      <c r="F155" s="23">
        <v>1</v>
      </c>
      <c r="G155" s="23">
        <v>0</v>
      </c>
      <c r="H155" s="23">
        <v>0</v>
      </c>
      <c r="I155" s="23">
        <v>0</v>
      </c>
      <c r="J155" s="23">
        <v>19964.746299999999</v>
      </c>
      <c r="N155" s="23"/>
      <c r="O155" s="23"/>
      <c r="P155" s="23"/>
      <c r="Q155" s="23"/>
      <c r="R155" s="23"/>
      <c r="S155" s="23"/>
      <c r="T155" s="23"/>
      <c r="U155" s="23"/>
    </row>
    <row r="156" spans="1:21" x14ac:dyDescent="0.2">
      <c r="A156" s="23">
        <v>40</v>
      </c>
      <c r="B156" s="23">
        <v>0</v>
      </c>
      <c r="C156" s="23">
        <v>25.46</v>
      </c>
      <c r="D156" s="23">
        <v>1</v>
      </c>
      <c r="E156" s="23">
        <v>0</v>
      </c>
      <c r="F156" s="23">
        <v>1</v>
      </c>
      <c r="G156" s="23">
        <v>0</v>
      </c>
      <c r="H156" s="23">
        <v>0</v>
      </c>
      <c r="I156" s="23">
        <v>0</v>
      </c>
      <c r="J156" s="23">
        <v>7077.1894000000002</v>
      </c>
      <c r="N156" s="23"/>
      <c r="O156" s="23"/>
      <c r="P156" s="23"/>
      <c r="Q156" s="23"/>
      <c r="R156" s="23"/>
      <c r="S156" s="23"/>
      <c r="T156" s="23"/>
      <c r="U156" s="23"/>
    </row>
    <row r="157" spans="1:21" x14ac:dyDescent="0.2">
      <c r="A157" s="23">
        <v>44</v>
      </c>
      <c r="B157" s="23">
        <v>1</v>
      </c>
      <c r="C157" s="23">
        <v>39.520000000000003</v>
      </c>
      <c r="D157" s="23">
        <v>0</v>
      </c>
      <c r="E157" s="23">
        <v>0</v>
      </c>
      <c r="F157" s="23">
        <v>0</v>
      </c>
      <c r="G157" s="23">
        <v>0</v>
      </c>
      <c r="H157" s="23">
        <v>0</v>
      </c>
      <c r="I157" s="23">
        <v>1</v>
      </c>
      <c r="J157" s="23">
        <v>6948.7007999999996</v>
      </c>
      <c r="N157" s="23"/>
      <c r="O157" s="23"/>
      <c r="P157" s="23"/>
      <c r="Q157" s="23"/>
      <c r="R157" s="23"/>
      <c r="S157" s="23"/>
      <c r="T157" s="23"/>
      <c r="U157" s="23"/>
    </row>
    <row r="158" spans="1:21" x14ac:dyDescent="0.2">
      <c r="A158" s="23">
        <v>48</v>
      </c>
      <c r="B158" s="23">
        <v>1</v>
      </c>
      <c r="C158" s="23">
        <v>24.42</v>
      </c>
      <c r="D158" s="23">
        <v>0</v>
      </c>
      <c r="E158" s="23">
        <v>1</v>
      </c>
      <c r="F158" s="23">
        <v>0</v>
      </c>
      <c r="G158" s="23">
        <v>1</v>
      </c>
      <c r="H158" s="23">
        <v>0</v>
      </c>
      <c r="I158" s="23">
        <v>0</v>
      </c>
      <c r="J158" s="23">
        <v>21223.675800000001</v>
      </c>
      <c r="N158" s="23"/>
      <c r="O158" s="23"/>
      <c r="P158" s="23"/>
      <c r="Q158" s="23"/>
      <c r="R158" s="23"/>
      <c r="S158" s="23"/>
      <c r="T158" s="23"/>
      <c r="U158" s="23"/>
    </row>
    <row r="159" spans="1:21" x14ac:dyDescent="0.2">
      <c r="A159" s="23">
        <v>18</v>
      </c>
      <c r="B159" s="23">
        <v>1</v>
      </c>
      <c r="C159" s="23">
        <v>25.175000000000001</v>
      </c>
      <c r="D159" s="23">
        <v>0</v>
      </c>
      <c r="E159" s="23">
        <v>1</v>
      </c>
      <c r="F159" s="23">
        <v>1</v>
      </c>
      <c r="G159" s="23">
        <v>0</v>
      </c>
      <c r="H159" s="23">
        <v>0</v>
      </c>
      <c r="I159" s="23">
        <v>0</v>
      </c>
      <c r="J159" s="23">
        <v>15518.180249999999</v>
      </c>
      <c r="N159" s="23"/>
      <c r="O159" s="23"/>
      <c r="P159" s="23"/>
      <c r="Q159" s="23"/>
      <c r="R159" s="23"/>
      <c r="S159" s="23"/>
      <c r="T159" s="23"/>
      <c r="U159" s="23"/>
    </row>
    <row r="160" spans="1:21" x14ac:dyDescent="0.2">
      <c r="A160" s="23">
        <v>30</v>
      </c>
      <c r="B160" s="23">
        <v>1</v>
      </c>
      <c r="C160" s="23">
        <v>35.53</v>
      </c>
      <c r="D160" s="23">
        <v>0</v>
      </c>
      <c r="E160" s="23">
        <v>1</v>
      </c>
      <c r="F160" s="23">
        <v>0</v>
      </c>
      <c r="G160" s="23">
        <v>1</v>
      </c>
      <c r="H160" s="23">
        <v>0</v>
      </c>
      <c r="I160" s="23">
        <v>0</v>
      </c>
      <c r="J160" s="23">
        <v>36950.256699999998</v>
      </c>
      <c r="N160" s="23"/>
      <c r="O160" s="23"/>
      <c r="P160" s="23"/>
      <c r="Q160" s="23"/>
      <c r="R160" s="23"/>
      <c r="S160" s="23"/>
      <c r="T160" s="23"/>
      <c r="U160" s="23"/>
    </row>
    <row r="161" spans="1:21" x14ac:dyDescent="0.2">
      <c r="A161" s="23">
        <v>50</v>
      </c>
      <c r="B161" s="23">
        <v>0</v>
      </c>
      <c r="C161" s="23">
        <v>27.83</v>
      </c>
      <c r="D161" s="23">
        <v>3</v>
      </c>
      <c r="E161" s="23">
        <v>0</v>
      </c>
      <c r="F161" s="23">
        <v>0</v>
      </c>
      <c r="G161" s="23">
        <v>1</v>
      </c>
      <c r="H161" s="23">
        <v>0</v>
      </c>
      <c r="I161" s="23">
        <v>0</v>
      </c>
      <c r="J161" s="23">
        <v>19749.383379999999</v>
      </c>
      <c r="N161" s="23"/>
      <c r="O161" s="23"/>
      <c r="P161" s="23"/>
      <c r="Q161" s="23"/>
      <c r="R161" s="23"/>
      <c r="S161" s="23"/>
      <c r="T161" s="23"/>
      <c r="U161" s="23"/>
    </row>
    <row r="162" spans="1:21" x14ac:dyDescent="0.2">
      <c r="A162" s="23">
        <v>42</v>
      </c>
      <c r="B162" s="23">
        <v>0</v>
      </c>
      <c r="C162" s="23">
        <v>26.6</v>
      </c>
      <c r="D162" s="23">
        <v>0</v>
      </c>
      <c r="E162" s="23">
        <v>1</v>
      </c>
      <c r="F162" s="23">
        <v>0</v>
      </c>
      <c r="G162" s="23">
        <v>0</v>
      </c>
      <c r="H162" s="23">
        <v>0</v>
      </c>
      <c r="I162" s="23">
        <v>1</v>
      </c>
      <c r="J162" s="23">
        <v>21348.705999999998</v>
      </c>
      <c r="N162" s="23"/>
      <c r="O162" s="23"/>
      <c r="P162" s="23"/>
      <c r="Q162" s="23"/>
      <c r="R162" s="23"/>
      <c r="S162" s="23"/>
      <c r="T162" s="23"/>
      <c r="U162" s="23"/>
    </row>
    <row r="163" spans="1:21" x14ac:dyDescent="0.2">
      <c r="A163" s="23">
        <v>18</v>
      </c>
      <c r="B163" s="23">
        <v>0</v>
      </c>
      <c r="C163" s="23">
        <v>36.85</v>
      </c>
      <c r="D163" s="23">
        <v>0</v>
      </c>
      <c r="E163" s="23">
        <v>1</v>
      </c>
      <c r="F163" s="23">
        <v>0</v>
      </c>
      <c r="G163" s="23">
        <v>1</v>
      </c>
      <c r="H163" s="23">
        <v>0</v>
      </c>
      <c r="I163" s="23">
        <v>0</v>
      </c>
      <c r="J163" s="23">
        <v>36149.483500000002</v>
      </c>
      <c r="N163" s="23"/>
      <c r="O163" s="23"/>
      <c r="P163" s="23"/>
      <c r="Q163" s="23"/>
      <c r="R163" s="23"/>
      <c r="S163" s="23"/>
      <c r="T163" s="23"/>
      <c r="U163" s="23"/>
    </row>
    <row r="164" spans="1:21" x14ac:dyDescent="0.2">
      <c r="A164" s="23">
        <v>54</v>
      </c>
      <c r="B164" s="23">
        <v>1</v>
      </c>
      <c r="C164" s="23">
        <v>39.6</v>
      </c>
      <c r="D164" s="23">
        <v>1</v>
      </c>
      <c r="E164" s="23">
        <v>0</v>
      </c>
      <c r="F164" s="23">
        <v>0</v>
      </c>
      <c r="G164" s="23">
        <v>0</v>
      </c>
      <c r="H164" s="23">
        <v>1</v>
      </c>
      <c r="I164" s="23">
        <v>0</v>
      </c>
      <c r="J164" s="23">
        <v>10450.552</v>
      </c>
      <c r="N164" s="23"/>
      <c r="O164" s="23"/>
      <c r="P164" s="23"/>
      <c r="Q164" s="23"/>
      <c r="R164" s="23"/>
      <c r="S164" s="23"/>
      <c r="T164" s="23"/>
      <c r="U164" s="23"/>
    </row>
    <row r="165" spans="1:21" x14ac:dyDescent="0.2">
      <c r="A165" s="23">
        <v>32</v>
      </c>
      <c r="B165" s="23">
        <v>0</v>
      </c>
      <c r="C165" s="23">
        <v>29.8</v>
      </c>
      <c r="D165" s="23">
        <v>2</v>
      </c>
      <c r="E165" s="23">
        <v>0</v>
      </c>
      <c r="F165" s="23">
        <v>0</v>
      </c>
      <c r="G165" s="23">
        <v>0</v>
      </c>
      <c r="H165" s="23">
        <v>1</v>
      </c>
      <c r="I165" s="23">
        <v>0</v>
      </c>
      <c r="J165" s="23">
        <v>5152.134</v>
      </c>
      <c r="N165" s="23"/>
      <c r="O165" s="23"/>
      <c r="P165" s="23"/>
      <c r="Q165" s="23"/>
      <c r="R165" s="23"/>
      <c r="S165" s="23"/>
      <c r="T165" s="23"/>
      <c r="U165" s="23"/>
    </row>
    <row r="166" spans="1:21" x14ac:dyDescent="0.2">
      <c r="A166" s="23">
        <v>37</v>
      </c>
      <c r="B166" s="23">
        <v>1</v>
      </c>
      <c r="C166" s="23">
        <v>29.64</v>
      </c>
      <c r="D166" s="23">
        <v>0</v>
      </c>
      <c r="E166" s="23">
        <v>0</v>
      </c>
      <c r="F166" s="23">
        <v>0</v>
      </c>
      <c r="G166" s="23">
        <v>0</v>
      </c>
      <c r="H166" s="23">
        <v>0</v>
      </c>
      <c r="I166" s="23">
        <v>1</v>
      </c>
      <c r="J166" s="23">
        <v>5028.1466</v>
      </c>
      <c r="N166" s="23"/>
      <c r="O166" s="23"/>
      <c r="P166" s="23"/>
      <c r="Q166" s="23"/>
      <c r="R166" s="23"/>
      <c r="S166" s="23"/>
      <c r="T166" s="23"/>
      <c r="U166" s="23"/>
    </row>
    <row r="167" spans="1:21" x14ac:dyDescent="0.2">
      <c r="A167" s="23">
        <v>47</v>
      </c>
      <c r="B167" s="23">
        <v>1</v>
      </c>
      <c r="C167" s="23">
        <v>28.215</v>
      </c>
      <c r="D167" s="23">
        <v>4</v>
      </c>
      <c r="E167" s="23">
        <v>0</v>
      </c>
      <c r="F167" s="23">
        <v>1</v>
      </c>
      <c r="G167" s="23">
        <v>0</v>
      </c>
      <c r="H167" s="23">
        <v>0</v>
      </c>
      <c r="I167" s="23">
        <v>0</v>
      </c>
      <c r="J167" s="23">
        <v>10407.085849999999</v>
      </c>
      <c r="N167" s="23"/>
      <c r="O167" s="23"/>
      <c r="P167" s="23"/>
      <c r="Q167" s="23"/>
      <c r="R167" s="23"/>
      <c r="S167" s="23"/>
      <c r="T167" s="23"/>
      <c r="U167" s="23"/>
    </row>
    <row r="168" spans="1:21" x14ac:dyDescent="0.2">
      <c r="A168" s="23">
        <v>20</v>
      </c>
      <c r="B168" s="23">
        <v>0</v>
      </c>
      <c r="C168" s="23">
        <v>37</v>
      </c>
      <c r="D168" s="23">
        <v>5</v>
      </c>
      <c r="E168" s="23">
        <v>0</v>
      </c>
      <c r="F168" s="23">
        <v>0</v>
      </c>
      <c r="G168" s="23">
        <v>0</v>
      </c>
      <c r="H168" s="23">
        <v>1</v>
      </c>
      <c r="I168" s="23">
        <v>0</v>
      </c>
      <c r="J168" s="23">
        <v>4830.63</v>
      </c>
      <c r="N168" s="23"/>
      <c r="O168" s="23"/>
      <c r="P168" s="23"/>
      <c r="Q168" s="23"/>
      <c r="R168" s="23"/>
      <c r="S168" s="23"/>
      <c r="T168" s="23"/>
      <c r="U168" s="23"/>
    </row>
    <row r="169" spans="1:21" x14ac:dyDescent="0.2">
      <c r="A169" s="23">
        <v>32</v>
      </c>
      <c r="B169" s="23">
        <v>0</v>
      </c>
      <c r="C169" s="23">
        <v>33.155000000000001</v>
      </c>
      <c r="D169" s="23">
        <v>3</v>
      </c>
      <c r="E169" s="23">
        <v>0</v>
      </c>
      <c r="F169" s="23">
        <v>0</v>
      </c>
      <c r="G169" s="23">
        <v>0</v>
      </c>
      <c r="H169" s="23">
        <v>0</v>
      </c>
      <c r="I169" s="23">
        <v>1</v>
      </c>
      <c r="J169" s="23">
        <v>6128.79745</v>
      </c>
      <c r="N169" s="23"/>
      <c r="O169" s="23"/>
      <c r="P169" s="23"/>
      <c r="Q169" s="23"/>
      <c r="R169" s="23"/>
      <c r="S169" s="23"/>
      <c r="T169" s="23"/>
      <c r="U169" s="23"/>
    </row>
    <row r="170" spans="1:21" x14ac:dyDescent="0.2">
      <c r="A170" s="23">
        <v>19</v>
      </c>
      <c r="B170" s="23">
        <v>0</v>
      </c>
      <c r="C170" s="23">
        <v>31.824999999999999</v>
      </c>
      <c r="D170" s="23">
        <v>1</v>
      </c>
      <c r="E170" s="23">
        <v>0</v>
      </c>
      <c r="F170" s="23">
        <v>0</v>
      </c>
      <c r="G170" s="23">
        <v>0</v>
      </c>
      <c r="H170" s="23">
        <v>0</v>
      </c>
      <c r="I170" s="23">
        <v>1</v>
      </c>
      <c r="J170" s="23">
        <v>2719.2797500000001</v>
      </c>
      <c r="N170" s="23"/>
      <c r="O170" s="23"/>
      <c r="P170" s="23"/>
      <c r="Q170" s="23"/>
      <c r="R170" s="23"/>
      <c r="S170" s="23"/>
      <c r="T170" s="23"/>
      <c r="U170" s="23"/>
    </row>
    <row r="171" spans="1:21" x14ac:dyDescent="0.2">
      <c r="A171" s="23">
        <v>27</v>
      </c>
      <c r="B171" s="23">
        <v>1</v>
      </c>
      <c r="C171" s="23">
        <v>18.905000000000001</v>
      </c>
      <c r="D171" s="23">
        <v>3</v>
      </c>
      <c r="E171" s="23">
        <v>0</v>
      </c>
      <c r="F171" s="23">
        <v>1</v>
      </c>
      <c r="G171" s="23">
        <v>0</v>
      </c>
      <c r="H171" s="23">
        <v>0</v>
      </c>
      <c r="I171" s="23">
        <v>0</v>
      </c>
      <c r="J171" s="23">
        <v>4827.9049500000001</v>
      </c>
      <c r="N171" s="23"/>
      <c r="O171" s="23"/>
      <c r="P171" s="23"/>
      <c r="Q171" s="23"/>
      <c r="R171" s="23"/>
      <c r="S171" s="23"/>
      <c r="T171" s="23"/>
      <c r="U171" s="23"/>
    </row>
    <row r="172" spans="1:21" x14ac:dyDescent="0.2">
      <c r="A172" s="23">
        <v>63</v>
      </c>
      <c r="B172" s="23">
        <v>1</v>
      </c>
      <c r="C172" s="23">
        <v>41.47</v>
      </c>
      <c r="D172" s="23">
        <v>0</v>
      </c>
      <c r="E172" s="23">
        <v>0</v>
      </c>
      <c r="F172" s="23">
        <v>0</v>
      </c>
      <c r="G172" s="23">
        <v>1</v>
      </c>
      <c r="H172" s="23">
        <v>0</v>
      </c>
      <c r="I172" s="23">
        <v>0</v>
      </c>
      <c r="J172" s="23">
        <v>13405.390299999999</v>
      </c>
      <c r="N172" s="23"/>
      <c r="O172" s="23"/>
      <c r="P172" s="23"/>
      <c r="Q172" s="23"/>
      <c r="R172" s="23"/>
      <c r="S172" s="23"/>
      <c r="T172" s="23"/>
      <c r="U172" s="23"/>
    </row>
    <row r="173" spans="1:21" x14ac:dyDescent="0.2">
      <c r="A173" s="23">
        <v>49</v>
      </c>
      <c r="B173" s="23">
        <v>1</v>
      </c>
      <c r="C173" s="23">
        <v>30.3</v>
      </c>
      <c r="D173" s="23">
        <v>0</v>
      </c>
      <c r="E173" s="23">
        <v>0</v>
      </c>
      <c r="F173" s="23">
        <v>0</v>
      </c>
      <c r="G173" s="23">
        <v>0</v>
      </c>
      <c r="H173" s="23">
        <v>1</v>
      </c>
      <c r="I173" s="23">
        <v>0</v>
      </c>
      <c r="J173" s="23">
        <v>8116.68</v>
      </c>
      <c r="N173" s="23"/>
      <c r="O173" s="23"/>
      <c r="P173" s="23"/>
      <c r="Q173" s="23"/>
      <c r="R173" s="23"/>
      <c r="S173" s="23"/>
      <c r="T173" s="23"/>
      <c r="U173" s="23"/>
    </row>
    <row r="174" spans="1:21" x14ac:dyDescent="0.2">
      <c r="A174" s="23">
        <v>18</v>
      </c>
      <c r="B174" s="23">
        <v>1</v>
      </c>
      <c r="C174" s="23">
        <v>15.96</v>
      </c>
      <c r="D174" s="23">
        <v>0</v>
      </c>
      <c r="E174" s="23">
        <v>0</v>
      </c>
      <c r="F174" s="23">
        <v>1</v>
      </c>
      <c r="G174" s="23">
        <v>0</v>
      </c>
      <c r="H174" s="23">
        <v>0</v>
      </c>
      <c r="I174" s="23">
        <v>0</v>
      </c>
      <c r="J174" s="23">
        <v>1694.7963999999999</v>
      </c>
      <c r="N174" s="23"/>
      <c r="O174" s="23"/>
      <c r="P174" s="23"/>
      <c r="Q174" s="23"/>
      <c r="R174" s="23"/>
      <c r="S174" s="23"/>
      <c r="T174" s="23"/>
      <c r="U174" s="23"/>
    </row>
    <row r="175" spans="1:21" x14ac:dyDescent="0.2">
      <c r="A175" s="23">
        <v>35</v>
      </c>
      <c r="B175" s="23">
        <v>0</v>
      </c>
      <c r="C175" s="23">
        <v>34.799999999999997</v>
      </c>
      <c r="D175" s="23">
        <v>1</v>
      </c>
      <c r="E175" s="23">
        <v>0</v>
      </c>
      <c r="F175" s="23">
        <v>0</v>
      </c>
      <c r="G175" s="23">
        <v>0</v>
      </c>
      <c r="H175" s="23">
        <v>1</v>
      </c>
      <c r="I175" s="23">
        <v>0</v>
      </c>
      <c r="J175" s="23">
        <v>5246.0469999999996</v>
      </c>
      <c r="N175" s="23"/>
      <c r="O175" s="23"/>
      <c r="P175" s="23"/>
      <c r="Q175" s="23"/>
      <c r="R175" s="23"/>
      <c r="S175" s="23"/>
      <c r="T175" s="23"/>
      <c r="U175" s="23"/>
    </row>
    <row r="176" spans="1:21" x14ac:dyDescent="0.2">
      <c r="A176" s="23">
        <v>24</v>
      </c>
      <c r="B176" s="23">
        <v>0</v>
      </c>
      <c r="C176" s="23">
        <v>33.344999999999999</v>
      </c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3">
        <v>1</v>
      </c>
      <c r="J176" s="23">
        <v>2855.4375500000001</v>
      </c>
      <c r="N176" s="23"/>
      <c r="O176" s="23"/>
      <c r="P176" s="23"/>
      <c r="Q176" s="23"/>
      <c r="R176" s="23"/>
      <c r="S176" s="23"/>
      <c r="T176" s="23"/>
      <c r="U176" s="23"/>
    </row>
    <row r="177" spans="1:21" x14ac:dyDescent="0.2">
      <c r="A177" s="23">
        <v>63</v>
      </c>
      <c r="B177" s="23">
        <v>0</v>
      </c>
      <c r="C177" s="23">
        <v>37.700000000000003</v>
      </c>
      <c r="D177" s="23">
        <v>0</v>
      </c>
      <c r="E177" s="23">
        <v>1</v>
      </c>
      <c r="F177" s="23">
        <v>0</v>
      </c>
      <c r="G177" s="23">
        <v>0</v>
      </c>
      <c r="H177" s="23">
        <v>1</v>
      </c>
      <c r="I177" s="23">
        <v>0</v>
      </c>
      <c r="J177" s="23">
        <v>48824.45</v>
      </c>
      <c r="N177" s="23"/>
      <c r="O177" s="23"/>
      <c r="P177" s="23"/>
      <c r="Q177" s="23"/>
      <c r="R177" s="23"/>
      <c r="S177" s="23"/>
      <c r="T177" s="23"/>
      <c r="U177" s="23"/>
    </row>
    <row r="178" spans="1:21" x14ac:dyDescent="0.2">
      <c r="A178" s="23">
        <v>38</v>
      </c>
      <c r="B178" s="23">
        <v>1</v>
      </c>
      <c r="C178" s="23">
        <v>27.835000000000001</v>
      </c>
      <c r="D178" s="23">
        <v>2</v>
      </c>
      <c r="E178" s="23">
        <v>0</v>
      </c>
      <c r="F178" s="23">
        <v>0</v>
      </c>
      <c r="G178" s="23">
        <v>0</v>
      </c>
      <c r="H178" s="23">
        <v>0</v>
      </c>
      <c r="I178" s="23">
        <v>1</v>
      </c>
      <c r="J178" s="23">
        <v>6455.86265</v>
      </c>
      <c r="N178" s="23"/>
      <c r="O178" s="23"/>
      <c r="P178" s="23"/>
      <c r="Q178" s="23"/>
      <c r="R178" s="23"/>
      <c r="S178" s="23"/>
      <c r="T178" s="23"/>
      <c r="U178" s="23"/>
    </row>
    <row r="179" spans="1:21" x14ac:dyDescent="0.2">
      <c r="A179" s="23">
        <v>54</v>
      </c>
      <c r="B179" s="23">
        <v>1</v>
      </c>
      <c r="C179" s="23">
        <v>29.2</v>
      </c>
      <c r="D179" s="23">
        <v>1</v>
      </c>
      <c r="E179" s="23">
        <v>0</v>
      </c>
      <c r="F179" s="23">
        <v>0</v>
      </c>
      <c r="G179" s="23">
        <v>0</v>
      </c>
      <c r="H179" s="23">
        <v>1</v>
      </c>
      <c r="I179" s="23">
        <v>0</v>
      </c>
      <c r="J179" s="23">
        <v>10436.096</v>
      </c>
      <c r="N179" s="23"/>
      <c r="O179" s="23"/>
      <c r="P179" s="23"/>
      <c r="Q179" s="23"/>
      <c r="R179" s="23"/>
      <c r="S179" s="23"/>
      <c r="T179" s="23"/>
      <c r="U179" s="23"/>
    </row>
    <row r="180" spans="1:21" x14ac:dyDescent="0.2">
      <c r="A180" s="23">
        <v>46</v>
      </c>
      <c r="B180" s="23">
        <v>0</v>
      </c>
      <c r="C180" s="23">
        <v>28.9</v>
      </c>
      <c r="D180" s="23">
        <v>2</v>
      </c>
      <c r="E180" s="23">
        <v>0</v>
      </c>
      <c r="F180" s="23">
        <v>0</v>
      </c>
      <c r="G180" s="23">
        <v>0</v>
      </c>
      <c r="H180" s="23">
        <v>1</v>
      </c>
      <c r="I180" s="23">
        <v>0</v>
      </c>
      <c r="J180" s="23">
        <v>8823.2790000000005</v>
      </c>
      <c r="N180" s="23"/>
      <c r="O180" s="23"/>
      <c r="P180" s="23"/>
      <c r="Q180" s="23"/>
      <c r="R180" s="23"/>
      <c r="S180" s="23"/>
      <c r="T180" s="23"/>
      <c r="U180" s="23"/>
    </row>
    <row r="181" spans="1:21" x14ac:dyDescent="0.2">
      <c r="A181" s="23">
        <v>41</v>
      </c>
      <c r="B181" s="23">
        <v>0</v>
      </c>
      <c r="C181" s="23">
        <v>33.155000000000001</v>
      </c>
      <c r="D181" s="23">
        <v>3</v>
      </c>
      <c r="E181" s="23">
        <v>0</v>
      </c>
      <c r="F181" s="23">
        <v>1</v>
      </c>
      <c r="G181" s="23">
        <v>0</v>
      </c>
      <c r="H181" s="23">
        <v>0</v>
      </c>
      <c r="I181" s="23">
        <v>0</v>
      </c>
      <c r="J181" s="23">
        <v>8538.28845</v>
      </c>
      <c r="N181" s="23"/>
      <c r="O181" s="23"/>
      <c r="P181" s="23"/>
      <c r="Q181" s="23"/>
      <c r="R181" s="23"/>
      <c r="S181" s="23"/>
      <c r="T181" s="23"/>
      <c r="U181" s="23"/>
    </row>
    <row r="182" spans="1:21" x14ac:dyDescent="0.2">
      <c r="A182" s="23">
        <v>58</v>
      </c>
      <c r="B182" s="23">
        <v>1</v>
      </c>
      <c r="C182" s="23">
        <v>28.594999999999999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1</v>
      </c>
      <c r="J182" s="23">
        <v>11735.87905</v>
      </c>
      <c r="N182" s="23"/>
      <c r="O182" s="23"/>
      <c r="P182" s="23"/>
      <c r="Q182" s="23"/>
      <c r="R182" s="23"/>
      <c r="S182" s="23"/>
      <c r="T182" s="23"/>
      <c r="U182" s="23"/>
    </row>
    <row r="183" spans="1:21" x14ac:dyDescent="0.2">
      <c r="A183" s="23">
        <v>18</v>
      </c>
      <c r="B183" s="23">
        <v>0</v>
      </c>
      <c r="C183" s="23">
        <v>38.28</v>
      </c>
      <c r="D183" s="23">
        <v>0</v>
      </c>
      <c r="E183" s="23">
        <v>0</v>
      </c>
      <c r="F183" s="23">
        <v>0</v>
      </c>
      <c r="G183" s="23">
        <v>1</v>
      </c>
      <c r="H183" s="23">
        <v>0</v>
      </c>
      <c r="I183" s="23">
        <v>0</v>
      </c>
      <c r="J183" s="23">
        <v>1631.8212000000001</v>
      </c>
      <c r="N183" s="23"/>
      <c r="O183" s="23"/>
      <c r="P183" s="23"/>
      <c r="Q183" s="23"/>
      <c r="R183" s="23"/>
      <c r="S183" s="23"/>
      <c r="T183" s="23"/>
      <c r="U183" s="23"/>
    </row>
    <row r="184" spans="1:21" x14ac:dyDescent="0.2">
      <c r="A184" s="23">
        <v>22</v>
      </c>
      <c r="B184" s="23">
        <v>1</v>
      </c>
      <c r="C184" s="23">
        <v>19.95</v>
      </c>
      <c r="D184" s="23">
        <v>3</v>
      </c>
      <c r="E184" s="23">
        <v>0</v>
      </c>
      <c r="F184" s="23">
        <v>1</v>
      </c>
      <c r="G184" s="23">
        <v>0</v>
      </c>
      <c r="H184" s="23">
        <v>0</v>
      </c>
      <c r="I184" s="23">
        <v>0</v>
      </c>
      <c r="J184" s="23">
        <v>4005.4225000000001</v>
      </c>
      <c r="N184" s="23"/>
      <c r="O184" s="23"/>
      <c r="P184" s="23"/>
      <c r="Q184" s="23"/>
      <c r="R184" s="23"/>
      <c r="S184" s="23"/>
      <c r="T184" s="23"/>
      <c r="U184" s="23"/>
    </row>
    <row r="185" spans="1:21" x14ac:dyDescent="0.2">
      <c r="A185" s="23">
        <v>44</v>
      </c>
      <c r="B185" s="23">
        <v>0</v>
      </c>
      <c r="C185" s="23">
        <v>26.41</v>
      </c>
      <c r="D185" s="23">
        <v>0</v>
      </c>
      <c r="E185" s="23">
        <v>0</v>
      </c>
      <c r="F185" s="23">
        <v>0</v>
      </c>
      <c r="G185" s="23">
        <v>0</v>
      </c>
      <c r="H185" s="23">
        <v>0</v>
      </c>
      <c r="I185" s="23">
        <v>1</v>
      </c>
      <c r="J185" s="23">
        <v>7419.4778999999999</v>
      </c>
      <c r="N185" s="23"/>
      <c r="O185" s="23"/>
      <c r="P185" s="23"/>
      <c r="Q185" s="23"/>
      <c r="R185" s="23"/>
      <c r="S185" s="23"/>
      <c r="T185" s="23"/>
      <c r="U185" s="23"/>
    </row>
    <row r="186" spans="1:21" x14ac:dyDescent="0.2">
      <c r="A186" s="23">
        <v>44</v>
      </c>
      <c r="B186" s="23">
        <v>1</v>
      </c>
      <c r="C186" s="23">
        <v>30.69</v>
      </c>
      <c r="D186" s="23">
        <v>2</v>
      </c>
      <c r="E186" s="23">
        <v>0</v>
      </c>
      <c r="F186" s="23">
        <v>0</v>
      </c>
      <c r="G186" s="23">
        <v>1</v>
      </c>
      <c r="H186" s="23">
        <v>0</v>
      </c>
      <c r="I186" s="23">
        <v>0</v>
      </c>
      <c r="J186" s="23">
        <v>7731.4270999999999</v>
      </c>
      <c r="N186" s="23"/>
      <c r="O186" s="23"/>
      <c r="P186" s="23"/>
      <c r="Q186" s="23"/>
      <c r="R186" s="23"/>
      <c r="S186" s="23"/>
      <c r="T186" s="23"/>
      <c r="U186" s="23"/>
    </row>
    <row r="187" spans="1:21" x14ac:dyDescent="0.2">
      <c r="A187" s="23">
        <v>36</v>
      </c>
      <c r="B187" s="23">
        <v>1</v>
      </c>
      <c r="C187" s="23">
        <v>41.895000000000003</v>
      </c>
      <c r="D187" s="23">
        <v>3</v>
      </c>
      <c r="E187" s="23">
        <v>1</v>
      </c>
      <c r="F187" s="23">
        <v>1</v>
      </c>
      <c r="G187" s="23">
        <v>0</v>
      </c>
      <c r="H187" s="23">
        <v>0</v>
      </c>
      <c r="I187" s="23">
        <v>0</v>
      </c>
      <c r="J187" s="23">
        <v>43753.337050000002</v>
      </c>
      <c r="N187" s="23"/>
      <c r="O187" s="23"/>
      <c r="P187" s="23"/>
      <c r="Q187" s="23"/>
      <c r="R187" s="23"/>
      <c r="S187" s="23"/>
      <c r="T187" s="23"/>
      <c r="U187" s="23"/>
    </row>
    <row r="188" spans="1:21" x14ac:dyDescent="0.2">
      <c r="A188" s="23">
        <v>26</v>
      </c>
      <c r="B188" s="23">
        <v>0</v>
      </c>
      <c r="C188" s="23">
        <v>29.92</v>
      </c>
      <c r="D188" s="23">
        <v>2</v>
      </c>
      <c r="E188" s="23">
        <v>0</v>
      </c>
      <c r="F188" s="23">
        <v>0</v>
      </c>
      <c r="G188" s="23">
        <v>1</v>
      </c>
      <c r="H188" s="23">
        <v>0</v>
      </c>
      <c r="I188" s="23">
        <v>0</v>
      </c>
      <c r="J188" s="23">
        <v>3981.9767999999999</v>
      </c>
      <c r="N188" s="23"/>
      <c r="O188" s="23"/>
      <c r="P188" s="23"/>
      <c r="Q188" s="23"/>
      <c r="R188" s="23"/>
      <c r="S188" s="23"/>
      <c r="T188" s="23"/>
      <c r="U188" s="23"/>
    </row>
    <row r="189" spans="1:21" x14ac:dyDescent="0.2">
      <c r="A189" s="23">
        <v>30</v>
      </c>
      <c r="B189" s="23">
        <v>0</v>
      </c>
      <c r="C189" s="23">
        <v>30.9</v>
      </c>
      <c r="D189" s="23">
        <v>3</v>
      </c>
      <c r="E189" s="23">
        <v>0</v>
      </c>
      <c r="F189" s="23">
        <v>0</v>
      </c>
      <c r="G189" s="23">
        <v>0</v>
      </c>
      <c r="H189" s="23">
        <v>1</v>
      </c>
      <c r="I189" s="23">
        <v>0</v>
      </c>
      <c r="J189" s="23">
        <v>5325.6509999999998</v>
      </c>
      <c r="N189" s="23"/>
      <c r="O189" s="23"/>
      <c r="P189" s="23"/>
      <c r="Q189" s="23"/>
      <c r="R189" s="23"/>
      <c r="S189" s="23"/>
      <c r="T189" s="23"/>
      <c r="U189" s="23"/>
    </row>
    <row r="190" spans="1:21" x14ac:dyDescent="0.2">
      <c r="A190" s="23">
        <v>41</v>
      </c>
      <c r="B190" s="23">
        <v>0</v>
      </c>
      <c r="C190" s="23">
        <v>32.200000000000003</v>
      </c>
      <c r="D190" s="23">
        <v>1</v>
      </c>
      <c r="E190" s="23">
        <v>0</v>
      </c>
      <c r="F190" s="23">
        <v>0</v>
      </c>
      <c r="G190" s="23">
        <v>0</v>
      </c>
      <c r="H190" s="23">
        <v>1</v>
      </c>
      <c r="I190" s="23">
        <v>0</v>
      </c>
      <c r="J190" s="23">
        <v>6775.9610000000002</v>
      </c>
      <c r="N190" s="23"/>
      <c r="O190" s="23"/>
      <c r="P190" s="23"/>
      <c r="Q190" s="23"/>
      <c r="R190" s="23"/>
      <c r="S190" s="23"/>
      <c r="T190" s="23"/>
      <c r="U190" s="23"/>
    </row>
    <row r="191" spans="1:21" x14ac:dyDescent="0.2">
      <c r="A191" s="23">
        <v>29</v>
      </c>
      <c r="B191" s="23">
        <v>0</v>
      </c>
      <c r="C191" s="23">
        <v>32.11</v>
      </c>
      <c r="D191" s="23">
        <v>2</v>
      </c>
      <c r="E191" s="23">
        <v>0</v>
      </c>
      <c r="F191" s="23">
        <v>0</v>
      </c>
      <c r="G191" s="23">
        <v>0</v>
      </c>
      <c r="H191" s="23">
        <v>0</v>
      </c>
      <c r="I191" s="23">
        <v>1</v>
      </c>
      <c r="J191" s="23">
        <v>4922.9159</v>
      </c>
      <c r="N191" s="23"/>
      <c r="O191" s="23"/>
      <c r="P191" s="23"/>
      <c r="Q191" s="23"/>
      <c r="R191" s="23"/>
      <c r="S191" s="23"/>
      <c r="T191" s="23"/>
      <c r="U191" s="23"/>
    </row>
    <row r="192" spans="1:21" x14ac:dyDescent="0.2">
      <c r="A192" s="23">
        <v>61</v>
      </c>
      <c r="B192" s="23">
        <v>1</v>
      </c>
      <c r="C192" s="23">
        <v>31.57</v>
      </c>
      <c r="D192" s="23">
        <v>0</v>
      </c>
      <c r="E192" s="23">
        <v>0</v>
      </c>
      <c r="F192" s="23">
        <v>0</v>
      </c>
      <c r="G192" s="23">
        <v>1</v>
      </c>
      <c r="H192" s="23">
        <v>0</v>
      </c>
      <c r="I192" s="23">
        <v>0</v>
      </c>
      <c r="J192" s="23">
        <v>12557.605299999999</v>
      </c>
      <c r="N192" s="23"/>
      <c r="O192" s="23"/>
      <c r="P192" s="23"/>
      <c r="Q192" s="23"/>
      <c r="R192" s="23"/>
      <c r="S192" s="23"/>
      <c r="T192" s="23"/>
      <c r="U192" s="23"/>
    </row>
    <row r="193" spans="1:21" x14ac:dyDescent="0.2">
      <c r="A193" s="23">
        <v>36</v>
      </c>
      <c r="B193" s="23">
        <v>0</v>
      </c>
      <c r="C193" s="23">
        <v>26.2</v>
      </c>
      <c r="D193" s="23">
        <v>0</v>
      </c>
      <c r="E193" s="23">
        <v>0</v>
      </c>
      <c r="F193" s="23">
        <v>0</v>
      </c>
      <c r="G193" s="23">
        <v>0</v>
      </c>
      <c r="H193" s="23">
        <v>1</v>
      </c>
      <c r="I193" s="23">
        <v>0</v>
      </c>
      <c r="J193" s="23">
        <v>4883.866</v>
      </c>
      <c r="N193" s="23"/>
      <c r="O193" s="23"/>
      <c r="P193" s="23"/>
      <c r="Q193" s="23"/>
      <c r="R193" s="23"/>
      <c r="S193" s="23"/>
      <c r="T193" s="23"/>
      <c r="U193" s="23"/>
    </row>
    <row r="194" spans="1:21" x14ac:dyDescent="0.2">
      <c r="A194" s="23">
        <v>25</v>
      </c>
      <c r="B194" s="23">
        <v>1</v>
      </c>
      <c r="C194" s="23">
        <v>25.74</v>
      </c>
      <c r="D194" s="23">
        <v>0</v>
      </c>
      <c r="E194" s="23">
        <v>0</v>
      </c>
      <c r="F194" s="23">
        <v>0</v>
      </c>
      <c r="G194" s="23">
        <v>1</v>
      </c>
      <c r="H194" s="23">
        <v>0</v>
      </c>
      <c r="I194" s="23">
        <v>0</v>
      </c>
      <c r="J194" s="23">
        <v>2137.6536000000001</v>
      </c>
      <c r="N194" s="23"/>
      <c r="O194" s="23"/>
      <c r="P194" s="23"/>
      <c r="Q194" s="23"/>
      <c r="R194" s="23"/>
      <c r="S194" s="23"/>
      <c r="T194" s="23"/>
      <c r="U194" s="23"/>
    </row>
    <row r="195" spans="1:21" x14ac:dyDescent="0.2">
      <c r="A195" s="23">
        <v>56</v>
      </c>
      <c r="B195" s="23">
        <v>0</v>
      </c>
      <c r="C195" s="23">
        <v>26.6</v>
      </c>
      <c r="D195" s="23">
        <v>1</v>
      </c>
      <c r="E195" s="23">
        <v>0</v>
      </c>
      <c r="F195" s="23">
        <v>0</v>
      </c>
      <c r="G195" s="23">
        <v>0</v>
      </c>
      <c r="H195" s="23">
        <v>0</v>
      </c>
      <c r="I195" s="23">
        <v>1</v>
      </c>
      <c r="J195" s="23">
        <v>12044.342000000001</v>
      </c>
      <c r="N195" s="23"/>
      <c r="O195" s="23"/>
      <c r="P195" s="23"/>
      <c r="Q195" s="23"/>
      <c r="R195" s="23"/>
      <c r="S195" s="23"/>
      <c r="T195" s="23"/>
      <c r="U195" s="23"/>
    </row>
    <row r="196" spans="1:21" x14ac:dyDescent="0.2">
      <c r="A196" s="23">
        <v>18</v>
      </c>
      <c r="B196" s="23">
        <v>1</v>
      </c>
      <c r="C196" s="23">
        <v>34.43</v>
      </c>
      <c r="D196" s="23">
        <v>0</v>
      </c>
      <c r="E196" s="23">
        <v>0</v>
      </c>
      <c r="F196" s="23">
        <v>0</v>
      </c>
      <c r="G196" s="23">
        <v>1</v>
      </c>
      <c r="H196" s="23">
        <v>0</v>
      </c>
      <c r="I196" s="23">
        <v>0</v>
      </c>
      <c r="J196" s="23">
        <v>1137.4697000000001</v>
      </c>
      <c r="N196" s="23"/>
      <c r="O196" s="23"/>
      <c r="P196" s="23"/>
      <c r="Q196" s="23"/>
      <c r="R196" s="23"/>
      <c r="S196" s="23"/>
      <c r="T196" s="23"/>
      <c r="U196" s="23"/>
    </row>
    <row r="197" spans="1:21" x14ac:dyDescent="0.2">
      <c r="A197" s="23">
        <v>19</v>
      </c>
      <c r="B197" s="23">
        <v>1</v>
      </c>
      <c r="C197" s="23">
        <v>30.59</v>
      </c>
      <c r="D197" s="23">
        <v>0</v>
      </c>
      <c r="E197" s="23">
        <v>0</v>
      </c>
      <c r="F197" s="23">
        <v>0</v>
      </c>
      <c r="G197" s="23">
        <v>0</v>
      </c>
      <c r="H197" s="23">
        <v>0</v>
      </c>
      <c r="I197" s="23">
        <v>1</v>
      </c>
      <c r="J197" s="23">
        <v>1639.5631000000001</v>
      </c>
      <c r="N197" s="23"/>
      <c r="O197" s="23"/>
      <c r="P197" s="23"/>
      <c r="Q197" s="23"/>
      <c r="R197" s="23"/>
      <c r="S197" s="23"/>
      <c r="T197" s="23"/>
      <c r="U197" s="23"/>
    </row>
    <row r="198" spans="1:21" x14ac:dyDescent="0.2">
      <c r="A198" s="23">
        <v>39</v>
      </c>
      <c r="B198" s="23">
        <v>0</v>
      </c>
      <c r="C198" s="23">
        <v>32.799999999999997</v>
      </c>
      <c r="D198" s="23">
        <v>0</v>
      </c>
      <c r="E198" s="23">
        <v>0</v>
      </c>
      <c r="F198" s="23">
        <v>0</v>
      </c>
      <c r="G198" s="23">
        <v>0</v>
      </c>
      <c r="H198" s="23">
        <v>1</v>
      </c>
      <c r="I198" s="23">
        <v>0</v>
      </c>
      <c r="J198" s="23">
        <v>5649.7150000000001</v>
      </c>
      <c r="N198" s="23"/>
      <c r="O198" s="23"/>
      <c r="P198" s="23"/>
      <c r="Q198" s="23"/>
      <c r="R198" s="23"/>
      <c r="S198" s="23"/>
      <c r="T198" s="23"/>
      <c r="U198" s="23"/>
    </row>
    <row r="199" spans="1:21" x14ac:dyDescent="0.2">
      <c r="A199" s="23">
        <v>45</v>
      </c>
      <c r="B199" s="23">
        <v>0</v>
      </c>
      <c r="C199" s="23">
        <v>28.6</v>
      </c>
      <c r="D199" s="23">
        <v>2</v>
      </c>
      <c r="E199" s="23">
        <v>0</v>
      </c>
      <c r="F199" s="23">
        <v>0</v>
      </c>
      <c r="G199" s="23">
        <v>1</v>
      </c>
      <c r="H199" s="23">
        <v>0</v>
      </c>
      <c r="I199" s="23">
        <v>0</v>
      </c>
      <c r="J199" s="23">
        <v>8516.8289999999997</v>
      </c>
      <c r="N199" s="23"/>
      <c r="O199" s="23"/>
      <c r="P199" s="23"/>
      <c r="Q199" s="23"/>
      <c r="R199" s="23"/>
      <c r="S199" s="23"/>
      <c r="T199" s="23"/>
      <c r="U199" s="23"/>
    </row>
    <row r="200" spans="1:21" x14ac:dyDescent="0.2">
      <c r="A200" s="23">
        <v>51</v>
      </c>
      <c r="B200" s="23">
        <v>0</v>
      </c>
      <c r="C200" s="23">
        <v>18.05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1</v>
      </c>
      <c r="J200" s="23">
        <v>9644.2525000000005</v>
      </c>
      <c r="N200" s="23"/>
      <c r="O200" s="23"/>
      <c r="P200" s="23"/>
      <c r="Q200" s="23"/>
      <c r="R200" s="23"/>
      <c r="S200" s="23"/>
      <c r="T200" s="23"/>
      <c r="U200" s="23"/>
    </row>
    <row r="201" spans="1:21" x14ac:dyDescent="0.2">
      <c r="A201" s="23">
        <v>64</v>
      </c>
      <c r="B201" s="23">
        <v>0</v>
      </c>
      <c r="C201" s="23">
        <v>39.33</v>
      </c>
      <c r="D201" s="23">
        <v>0</v>
      </c>
      <c r="E201" s="23">
        <v>0</v>
      </c>
      <c r="F201" s="23">
        <v>1</v>
      </c>
      <c r="G201" s="23">
        <v>0</v>
      </c>
      <c r="H201" s="23">
        <v>0</v>
      </c>
      <c r="I201" s="23">
        <v>0</v>
      </c>
      <c r="J201" s="23">
        <v>14901.5167</v>
      </c>
      <c r="N201" s="23"/>
      <c r="O201" s="23"/>
      <c r="P201" s="23"/>
      <c r="Q201" s="23"/>
      <c r="R201" s="23"/>
      <c r="S201" s="23"/>
      <c r="T201" s="23"/>
      <c r="U201" s="23"/>
    </row>
    <row r="202" spans="1:21" x14ac:dyDescent="0.2">
      <c r="A202" s="23">
        <v>19</v>
      </c>
      <c r="B202" s="23">
        <v>0</v>
      </c>
      <c r="C202" s="23">
        <v>32.11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3">
        <v>1</v>
      </c>
      <c r="J202" s="23">
        <v>2130.6759000000002</v>
      </c>
      <c r="N202" s="23"/>
      <c r="O202" s="23"/>
      <c r="P202" s="23"/>
      <c r="Q202" s="23"/>
      <c r="R202" s="23"/>
      <c r="S202" s="23"/>
      <c r="T202" s="23"/>
      <c r="U202" s="23"/>
    </row>
    <row r="203" spans="1:21" x14ac:dyDescent="0.2">
      <c r="A203" s="23">
        <v>48</v>
      </c>
      <c r="B203" s="23">
        <v>0</v>
      </c>
      <c r="C203" s="23">
        <v>32.229999999999997</v>
      </c>
      <c r="D203" s="23">
        <v>1</v>
      </c>
      <c r="E203" s="23">
        <v>0</v>
      </c>
      <c r="F203" s="23">
        <v>0</v>
      </c>
      <c r="G203" s="23">
        <v>1</v>
      </c>
      <c r="H203" s="23">
        <v>0</v>
      </c>
      <c r="I203" s="23">
        <v>0</v>
      </c>
      <c r="J203" s="23">
        <v>8871.1517000000003</v>
      </c>
      <c r="N203" s="23"/>
      <c r="O203" s="23"/>
      <c r="P203" s="23"/>
      <c r="Q203" s="23"/>
      <c r="R203" s="23"/>
      <c r="S203" s="23"/>
      <c r="T203" s="23"/>
      <c r="U203" s="23"/>
    </row>
    <row r="204" spans="1:21" x14ac:dyDescent="0.2">
      <c r="A204" s="23">
        <v>60</v>
      </c>
      <c r="B204" s="23">
        <v>0</v>
      </c>
      <c r="C204" s="23">
        <v>24.035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1</v>
      </c>
      <c r="J204" s="23">
        <v>13012.20865</v>
      </c>
      <c r="N204" s="23"/>
      <c r="O204" s="23"/>
      <c r="P204" s="23"/>
      <c r="Q204" s="23"/>
      <c r="R204" s="23"/>
      <c r="S204" s="23"/>
      <c r="T204" s="23"/>
      <c r="U204" s="23"/>
    </row>
    <row r="205" spans="1:21" x14ac:dyDescent="0.2">
      <c r="A205" s="23">
        <v>27</v>
      </c>
      <c r="B205" s="23">
        <v>0</v>
      </c>
      <c r="C205" s="23">
        <v>36.08</v>
      </c>
      <c r="D205" s="23">
        <v>0</v>
      </c>
      <c r="E205" s="23">
        <v>1</v>
      </c>
      <c r="F205" s="23">
        <v>0</v>
      </c>
      <c r="G205" s="23">
        <v>1</v>
      </c>
      <c r="H205" s="23">
        <v>0</v>
      </c>
      <c r="I205" s="23">
        <v>0</v>
      </c>
      <c r="J205" s="23">
        <v>37133.898200000003</v>
      </c>
      <c r="N205" s="23"/>
      <c r="O205" s="23"/>
      <c r="P205" s="23"/>
      <c r="Q205" s="23"/>
      <c r="R205" s="23"/>
      <c r="S205" s="23"/>
      <c r="T205" s="23"/>
      <c r="U205" s="23"/>
    </row>
    <row r="206" spans="1:21" x14ac:dyDescent="0.2">
      <c r="A206" s="23">
        <v>46</v>
      </c>
      <c r="B206" s="23">
        <v>1</v>
      </c>
      <c r="C206" s="23">
        <v>22.3</v>
      </c>
      <c r="D206" s="23">
        <v>0</v>
      </c>
      <c r="E206" s="23">
        <v>0</v>
      </c>
      <c r="F206" s="23">
        <v>0</v>
      </c>
      <c r="G206" s="23">
        <v>0</v>
      </c>
      <c r="H206" s="23">
        <v>1</v>
      </c>
      <c r="I206" s="23">
        <v>0</v>
      </c>
      <c r="J206" s="23">
        <v>7147.1049999999996</v>
      </c>
      <c r="N206" s="23"/>
      <c r="O206" s="23"/>
      <c r="P206" s="23"/>
      <c r="Q206" s="23"/>
      <c r="R206" s="23"/>
      <c r="S206" s="23"/>
      <c r="T206" s="23"/>
      <c r="U206" s="23"/>
    </row>
    <row r="207" spans="1:21" x14ac:dyDescent="0.2">
      <c r="A207" s="23">
        <v>28</v>
      </c>
      <c r="B207" s="23">
        <v>0</v>
      </c>
      <c r="C207" s="23">
        <v>28.88</v>
      </c>
      <c r="D207" s="23">
        <v>1</v>
      </c>
      <c r="E207" s="23">
        <v>0</v>
      </c>
      <c r="F207" s="23">
        <v>1</v>
      </c>
      <c r="G207" s="23">
        <v>0</v>
      </c>
      <c r="H207" s="23">
        <v>0</v>
      </c>
      <c r="I207" s="23">
        <v>0</v>
      </c>
      <c r="J207" s="23">
        <v>4337.7352000000001</v>
      </c>
      <c r="N207" s="23"/>
      <c r="O207" s="23"/>
      <c r="P207" s="23"/>
      <c r="Q207" s="23"/>
      <c r="R207" s="23"/>
      <c r="S207" s="23"/>
      <c r="T207" s="23"/>
      <c r="U207" s="23"/>
    </row>
    <row r="208" spans="1:21" x14ac:dyDescent="0.2">
      <c r="A208" s="23">
        <v>59</v>
      </c>
      <c r="B208" s="23">
        <v>1</v>
      </c>
      <c r="C208" s="23">
        <v>26.4</v>
      </c>
      <c r="D208" s="23">
        <v>0</v>
      </c>
      <c r="E208" s="23">
        <v>0</v>
      </c>
      <c r="F208" s="23">
        <v>0</v>
      </c>
      <c r="G208" s="23">
        <v>1</v>
      </c>
      <c r="H208" s="23">
        <v>0</v>
      </c>
      <c r="I208" s="23">
        <v>0</v>
      </c>
      <c r="J208" s="23">
        <v>11743.299000000001</v>
      </c>
      <c r="N208" s="23"/>
      <c r="O208" s="23"/>
      <c r="P208" s="23"/>
      <c r="Q208" s="23"/>
      <c r="R208" s="23"/>
      <c r="S208" s="23"/>
      <c r="T208" s="23"/>
      <c r="U208" s="23"/>
    </row>
    <row r="209" spans="1:21" x14ac:dyDescent="0.2">
      <c r="A209" s="23">
        <v>35</v>
      </c>
      <c r="B209" s="23">
        <v>1</v>
      </c>
      <c r="C209" s="23">
        <v>27.74</v>
      </c>
      <c r="D209" s="23">
        <v>2</v>
      </c>
      <c r="E209" s="23">
        <v>1</v>
      </c>
      <c r="F209" s="23">
        <v>1</v>
      </c>
      <c r="G209" s="23">
        <v>0</v>
      </c>
      <c r="H209" s="23">
        <v>0</v>
      </c>
      <c r="I209" s="23">
        <v>0</v>
      </c>
      <c r="J209" s="23">
        <v>20984.0936</v>
      </c>
      <c r="N209" s="23"/>
      <c r="O209" s="23"/>
      <c r="P209" s="23"/>
      <c r="Q209" s="23"/>
      <c r="R209" s="23"/>
      <c r="S209" s="23"/>
      <c r="T209" s="23"/>
      <c r="U209" s="23"/>
    </row>
    <row r="210" spans="1:21" x14ac:dyDescent="0.2">
      <c r="A210" s="23">
        <v>63</v>
      </c>
      <c r="B210" s="23">
        <v>0</v>
      </c>
      <c r="C210" s="23">
        <v>31.8</v>
      </c>
      <c r="D210" s="23">
        <v>0</v>
      </c>
      <c r="E210" s="23">
        <v>0</v>
      </c>
      <c r="F210" s="23">
        <v>0</v>
      </c>
      <c r="G210" s="23">
        <v>0</v>
      </c>
      <c r="H210" s="23">
        <v>1</v>
      </c>
      <c r="I210" s="23">
        <v>0</v>
      </c>
      <c r="J210" s="23">
        <v>13880.949000000001</v>
      </c>
      <c r="N210" s="23"/>
      <c r="O210" s="23"/>
      <c r="P210" s="23"/>
      <c r="Q210" s="23"/>
      <c r="R210" s="23"/>
      <c r="S210" s="23"/>
      <c r="T210" s="23"/>
      <c r="U210" s="23"/>
    </row>
    <row r="211" spans="1:21" x14ac:dyDescent="0.2">
      <c r="A211" s="23">
        <v>40</v>
      </c>
      <c r="B211" s="23">
        <v>1</v>
      </c>
      <c r="C211" s="23">
        <v>41.23</v>
      </c>
      <c r="D211" s="23">
        <v>1</v>
      </c>
      <c r="E211" s="23">
        <v>0</v>
      </c>
      <c r="F211" s="23">
        <v>1</v>
      </c>
      <c r="G211" s="23">
        <v>0</v>
      </c>
      <c r="H211" s="23">
        <v>0</v>
      </c>
      <c r="I211" s="23">
        <v>0</v>
      </c>
      <c r="J211" s="23">
        <v>6610.1097</v>
      </c>
      <c r="N211" s="23"/>
      <c r="O211" s="23"/>
      <c r="P211" s="23"/>
      <c r="Q211" s="23"/>
      <c r="R211" s="23"/>
      <c r="S211" s="23"/>
      <c r="T211" s="23"/>
      <c r="U211" s="23"/>
    </row>
    <row r="212" spans="1:21" x14ac:dyDescent="0.2">
      <c r="A212" s="23">
        <v>20</v>
      </c>
      <c r="B212" s="23">
        <v>1</v>
      </c>
      <c r="C212" s="23">
        <v>33</v>
      </c>
      <c r="D212" s="23">
        <v>1</v>
      </c>
      <c r="E212" s="23">
        <v>0</v>
      </c>
      <c r="F212" s="23">
        <v>0</v>
      </c>
      <c r="G212" s="23">
        <v>0</v>
      </c>
      <c r="H212" s="23">
        <v>1</v>
      </c>
      <c r="I212" s="23">
        <v>0</v>
      </c>
      <c r="J212" s="23">
        <v>1980.07</v>
      </c>
      <c r="N212" s="23"/>
      <c r="O212" s="23"/>
      <c r="P212" s="23"/>
      <c r="Q212" s="23"/>
      <c r="R212" s="23"/>
      <c r="S212" s="23"/>
      <c r="T212" s="23"/>
      <c r="U212" s="23"/>
    </row>
    <row r="213" spans="1:21" x14ac:dyDescent="0.2">
      <c r="A213" s="23">
        <v>40</v>
      </c>
      <c r="B213" s="23">
        <v>1</v>
      </c>
      <c r="C213" s="23">
        <v>30.875</v>
      </c>
      <c r="D213" s="23">
        <v>4</v>
      </c>
      <c r="E213" s="23">
        <v>0</v>
      </c>
      <c r="F213" s="23">
        <v>0</v>
      </c>
      <c r="G213" s="23">
        <v>0</v>
      </c>
      <c r="H213" s="23">
        <v>0</v>
      </c>
      <c r="I213" s="23">
        <v>1</v>
      </c>
      <c r="J213" s="23">
        <v>8162.7162500000004</v>
      </c>
      <c r="N213" s="23"/>
      <c r="O213" s="23"/>
      <c r="P213" s="23"/>
      <c r="Q213" s="23"/>
      <c r="R213" s="23"/>
      <c r="S213" s="23"/>
      <c r="T213" s="23"/>
      <c r="U213" s="23"/>
    </row>
    <row r="214" spans="1:21" x14ac:dyDescent="0.2">
      <c r="A214" s="23">
        <v>24</v>
      </c>
      <c r="B214" s="23">
        <v>1</v>
      </c>
      <c r="C214" s="23">
        <v>28.5</v>
      </c>
      <c r="D214" s="23">
        <v>2</v>
      </c>
      <c r="E214" s="23">
        <v>0</v>
      </c>
      <c r="F214" s="23">
        <v>0</v>
      </c>
      <c r="G214" s="23">
        <v>0</v>
      </c>
      <c r="H214" s="23">
        <v>0</v>
      </c>
      <c r="I214" s="23">
        <v>1</v>
      </c>
      <c r="J214" s="23">
        <v>3537.703</v>
      </c>
      <c r="N214" s="23"/>
      <c r="O214" s="23"/>
      <c r="P214" s="23"/>
      <c r="Q214" s="23"/>
      <c r="R214" s="23"/>
      <c r="S214" s="23"/>
      <c r="T214" s="23"/>
      <c r="U214" s="23"/>
    </row>
    <row r="215" spans="1:21" x14ac:dyDescent="0.2">
      <c r="A215" s="23">
        <v>34</v>
      </c>
      <c r="B215" s="23">
        <v>0</v>
      </c>
      <c r="C215" s="23">
        <v>26.73</v>
      </c>
      <c r="D215" s="23">
        <v>1</v>
      </c>
      <c r="E215" s="23">
        <v>0</v>
      </c>
      <c r="F215" s="23">
        <v>0</v>
      </c>
      <c r="G215" s="23">
        <v>1</v>
      </c>
      <c r="H215" s="23">
        <v>0</v>
      </c>
      <c r="I215" s="23">
        <v>0</v>
      </c>
      <c r="J215" s="23">
        <v>5002.7826999999997</v>
      </c>
      <c r="N215" s="23"/>
      <c r="O215" s="23"/>
      <c r="P215" s="23"/>
      <c r="Q215" s="23"/>
      <c r="R215" s="23"/>
      <c r="S215" s="23"/>
      <c r="T215" s="23"/>
      <c r="U215" s="23"/>
    </row>
    <row r="216" spans="1:21" x14ac:dyDescent="0.2">
      <c r="A216" s="23">
        <v>45</v>
      </c>
      <c r="B216" s="23">
        <v>0</v>
      </c>
      <c r="C216" s="23">
        <v>30.9</v>
      </c>
      <c r="D216" s="23">
        <v>2</v>
      </c>
      <c r="E216" s="23">
        <v>0</v>
      </c>
      <c r="F216" s="23">
        <v>0</v>
      </c>
      <c r="G216" s="23">
        <v>0</v>
      </c>
      <c r="H216" s="23">
        <v>1</v>
      </c>
      <c r="I216" s="23">
        <v>0</v>
      </c>
      <c r="J216" s="23">
        <v>8520.0259999999998</v>
      </c>
      <c r="N216" s="23"/>
      <c r="O216" s="23"/>
      <c r="P216" s="23"/>
      <c r="Q216" s="23"/>
      <c r="R216" s="23"/>
      <c r="S216" s="23"/>
      <c r="T216" s="23"/>
      <c r="U216" s="23"/>
    </row>
    <row r="217" spans="1:21" x14ac:dyDescent="0.2">
      <c r="A217" s="23">
        <v>41</v>
      </c>
      <c r="B217" s="23">
        <v>0</v>
      </c>
      <c r="C217" s="23">
        <v>37.1</v>
      </c>
      <c r="D217" s="23">
        <v>2</v>
      </c>
      <c r="E217" s="23">
        <v>0</v>
      </c>
      <c r="F217" s="23">
        <v>0</v>
      </c>
      <c r="G217" s="23">
        <v>0</v>
      </c>
      <c r="H217" s="23">
        <v>1</v>
      </c>
      <c r="I217" s="23">
        <v>0</v>
      </c>
      <c r="J217" s="23">
        <v>7371.7719999999999</v>
      </c>
      <c r="N217" s="23"/>
      <c r="O217" s="23"/>
      <c r="P217" s="23"/>
      <c r="Q217" s="23"/>
      <c r="R217" s="23"/>
      <c r="S217" s="23"/>
      <c r="T217" s="23"/>
      <c r="U217" s="23"/>
    </row>
    <row r="218" spans="1:21" x14ac:dyDescent="0.2">
      <c r="A218" s="23">
        <v>53</v>
      </c>
      <c r="B218" s="23">
        <v>0</v>
      </c>
      <c r="C218" s="23">
        <v>26.6</v>
      </c>
      <c r="D218" s="23">
        <v>0</v>
      </c>
      <c r="E218" s="23">
        <v>0</v>
      </c>
      <c r="F218" s="23">
        <v>0</v>
      </c>
      <c r="G218" s="23">
        <v>0</v>
      </c>
      <c r="H218" s="23">
        <v>0</v>
      </c>
      <c r="I218" s="23">
        <v>1</v>
      </c>
      <c r="J218" s="23">
        <v>10355.641</v>
      </c>
      <c r="N218" s="23"/>
      <c r="O218" s="23"/>
      <c r="P218" s="23"/>
      <c r="Q218" s="23"/>
      <c r="R218" s="23"/>
      <c r="S218" s="23"/>
      <c r="T218" s="23"/>
      <c r="U218" s="23"/>
    </row>
    <row r="219" spans="1:21" x14ac:dyDescent="0.2">
      <c r="A219" s="23">
        <v>27</v>
      </c>
      <c r="B219" s="23">
        <v>1</v>
      </c>
      <c r="C219" s="23">
        <v>23.1</v>
      </c>
      <c r="D219" s="23">
        <v>0</v>
      </c>
      <c r="E219" s="23">
        <v>0</v>
      </c>
      <c r="F219" s="23">
        <v>0</v>
      </c>
      <c r="G219" s="23">
        <v>1</v>
      </c>
      <c r="H219" s="23">
        <v>0</v>
      </c>
      <c r="I219" s="23">
        <v>0</v>
      </c>
      <c r="J219" s="23">
        <v>2483.7359999999999</v>
      </c>
      <c r="N219" s="23"/>
      <c r="O219" s="23"/>
      <c r="P219" s="23"/>
      <c r="Q219" s="23"/>
      <c r="R219" s="23"/>
      <c r="S219" s="23"/>
      <c r="T219" s="23"/>
      <c r="U219" s="23"/>
    </row>
    <row r="220" spans="1:21" x14ac:dyDescent="0.2">
      <c r="A220" s="23">
        <v>26</v>
      </c>
      <c r="B220" s="23">
        <v>0</v>
      </c>
      <c r="C220" s="23">
        <v>29.92</v>
      </c>
      <c r="D220" s="23">
        <v>1</v>
      </c>
      <c r="E220" s="23">
        <v>0</v>
      </c>
      <c r="F220" s="23">
        <v>0</v>
      </c>
      <c r="G220" s="23">
        <v>1</v>
      </c>
      <c r="H220" s="23">
        <v>0</v>
      </c>
      <c r="I220" s="23">
        <v>0</v>
      </c>
      <c r="J220" s="23">
        <v>3392.9767999999999</v>
      </c>
      <c r="N220" s="23"/>
      <c r="O220" s="23"/>
      <c r="P220" s="23"/>
      <c r="Q220" s="23"/>
      <c r="R220" s="23"/>
      <c r="S220" s="23"/>
      <c r="T220" s="23"/>
      <c r="U220" s="23"/>
    </row>
    <row r="221" spans="1:21" x14ac:dyDescent="0.2">
      <c r="A221" s="23">
        <v>24</v>
      </c>
      <c r="B221" s="23">
        <v>0</v>
      </c>
      <c r="C221" s="23">
        <v>23.21</v>
      </c>
      <c r="D221" s="23">
        <v>0</v>
      </c>
      <c r="E221" s="23">
        <v>0</v>
      </c>
      <c r="F221" s="23">
        <v>0</v>
      </c>
      <c r="G221" s="23">
        <v>1</v>
      </c>
      <c r="H221" s="23">
        <v>0</v>
      </c>
      <c r="I221" s="23">
        <v>0</v>
      </c>
      <c r="J221" s="23">
        <v>25081.76784</v>
      </c>
      <c r="N221" s="23"/>
      <c r="O221" s="23"/>
      <c r="P221" s="23"/>
      <c r="Q221" s="23"/>
      <c r="R221" s="23"/>
      <c r="S221" s="23"/>
      <c r="T221" s="23"/>
      <c r="U221" s="23"/>
    </row>
    <row r="222" spans="1:21" x14ac:dyDescent="0.2">
      <c r="A222" s="23">
        <v>34</v>
      </c>
      <c r="B222" s="23">
        <v>0</v>
      </c>
      <c r="C222" s="23">
        <v>33.700000000000003</v>
      </c>
      <c r="D222" s="23">
        <v>1</v>
      </c>
      <c r="E222" s="23">
        <v>0</v>
      </c>
      <c r="F222" s="23">
        <v>0</v>
      </c>
      <c r="G222" s="23">
        <v>0</v>
      </c>
      <c r="H222" s="23">
        <v>1</v>
      </c>
      <c r="I222" s="23">
        <v>0</v>
      </c>
      <c r="J222" s="23">
        <v>5012.4709999999995</v>
      </c>
      <c r="N222" s="23"/>
      <c r="O222" s="23"/>
      <c r="P222" s="23"/>
      <c r="Q222" s="23"/>
      <c r="R222" s="23"/>
      <c r="S222" s="23"/>
      <c r="T222" s="23"/>
      <c r="U222" s="23"/>
    </row>
    <row r="223" spans="1:21" x14ac:dyDescent="0.2">
      <c r="A223" s="23">
        <v>53</v>
      </c>
      <c r="B223" s="23">
        <v>0</v>
      </c>
      <c r="C223" s="23">
        <v>33.25</v>
      </c>
      <c r="D223" s="23">
        <v>0</v>
      </c>
      <c r="E223" s="23">
        <v>0</v>
      </c>
      <c r="F223" s="23">
        <v>1</v>
      </c>
      <c r="G223" s="23">
        <v>0</v>
      </c>
      <c r="H223" s="23">
        <v>0</v>
      </c>
      <c r="I223" s="23">
        <v>0</v>
      </c>
      <c r="J223" s="23">
        <v>10564.8845</v>
      </c>
      <c r="N223" s="23"/>
      <c r="O223" s="23"/>
      <c r="P223" s="23"/>
      <c r="Q223" s="23"/>
      <c r="R223" s="23"/>
      <c r="S223" s="23"/>
      <c r="T223" s="23"/>
      <c r="U223" s="23"/>
    </row>
    <row r="224" spans="1:21" x14ac:dyDescent="0.2">
      <c r="A224" s="23">
        <v>32</v>
      </c>
      <c r="B224" s="23">
        <v>1</v>
      </c>
      <c r="C224" s="23">
        <v>30.8</v>
      </c>
      <c r="D224" s="23">
        <v>3</v>
      </c>
      <c r="E224" s="23">
        <v>0</v>
      </c>
      <c r="F224" s="23">
        <v>0</v>
      </c>
      <c r="G224" s="23">
        <v>0</v>
      </c>
      <c r="H224" s="23">
        <v>1</v>
      </c>
      <c r="I224" s="23">
        <v>0</v>
      </c>
      <c r="J224" s="23">
        <v>5253.5240000000003</v>
      </c>
      <c r="N224" s="23"/>
      <c r="O224" s="23"/>
      <c r="P224" s="23"/>
      <c r="Q224" s="23"/>
      <c r="R224" s="23"/>
      <c r="S224" s="23"/>
      <c r="T224" s="23"/>
      <c r="U224" s="23"/>
    </row>
    <row r="225" spans="1:21" x14ac:dyDescent="0.2">
      <c r="A225" s="23">
        <v>19</v>
      </c>
      <c r="B225" s="23">
        <v>1</v>
      </c>
      <c r="C225" s="23">
        <v>34.799999999999997</v>
      </c>
      <c r="D225" s="23">
        <v>0</v>
      </c>
      <c r="E225" s="23">
        <v>1</v>
      </c>
      <c r="F225" s="23">
        <v>0</v>
      </c>
      <c r="G225" s="23">
        <v>0</v>
      </c>
      <c r="H225" s="23">
        <v>1</v>
      </c>
      <c r="I225" s="23">
        <v>0</v>
      </c>
      <c r="J225" s="23">
        <v>34779.614999999998</v>
      </c>
      <c r="N225" s="23"/>
      <c r="O225" s="23"/>
      <c r="P225" s="23"/>
      <c r="Q225" s="23"/>
      <c r="R225" s="23"/>
      <c r="S225" s="23"/>
      <c r="T225" s="23"/>
      <c r="U225" s="23"/>
    </row>
    <row r="226" spans="1:21" x14ac:dyDescent="0.2">
      <c r="A226" s="23">
        <v>42</v>
      </c>
      <c r="B226" s="23">
        <v>1</v>
      </c>
      <c r="C226" s="23">
        <v>24.64</v>
      </c>
      <c r="D226" s="23">
        <v>0</v>
      </c>
      <c r="E226" s="23">
        <v>1</v>
      </c>
      <c r="F226" s="23">
        <v>0</v>
      </c>
      <c r="G226" s="23">
        <v>1</v>
      </c>
      <c r="H226" s="23">
        <v>0</v>
      </c>
      <c r="I226" s="23">
        <v>0</v>
      </c>
      <c r="J226" s="23">
        <v>19515.5416</v>
      </c>
      <c r="N226" s="23"/>
      <c r="O226" s="23"/>
      <c r="P226" s="23"/>
      <c r="Q226" s="23"/>
      <c r="R226" s="23"/>
      <c r="S226" s="23"/>
      <c r="T226" s="23"/>
      <c r="U226" s="23"/>
    </row>
    <row r="227" spans="1:21" x14ac:dyDescent="0.2">
      <c r="A227" s="23">
        <v>55</v>
      </c>
      <c r="B227" s="23">
        <v>1</v>
      </c>
      <c r="C227" s="23">
        <v>33.880000000000003</v>
      </c>
      <c r="D227" s="23">
        <v>3</v>
      </c>
      <c r="E227" s="23">
        <v>0</v>
      </c>
      <c r="F227" s="23">
        <v>0</v>
      </c>
      <c r="G227" s="23">
        <v>1</v>
      </c>
      <c r="H227" s="23">
        <v>0</v>
      </c>
      <c r="I227" s="23">
        <v>0</v>
      </c>
      <c r="J227" s="23">
        <v>11987.1682</v>
      </c>
      <c r="N227" s="23"/>
      <c r="O227" s="23"/>
      <c r="P227" s="23"/>
      <c r="Q227" s="23"/>
      <c r="R227" s="23"/>
      <c r="S227" s="23"/>
      <c r="T227" s="23"/>
      <c r="U227" s="23"/>
    </row>
    <row r="228" spans="1:21" x14ac:dyDescent="0.2">
      <c r="A228" s="23">
        <v>28</v>
      </c>
      <c r="B228" s="23">
        <v>1</v>
      </c>
      <c r="C228" s="23">
        <v>38.06</v>
      </c>
      <c r="D228" s="23">
        <v>0</v>
      </c>
      <c r="E228" s="23">
        <v>0</v>
      </c>
      <c r="F228" s="23">
        <v>0</v>
      </c>
      <c r="G228" s="23">
        <v>1</v>
      </c>
      <c r="H228" s="23">
        <v>0</v>
      </c>
      <c r="I228" s="23">
        <v>0</v>
      </c>
      <c r="J228" s="23">
        <v>2689.4953999999998</v>
      </c>
      <c r="N228" s="23"/>
      <c r="O228" s="23"/>
      <c r="P228" s="23"/>
      <c r="Q228" s="23"/>
      <c r="R228" s="23"/>
      <c r="S228" s="23"/>
      <c r="T228" s="23"/>
      <c r="U228" s="23"/>
    </row>
    <row r="229" spans="1:21" x14ac:dyDescent="0.2">
      <c r="A229" s="23">
        <v>58</v>
      </c>
      <c r="B229" s="23">
        <v>0</v>
      </c>
      <c r="C229" s="23">
        <v>41.91</v>
      </c>
      <c r="D229" s="23">
        <v>0</v>
      </c>
      <c r="E229" s="23">
        <v>0</v>
      </c>
      <c r="F229" s="23">
        <v>0</v>
      </c>
      <c r="G229" s="23">
        <v>1</v>
      </c>
      <c r="H229" s="23">
        <v>0</v>
      </c>
      <c r="I229" s="23">
        <v>0</v>
      </c>
      <c r="J229" s="23">
        <v>24227.337240000001</v>
      </c>
      <c r="N229" s="23"/>
      <c r="O229" s="23"/>
      <c r="P229" s="23"/>
      <c r="Q229" s="23"/>
      <c r="R229" s="23"/>
      <c r="S229" s="23"/>
      <c r="T229" s="23"/>
      <c r="U229" s="23"/>
    </row>
    <row r="230" spans="1:21" x14ac:dyDescent="0.2">
      <c r="A230" s="23">
        <v>41</v>
      </c>
      <c r="B230" s="23">
        <v>0</v>
      </c>
      <c r="C230" s="23">
        <v>31.635000000000002</v>
      </c>
      <c r="D230" s="23">
        <v>1</v>
      </c>
      <c r="E230" s="23">
        <v>0</v>
      </c>
      <c r="F230" s="23">
        <v>1</v>
      </c>
      <c r="G230" s="23">
        <v>0</v>
      </c>
      <c r="H230" s="23">
        <v>0</v>
      </c>
      <c r="I230" s="23">
        <v>0</v>
      </c>
      <c r="J230" s="23">
        <v>7358.1756500000001</v>
      </c>
      <c r="N230" s="23"/>
      <c r="O230" s="23"/>
      <c r="P230" s="23"/>
      <c r="Q230" s="23"/>
      <c r="R230" s="23"/>
      <c r="S230" s="23"/>
      <c r="T230" s="23"/>
      <c r="U230" s="23"/>
    </row>
    <row r="231" spans="1:21" x14ac:dyDescent="0.2">
      <c r="A231" s="23">
        <v>47</v>
      </c>
      <c r="B231" s="23">
        <v>1</v>
      </c>
      <c r="C231" s="23">
        <v>25.46</v>
      </c>
      <c r="D231" s="23">
        <v>2</v>
      </c>
      <c r="E231" s="23">
        <v>0</v>
      </c>
      <c r="F231" s="23">
        <v>1</v>
      </c>
      <c r="G231" s="23">
        <v>0</v>
      </c>
      <c r="H231" s="23">
        <v>0</v>
      </c>
      <c r="I231" s="23">
        <v>0</v>
      </c>
      <c r="J231" s="23">
        <v>9225.2564000000002</v>
      </c>
      <c r="N231" s="23"/>
      <c r="O231" s="23"/>
      <c r="P231" s="23"/>
      <c r="Q231" s="23"/>
      <c r="R231" s="23"/>
      <c r="S231" s="23"/>
      <c r="T231" s="23"/>
      <c r="U231" s="23"/>
    </row>
    <row r="232" spans="1:21" x14ac:dyDescent="0.2">
      <c r="A232" s="23">
        <v>42</v>
      </c>
      <c r="B232" s="23">
        <v>0</v>
      </c>
      <c r="C232" s="23">
        <v>36.195</v>
      </c>
      <c r="D232" s="23">
        <v>1</v>
      </c>
      <c r="E232" s="23">
        <v>0</v>
      </c>
      <c r="F232" s="23">
        <v>0</v>
      </c>
      <c r="G232" s="23">
        <v>0</v>
      </c>
      <c r="H232" s="23">
        <v>0</v>
      </c>
      <c r="I232" s="23">
        <v>1</v>
      </c>
      <c r="J232" s="23">
        <v>7443.6430499999997</v>
      </c>
      <c r="N232" s="23"/>
      <c r="O232" s="23"/>
      <c r="P232" s="23"/>
      <c r="Q232" s="23"/>
      <c r="R232" s="23"/>
      <c r="S232" s="23"/>
      <c r="T232" s="23"/>
      <c r="U232" s="23"/>
    </row>
    <row r="233" spans="1:21" x14ac:dyDescent="0.2">
      <c r="A233" s="23">
        <v>59</v>
      </c>
      <c r="B233" s="23">
        <v>0</v>
      </c>
      <c r="C233" s="23">
        <v>27.83</v>
      </c>
      <c r="D233" s="23">
        <v>3</v>
      </c>
      <c r="E233" s="23">
        <v>0</v>
      </c>
      <c r="F233" s="23">
        <v>0</v>
      </c>
      <c r="G233" s="23">
        <v>1</v>
      </c>
      <c r="H233" s="23">
        <v>0</v>
      </c>
      <c r="I233" s="23">
        <v>0</v>
      </c>
      <c r="J233" s="23">
        <v>14001.286700000001</v>
      </c>
      <c r="N233" s="23"/>
      <c r="O233" s="23"/>
      <c r="P233" s="23"/>
      <c r="Q233" s="23"/>
      <c r="R233" s="23"/>
      <c r="S233" s="23"/>
      <c r="T233" s="23"/>
      <c r="U233" s="23"/>
    </row>
    <row r="234" spans="1:21" x14ac:dyDescent="0.2">
      <c r="A234" s="23">
        <v>19</v>
      </c>
      <c r="B234" s="23">
        <v>0</v>
      </c>
      <c r="C234" s="23">
        <v>17.8</v>
      </c>
      <c r="D234" s="23">
        <v>0</v>
      </c>
      <c r="E234" s="23">
        <v>0</v>
      </c>
      <c r="F234" s="23">
        <v>0</v>
      </c>
      <c r="G234" s="23">
        <v>0</v>
      </c>
      <c r="H234" s="23">
        <v>1</v>
      </c>
      <c r="I234" s="23">
        <v>0</v>
      </c>
      <c r="J234" s="23">
        <v>1727.7850000000001</v>
      </c>
      <c r="N234" s="23"/>
      <c r="O234" s="23"/>
      <c r="P234" s="23"/>
      <c r="Q234" s="23"/>
      <c r="R234" s="23"/>
      <c r="S234" s="23"/>
      <c r="T234" s="23"/>
      <c r="U234" s="23"/>
    </row>
    <row r="235" spans="1:21" x14ac:dyDescent="0.2">
      <c r="A235" s="23">
        <v>59</v>
      </c>
      <c r="B235" s="23">
        <v>1</v>
      </c>
      <c r="C235" s="23">
        <v>27.5</v>
      </c>
      <c r="D235" s="23">
        <v>1</v>
      </c>
      <c r="E235" s="23">
        <v>0</v>
      </c>
      <c r="F235" s="23">
        <v>0</v>
      </c>
      <c r="G235" s="23">
        <v>0</v>
      </c>
      <c r="H235" s="23">
        <v>1</v>
      </c>
      <c r="I235" s="23">
        <v>0</v>
      </c>
      <c r="J235" s="23">
        <v>12333.828</v>
      </c>
      <c r="N235" s="23"/>
      <c r="O235" s="23"/>
      <c r="P235" s="23"/>
      <c r="Q235" s="23"/>
      <c r="R235" s="23"/>
      <c r="S235" s="23"/>
      <c r="T235" s="23"/>
      <c r="U235" s="23"/>
    </row>
    <row r="236" spans="1:21" x14ac:dyDescent="0.2">
      <c r="A236" s="23">
        <v>39</v>
      </c>
      <c r="B236" s="23">
        <v>1</v>
      </c>
      <c r="C236" s="23">
        <v>24.51</v>
      </c>
      <c r="D236" s="23">
        <v>2</v>
      </c>
      <c r="E236" s="23">
        <v>0</v>
      </c>
      <c r="F236" s="23">
        <v>0</v>
      </c>
      <c r="G236" s="23">
        <v>0</v>
      </c>
      <c r="H236" s="23">
        <v>0</v>
      </c>
      <c r="I236" s="23">
        <v>1</v>
      </c>
      <c r="J236" s="23">
        <v>6710.1918999999998</v>
      </c>
      <c r="N236" s="23"/>
      <c r="O236" s="23"/>
      <c r="P236" s="23"/>
      <c r="Q236" s="23"/>
      <c r="R236" s="23"/>
      <c r="S236" s="23"/>
      <c r="T236" s="23"/>
      <c r="U236" s="23"/>
    </row>
    <row r="237" spans="1:21" x14ac:dyDescent="0.2">
      <c r="A237" s="23">
        <v>40</v>
      </c>
      <c r="B237" s="23">
        <v>0</v>
      </c>
      <c r="C237" s="23">
        <v>22.22</v>
      </c>
      <c r="D237" s="23">
        <v>2</v>
      </c>
      <c r="E237" s="23">
        <v>1</v>
      </c>
      <c r="F237" s="23">
        <v>0</v>
      </c>
      <c r="G237" s="23">
        <v>1</v>
      </c>
      <c r="H237" s="23">
        <v>0</v>
      </c>
      <c r="I237" s="23">
        <v>0</v>
      </c>
      <c r="J237" s="23">
        <v>19444.265800000001</v>
      </c>
      <c r="N237" s="23"/>
      <c r="O237" s="23"/>
      <c r="P237" s="23"/>
      <c r="Q237" s="23"/>
      <c r="R237" s="23"/>
      <c r="S237" s="23"/>
      <c r="T237" s="23"/>
      <c r="U237" s="23"/>
    </row>
    <row r="238" spans="1:21" x14ac:dyDescent="0.2">
      <c r="A238" s="23">
        <v>18</v>
      </c>
      <c r="B238" s="23">
        <v>0</v>
      </c>
      <c r="C238" s="23">
        <v>26.73</v>
      </c>
      <c r="D238" s="23">
        <v>0</v>
      </c>
      <c r="E238" s="23">
        <v>0</v>
      </c>
      <c r="F238" s="23">
        <v>0</v>
      </c>
      <c r="G238" s="23">
        <v>1</v>
      </c>
      <c r="H238" s="23">
        <v>0</v>
      </c>
      <c r="I238" s="23">
        <v>0</v>
      </c>
      <c r="J238" s="23">
        <v>1615.7666999999999</v>
      </c>
      <c r="N238" s="23"/>
      <c r="O238" s="23"/>
      <c r="P238" s="23"/>
      <c r="Q238" s="23"/>
      <c r="R238" s="23"/>
      <c r="S238" s="23"/>
      <c r="T238" s="23"/>
      <c r="U238" s="23"/>
    </row>
    <row r="239" spans="1:21" x14ac:dyDescent="0.2">
      <c r="A239" s="23">
        <v>31</v>
      </c>
      <c r="B239" s="23">
        <v>1</v>
      </c>
      <c r="C239" s="23">
        <v>38.39</v>
      </c>
      <c r="D239" s="23">
        <v>2</v>
      </c>
      <c r="E239" s="23">
        <v>0</v>
      </c>
      <c r="F239" s="23">
        <v>0</v>
      </c>
      <c r="G239" s="23">
        <v>1</v>
      </c>
      <c r="H239" s="23">
        <v>0</v>
      </c>
      <c r="I239" s="23">
        <v>0</v>
      </c>
      <c r="J239" s="23">
        <v>4463.2051000000001</v>
      </c>
      <c r="N239" s="23"/>
      <c r="O239" s="23"/>
      <c r="P239" s="23"/>
      <c r="Q239" s="23"/>
      <c r="R239" s="23"/>
      <c r="S239" s="23"/>
      <c r="T239" s="23"/>
      <c r="U239" s="23"/>
    </row>
    <row r="240" spans="1:21" x14ac:dyDescent="0.2">
      <c r="A240" s="23">
        <v>19</v>
      </c>
      <c r="B240" s="23">
        <v>1</v>
      </c>
      <c r="C240" s="23">
        <v>29.07</v>
      </c>
      <c r="D240" s="23">
        <v>0</v>
      </c>
      <c r="E240" s="23">
        <v>1</v>
      </c>
      <c r="F240" s="23">
        <v>0</v>
      </c>
      <c r="G240" s="23">
        <v>0</v>
      </c>
      <c r="H240" s="23">
        <v>0</v>
      </c>
      <c r="I240" s="23">
        <v>1</v>
      </c>
      <c r="J240" s="23">
        <v>17352.6803</v>
      </c>
      <c r="N240" s="23"/>
      <c r="O240" s="23"/>
      <c r="P240" s="23"/>
      <c r="Q240" s="23"/>
      <c r="R240" s="23"/>
      <c r="S240" s="23"/>
      <c r="T240" s="23"/>
      <c r="U240" s="23"/>
    </row>
    <row r="241" spans="1:21" x14ac:dyDescent="0.2">
      <c r="A241" s="23">
        <v>44</v>
      </c>
      <c r="B241" s="23">
        <v>1</v>
      </c>
      <c r="C241" s="23">
        <v>38.06</v>
      </c>
      <c r="D241" s="23">
        <v>1</v>
      </c>
      <c r="E241" s="23">
        <v>0</v>
      </c>
      <c r="F241" s="23">
        <v>0</v>
      </c>
      <c r="G241" s="23">
        <v>1</v>
      </c>
      <c r="H241" s="23">
        <v>0</v>
      </c>
      <c r="I241" s="23">
        <v>0</v>
      </c>
      <c r="J241" s="23">
        <v>7152.6714000000002</v>
      </c>
      <c r="N241" s="23"/>
      <c r="O241" s="23"/>
      <c r="P241" s="23"/>
      <c r="Q241" s="23"/>
      <c r="R241" s="23"/>
      <c r="S241" s="23"/>
      <c r="T241" s="23"/>
      <c r="U241" s="23"/>
    </row>
    <row r="242" spans="1:21" x14ac:dyDescent="0.2">
      <c r="A242" s="23">
        <v>23</v>
      </c>
      <c r="B242" s="23">
        <v>0</v>
      </c>
      <c r="C242" s="23">
        <v>36.67</v>
      </c>
      <c r="D242" s="23">
        <v>2</v>
      </c>
      <c r="E242" s="23">
        <v>1</v>
      </c>
      <c r="F242" s="23">
        <v>1</v>
      </c>
      <c r="G242" s="23">
        <v>0</v>
      </c>
      <c r="H242" s="23">
        <v>0</v>
      </c>
      <c r="I242" s="23">
        <v>0</v>
      </c>
      <c r="J242" s="23">
        <v>38511.628299999997</v>
      </c>
      <c r="N242" s="23"/>
      <c r="O242" s="23"/>
      <c r="P242" s="23"/>
      <c r="Q242" s="23"/>
      <c r="R242" s="23"/>
      <c r="S242" s="23"/>
      <c r="T242" s="23"/>
      <c r="U242" s="23"/>
    </row>
    <row r="243" spans="1:21" x14ac:dyDescent="0.2">
      <c r="A243" s="23">
        <v>33</v>
      </c>
      <c r="B243" s="23">
        <v>0</v>
      </c>
      <c r="C243" s="23">
        <v>22.135000000000002</v>
      </c>
      <c r="D243" s="23">
        <v>1</v>
      </c>
      <c r="E243" s="23">
        <v>0</v>
      </c>
      <c r="F243" s="23">
        <v>1</v>
      </c>
      <c r="G243" s="23">
        <v>0</v>
      </c>
      <c r="H243" s="23">
        <v>0</v>
      </c>
      <c r="I243" s="23">
        <v>0</v>
      </c>
      <c r="J243" s="23">
        <v>5354.0746499999996</v>
      </c>
      <c r="N243" s="23"/>
      <c r="O243" s="23"/>
      <c r="P243" s="23"/>
      <c r="Q243" s="23"/>
      <c r="R243" s="23"/>
      <c r="S243" s="23"/>
      <c r="T243" s="23"/>
      <c r="U243" s="23"/>
    </row>
    <row r="244" spans="1:21" x14ac:dyDescent="0.2">
      <c r="A244" s="23">
        <v>55</v>
      </c>
      <c r="B244" s="23">
        <v>0</v>
      </c>
      <c r="C244" s="23">
        <v>26.8</v>
      </c>
      <c r="D244" s="23">
        <v>1</v>
      </c>
      <c r="E244" s="23">
        <v>0</v>
      </c>
      <c r="F244" s="23">
        <v>0</v>
      </c>
      <c r="G244" s="23">
        <v>0</v>
      </c>
      <c r="H244" s="23">
        <v>1</v>
      </c>
      <c r="I244" s="23">
        <v>0</v>
      </c>
      <c r="J244" s="23">
        <v>35160.134570000002</v>
      </c>
      <c r="N244" s="23"/>
      <c r="O244" s="23"/>
      <c r="P244" s="23"/>
      <c r="Q244" s="23"/>
      <c r="R244" s="23"/>
      <c r="S244" s="23"/>
      <c r="T244" s="23"/>
      <c r="U244" s="23"/>
    </row>
    <row r="245" spans="1:21" x14ac:dyDescent="0.2">
      <c r="A245" s="23">
        <v>40</v>
      </c>
      <c r="B245" s="23">
        <v>1</v>
      </c>
      <c r="C245" s="23">
        <v>35.299999999999997</v>
      </c>
      <c r="D245" s="23">
        <v>3</v>
      </c>
      <c r="E245" s="23">
        <v>0</v>
      </c>
      <c r="F245" s="23">
        <v>0</v>
      </c>
      <c r="G245" s="23">
        <v>0</v>
      </c>
      <c r="H245" s="23">
        <v>1</v>
      </c>
      <c r="I245" s="23">
        <v>0</v>
      </c>
      <c r="J245" s="23">
        <v>7196.8670000000002</v>
      </c>
      <c r="N245" s="23"/>
      <c r="O245" s="23"/>
      <c r="P245" s="23"/>
      <c r="Q245" s="23"/>
      <c r="R245" s="23"/>
      <c r="S245" s="23"/>
      <c r="T245" s="23"/>
      <c r="U245" s="23"/>
    </row>
    <row r="246" spans="1:21" x14ac:dyDescent="0.2">
      <c r="A246" s="23">
        <v>63</v>
      </c>
      <c r="B246" s="23">
        <v>0</v>
      </c>
      <c r="C246" s="23">
        <v>27.74</v>
      </c>
      <c r="D246" s="23">
        <v>0</v>
      </c>
      <c r="E246" s="23">
        <v>1</v>
      </c>
      <c r="F246" s="23">
        <v>1</v>
      </c>
      <c r="G246" s="23">
        <v>0</v>
      </c>
      <c r="H246" s="23">
        <v>0</v>
      </c>
      <c r="I246" s="23">
        <v>0</v>
      </c>
      <c r="J246" s="23">
        <v>29523.1656</v>
      </c>
      <c r="N246" s="23"/>
      <c r="O246" s="23"/>
      <c r="P246" s="23"/>
      <c r="Q246" s="23"/>
      <c r="R246" s="23"/>
      <c r="S246" s="23"/>
      <c r="T246" s="23"/>
      <c r="U246" s="23"/>
    </row>
    <row r="247" spans="1:21" x14ac:dyDescent="0.2">
      <c r="A247" s="23">
        <v>54</v>
      </c>
      <c r="B247" s="23">
        <v>1</v>
      </c>
      <c r="C247" s="23">
        <v>30.02</v>
      </c>
      <c r="D247" s="23">
        <v>0</v>
      </c>
      <c r="E247" s="23">
        <v>0</v>
      </c>
      <c r="F247" s="23">
        <v>0</v>
      </c>
      <c r="G247" s="23">
        <v>0</v>
      </c>
      <c r="H247" s="23">
        <v>0</v>
      </c>
      <c r="I247" s="23">
        <v>1</v>
      </c>
      <c r="J247" s="23">
        <v>24476.478510000001</v>
      </c>
      <c r="N247" s="23"/>
      <c r="O247" s="23"/>
      <c r="P247" s="23"/>
      <c r="Q247" s="23"/>
      <c r="R247" s="23"/>
      <c r="S247" s="23"/>
      <c r="T247" s="23"/>
      <c r="U247" s="23"/>
    </row>
    <row r="248" spans="1:21" x14ac:dyDescent="0.2">
      <c r="A248" s="23">
        <v>60</v>
      </c>
      <c r="B248" s="23">
        <v>0</v>
      </c>
      <c r="C248" s="23">
        <v>38.06</v>
      </c>
      <c r="D248" s="23">
        <v>0</v>
      </c>
      <c r="E248" s="23">
        <v>0</v>
      </c>
      <c r="F248" s="23">
        <v>0</v>
      </c>
      <c r="G248" s="23">
        <v>1</v>
      </c>
      <c r="H248" s="23">
        <v>0</v>
      </c>
      <c r="I248" s="23">
        <v>0</v>
      </c>
      <c r="J248" s="23">
        <v>12648.7034</v>
      </c>
      <c r="N248" s="23"/>
      <c r="O248" s="23"/>
      <c r="P248" s="23"/>
      <c r="Q248" s="23"/>
      <c r="R248" s="23"/>
      <c r="S248" s="23"/>
      <c r="T248" s="23"/>
      <c r="U248" s="23"/>
    </row>
    <row r="249" spans="1:21" x14ac:dyDescent="0.2">
      <c r="A249" s="23">
        <v>24</v>
      </c>
      <c r="B249" s="23">
        <v>1</v>
      </c>
      <c r="C249" s="23">
        <v>35.86</v>
      </c>
      <c r="D249" s="23">
        <v>0</v>
      </c>
      <c r="E249" s="23">
        <v>0</v>
      </c>
      <c r="F249" s="23">
        <v>0</v>
      </c>
      <c r="G249" s="23">
        <v>1</v>
      </c>
      <c r="H249" s="23">
        <v>0</v>
      </c>
      <c r="I249" s="23">
        <v>0</v>
      </c>
      <c r="J249" s="23">
        <v>1986.9333999999999</v>
      </c>
      <c r="N249" s="23"/>
      <c r="O249" s="23"/>
      <c r="P249" s="23"/>
      <c r="Q249" s="23"/>
      <c r="R249" s="23"/>
      <c r="S249" s="23"/>
      <c r="T249" s="23"/>
      <c r="U249" s="23"/>
    </row>
    <row r="250" spans="1:21" x14ac:dyDescent="0.2">
      <c r="A250" s="23">
        <v>19</v>
      </c>
      <c r="B250" s="23">
        <v>1</v>
      </c>
      <c r="C250" s="23">
        <v>20.9</v>
      </c>
      <c r="D250" s="23">
        <v>1</v>
      </c>
      <c r="E250" s="23">
        <v>0</v>
      </c>
      <c r="F250" s="23">
        <v>0</v>
      </c>
      <c r="G250" s="23">
        <v>0</v>
      </c>
      <c r="H250" s="23">
        <v>1</v>
      </c>
      <c r="I250" s="23">
        <v>0</v>
      </c>
      <c r="J250" s="23">
        <v>1832.0940000000001</v>
      </c>
      <c r="N250" s="23"/>
      <c r="O250" s="23"/>
      <c r="P250" s="23"/>
      <c r="Q250" s="23"/>
      <c r="R250" s="23"/>
      <c r="S250" s="23"/>
      <c r="T250" s="23"/>
      <c r="U250" s="23"/>
    </row>
    <row r="251" spans="1:21" x14ac:dyDescent="0.2">
      <c r="A251" s="23">
        <v>29</v>
      </c>
      <c r="B251" s="23">
        <v>1</v>
      </c>
      <c r="C251" s="23">
        <v>28.975000000000001</v>
      </c>
      <c r="D251" s="23">
        <v>1</v>
      </c>
      <c r="E251" s="23">
        <v>0</v>
      </c>
      <c r="F251" s="23">
        <v>1</v>
      </c>
      <c r="G251" s="23">
        <v>0</v>
      </c>
      <c r="H251" s="23">
        <v>0</v>
      </c>
      <c r="I251" s="23">
        <v>0</v>
      </c>
      <c r="J251" s="23">
        <v>4040.55825</v>
      </c>
      <c r="N251" s="23"/>
      <c r="O251" s="23"/>
      <c r="P251" s="23"/>
      <c r="Q251" s="23"/>
      <c r="R251" s="23"/>
      <c r="S251" s="23"/>
      <c r="T251" s="23"/>
      <c r="U251" s="23"/>
    </row>
    <row r="252" spans="1:21" x14ac:dyDescent="0.2">
      <c r="A252" s="23">
        <v>18</v>
      </c>
      <c r="B252" s="23">
        <v>1</v>
      </c>
      <c r="C252" s="23">
        <v>17.29</v>
      </c>
      <c r="D252" s="23">
        <v>2</v>
      </c>
      <c r="E252" s="23">
        <v>1</v>
      </c>
      <c r="F252" s="23">
        <v>1</v>
      </c>
      <c r="G252" s="23">
        <v>0</v>
      </c>
      <c r="H252" s="23">
        <v>0</v>
      </c>
      <c r="I252" s="23">
        <v>0</v>
      </c>
      <c r="J252" s="23">
        <v>12829.455099999999</v>
      </c>
      <c r="N252" s="23"/>
      <c r="O252" s="23"/>
      <c r="P252" s="23"/>
      <c r="Q252" s="23"/>
      <c r="R252" s="23"/>
      <c r="S252" s="23"/>
      <c r="T252" s="23"/>
      <c r="U252" s="23"/>
    </row>
    <row r="253" spans="1:21" x14ac:dyDescent="0.2">
      <c r="A253" s="23">
        <v>63</v>
      </c>
      <c r="B253" s="23">
        <v>0</v>
      </c>
      <c r="C253" s="23">
        <v>32.200000000000003</v>
      </c>
      <c r="D253" s="23">
        <v>2</v>
      </c>
      <c r="E253" s="23">
        <v>1</v>
      </c>
      <c r="F253" s="23">
        <v>0</v>
      </c>
      <c r="G253" s="23">
        <v>0</v>
      </c>
      <c r="H253" s="23">
        <v>1</v>
      </c>
      <c r="I253" s="23">
        <v>0</v>
      </c>
      <c r="J253" s="23">
        <v>47305.305</v>
      </c>
      <c r="N253" s="23"/>
      <c r="O253" s="23"/>
      <c r="P253" s="23"/>
      <c r="Q253" s="23"/>
      <c r="R253" s="23"/>
      <c r="S253" s="23"/>
      <c r="T253" s="23"/>
      <c r="U253" s="23"/>
    </row>
    <row r="254" spans="1:21" x14ac:dyDescent="0.2">
      <c r="A254" s="23">
        <v>54</v>
      </c>
      <c r="B254" s="23">
        <v>1</v>
      </c>
      <c r="C254" s="23">
        <v>34.21</v>
      </c>
      <c r="D254" s="23">
        <v>2</v>
      </c>
      <c r="E254" s="23">
        <v>1</v>
      </c>
      <c r="F254" s="23">
        <v>0</v>
      </c>
      <c r="G254" s="23">
        <v>1</v>
      </c>
      <c r="H254" s="23">
        <v>0</v>
      </c>
      <c r="I254" s="23">
        <v>0</v>
      </c>
      <c r="J254" s="23">
        <v>44260.749900000003</v>
      </c>
      <c r="N254" s="23"/>
      <c r="O254" s="23"/>
      <c r="P254" s="23"/>
      <c r="Q254" s="23"/>
      <c r="R254" s="23"/>
      <c r="S254" s="23"/>
      <c r="T254" s="23"/>
      <c r="U254" s="23"/>
    </row>
    <row r="255" spans="1:21" x14ac:dyDescent="0.2">
      <c r="A255" s="23">
        <v>27</v>
      </c>
      <c r="B255" s="23">
        <v>1</v>
      </c>
      <c r="C255" s="23">
        <v>30.3</v>
      </c>
      <c r="D255" s="23">
        <v>3</v>
      </c>
      <c r="E255" s="23">
        <v>0</v>
      </c>
      <c r="F255" s="23">
        <v>0</v>
      </c>
      <c r="G255" s="23">
        <v>0</v>
      </c>
      <c r="H255" s="23">
        <v>1</v>
      </c>
      <c r="I255" s="23">
        <v>0</v>
      </c>
      <c r="J255" s="23">
        <v>4260.7439999999997</v>
      </c>
      <c r="N255" s="23"/>
      <c r="O255" s="23"/>
      <c r="P255" s="23"/>
      <c r="Q255" s="23"/>
      <c r="R255" s="23"/>
      <c r="S255" s="23"/>
      <c r="T255" s="23"/>
      <c r="U255" s="23"/>
    </row>
    <row r="256" spans="1:21" x14ac:dyDescent="0.2">
      <c r="A256" s="23">
        <v>50</v>
      </c>
      <c r="B256" s="23">
        <v>1</v>
      </c>
      <c r="C256" s="23">
        <v>31.824999999999999</v>
      </c>
      <c r="D256" s="23">
        <v>0</v>
      </c>
      <c r="E256" s="23">
        <v>1</v>
      </c>
      <c r="F256" s="23">
        <v>1</v>
      </c>
      <c r="G256" s="23">
        <v>0</v>
      </c>
      <c r="H256" s="23">
        <v>0</v>
      </c>
      <c r="I256" s="23">
        <v>0</v>
      </c>
      <c r="J256" s="23">
        <v>41097.161749999999</v>
      </c>
      <c r="N256" s="23"/>
      <c r="O256" s="23"/>
      <c r="P256" s="23"/>
      <c r="Q256" s="23"/>
      <c r="R256" s="23"/>
      <c r="S256" s="23"/>
      <c r="T256" s="23"/>
      <c r="U256" s="23"/>
    </row>
    <row r="257" spans="1:21" x14ac:dyDescent="0.2">
      <c r="A257" s="23">
        <v>55</v>
      </c>
      <c r="B257" s="23">
        <v>0</v>
      </c>
      <c r="C257" s="23">
        <v>25.364999999999998</v>
      </c>
      <c r="D257" s="23">
        <v>3</v>
      </c>
      <c r="E257" s="23">
        <v>0</v>
      </c>
      <c r="F257" s="23">
        <v>1</v>
      </c>
      <c r="G257" s="23">
        <v>0</v>
      </c>
      <c r="H257" s="23">
        <v>0</v>
      </c>
      <c r="I257" s="23">
        <v>0</v>
      </c>
      <c r="J257" s="23">
        <v>13047.332350000001</v>
      </c>
      <c r="N257" s="23"/>
      <c r="O257" s="23"/>
      <c r="P257" s="23"/>
      <c r="Q257" s="23"/>
      <c r="R257" s="23"/>
      <c r="S257" s="23"/>
      <c r="T257" s="23"/>
      <c r="U257" s="23"/>
    </row>
    <row r="258" spans="1:21" x14ac:dyDescent="0.2">
      <c r="A258" s="23">
        <v>56</v>
      </c>
      <c r="B258" s="23">
        <v>1</v>
      </c>
      <c r="C258" s="23">
        <v>33.630000000000003</v>
      </c>
      <c r="D258" s="23">
        <v>0</v>
      </c>
      <c r="E258" s="23">
        <v>1</v>
      </c>
      <c r="F258" s="23">
        <v>0</v>
      </c>
      <c r="G258" s="23">
        <v>0</v>
      </c>
      <c r="H258" s="23">
        <v>0</v>
      </c>
      <c r="I258" s="23">
        <v>1</v>
      </c>
      <c r="J258" s="23">
        <v>43921.183700000001</v>
      </c>
      <c r="N258" s="23"/>
      <c r="O258" s="23"/>
      <c r="P258" s="23"/>
      <c r="Q258" s="23"/>
      <c r="R258" s="23"/>
      <c r="S258" s="23"/>
      <c r="T258" s="23"/>
      <c r="U258" s="23"/>
    </row>
    <row r="259" spans="1:21" x14ac:dyDescent="0.2">
      <c r="A259" s="23">
        <v>38</v>
      </c>
      <c r="B259" s="23">
        <v>0</v>
      </c>
      <c r="C259" s="23">
        <v>40.15</v>
      </c>
      <c r="D259" s="23">
        <v>0</v>
      </c>
      <c r="E259" s="23">
        <v>0</v>
      </c>
      <c r="F259" s="23">
        <v>0</v>
      </c>
      <c r="G259" s="23">
        <v>1</v>
      </c>
      <c r="H259" s="23">
        <v>0</v>
      </c>
      <c r="I259" s="23">
        <v>0</v>
      </c>
      <c r="J259" s="23">
        <v>5400.9804999999997</v>
      </c>
      <c r="N259" s="23"/>
      <c r="O259" s="23"/>
      <c r="P259" s="23"/>
      <c r="Q259" s="23"/>
      <c r="R259" s="23"/>
      <c r="S259" s="23"/>
      <c r="T259" s="23"/>
      <c r="U259" s="23"/>
    </row>
    <row r="260" spans="1:21" x14ac:dyDescent="0.2">
      <c r="A260" s="23">
        <v>51</v>
      </c>
      <c r="B260" s="23">
        <v>1</v>
      </c>
      <c r="C260" s="23">
        <v>24.414999999999999</v>
      </c>
      <c r="D260" s="23">
        <v>4</v>
      </c>
      <c r="E260" s="23">
        <v>0</v>
      </c>
      <c r="F260" s="23">
        <v>0</v>
      </c>
      <c r="G260" s="23">
        <v>0</v>
      </c>
      <c r="H260" s="23">
        <v>0</v>
      </c>
      <c r="I260" s="23">
        <v>1</v>
      </c>
      <c r="J260" s="23">
        <v>11520.099850000001</v>
      </c>
      <c r="N260" s="23"/>
      <c r="O260" s="23"/>
      <c r="P260" s="23"/>
      <c r="Q260" s="23"/>
      <c r="R260" s="23"/>
      <c r="S260" s="23"/>
      <c r="T260" s="23"/>
      <c r="U260" s="23"/>
    </row>
    <row r="261" spans="1:21" x14ac:dyDescent="0.2">
      <c r="A261" s="23">
        <v>19</v>
      </c>
      <c r="B261" s="23">
        <v>1</v>
      </c>
      <c r="C261" s="23">
        <v>31.92</v>
      </c>
      <c r="D261" s="23">
        <v>0</v>
      </c>
      <c r="E261" s="23">
        <v>1</v>
      </c>
      <c r="F261" s="23">
        <v>0</v>
      </c>
      <c r="G261" s="23">
        <v>0</v>
      </c>
      <c r="H261" s="23">
        <v>0</v>
      </c>
      <c r="I261" s="23">
        <v>1</v>
      </c>
      <c r="J261" s="23">
        <v>33750.291799999999</v>
      </c>
      <c r="N261" s="23"/>
      <c r="O261" s="23"/>
      <c r="P261" s="23"/>
      <c r="Q261" s="23"/>
      <c r="R261" s="23"/>
      <c r="S261" s="23"/>
      <c r="T261" s="23"/>
      <c r="U261" s="23"/>
    </row>
    <row r="262" spans="1:21" x14ac:dyDescent="0.2">
      <c r="A262" s="23">
        <v>58</v>
      </c>
      <c r="B262" s="23">
        <v>0</v>
      </c>
      <c r="C262" s="23">
        <v>25.2</v>
      </c>
      <c r="D262" s="23">
        <v>0</v>
      </c>
      <c r="E262" s="23">
        <v>0</v>
      </c>
      <c r="F262" s="23">
        <v>0</v>
      </c>
      <c r="G262" s="23">
        <v>0</v>
      </c>
      <c r="H262" s="23">
        <v>1</v>
      </c>
      <c r="I262" s="23">
        <v>0</v>
      </c>
      <c r="J262" s="23">
        <v>11837.16</v>
      </c>
      <c r="N262" s="23"/>
      <c r="O262" s="23"/>
      <c r="P262" s="23"/>
      <c r="Q262" s="23"/>
      <c r="R262" s="23"/>
      <c r="S262" s="23"/>
      <c r="T262" s="23"/>
      <c r="U262" s="23"/>
    </row>
    <row r="263" spans="1:21" x14ac:dyDescent="0.2">
      <c r="A263" s="23">
        <v>20</v>
      </c>
      <c r="B263" s="23">
        <v>0</v>
      </c>
      <c r="C263" s="23">
        <v>26.84</v>
      </c>
      <c r="D263" s="23">
        <v>1</v>
      </c>
      <c r="E263" s="23">
        <v>1</v>
      </c>
      <c r="F263" s="23">
        <v>0</v>
      </c>
      <c r="G263" s="23">
        <v>1</v>
      </c>
      <c r="H263" s="23">
        <v>0</v>
      </c>
      <c r="I263" s="23">
        <v>0</v>
      </c>
      <c r="J263" s="23">
        <v>17085.267599999999</v>
      </c>
      <c r="N263" s="23"/>
      <c r="O263" s="23"/>
      <c r="P263" s="23"/>
      <c r="Q263" s="23"/>
      <c r="R263" s="23"/>
      <c r="S263" s="23"/>
      <c r="T263" s="23"/>
      <c r="U263" s="23"/>
    </row>
    <row r="264" spans="1:21" x14ac:dyDescent="0.2">
      <c r="A264" s="23">
        <v>52</v>
      </c>
      <c r="B264" s="23">
        <v>1</v>
      </c>
      <c r="C264" s="23">
        <v>24.32</v>
      </c>
      <c r="D264" s="23">
        <v>3</v>
      </c>
      <c r="E264" s="23">
        <v>1</v>
      </c>
      <c r="F264" s="23">
        <v>1</v>
      </c>
      <c r="G264" s="23">
        <v>0</v>
      </c>
      <c r="H264" s="23">
        <v>0</v>
      </c>
      <c r="I264" s="23">
        <v>0</v>
      </c>
      <c r="J264" s="23">
        <v>24869.836800000001</v>
      </c>
      <c r="N264" s="23"/>
      <c r="O264" s="23"/>
      <c r="P264" s="23"/>
      <c r="Q264" s="23"/>
      <c r="R264" s="23"/>
      <c r="S264" s="23"/>
      <c r="T264" s="23"/>
      <c r="U264" s="23"/>
    </row>
    <row r="265" spans="1:21" x14ac:dyDescent="0.2">
      <c r="A265" s="23">
        <v>19</v>
      </c>
      <c r="B265" s="23">
        <v>1</v>
      </c>
      <c r="C265" s="23">
        <v>36.954999999999998</v>
      </c>
      <c r="D265" s="23">
        <v>0</v>
      </c>
      <c r="E265" s="23">
        <v>1</v>
      </c>
      <c r="F265" s="23">
        <v>0</v>
      </c>
      <c r="G265" s="23">
        <v>0</v>
      </c>
      <c r="H265" s="23">
        <v>0</v>
      </c>
      <c r="I265" s="23">
        <v>1</v>
      </c>
      <c r="J265" s="23">
        <v>36219.405449999998</v>
      </c>
      <c r="N265" s="23"/>
      <c r="O265" s="23"/>
      <c r="P265" s="23"/>
      <c r="Q265" s="23"/>
      <c r="R265" s="23"/>
      <c r="S265" s="23"/>
      <c r="T265" s="23"/>
      <c r="U265" s="23"/>
    </row>
    <row r="266" spans="1:21" x14ac:dyDescent="0.2">
      <c r="A266" s="23">
        <v>53</v>
      </c>
      <c r="B266" s="23">
        <v>0</v>
      </c>
      <c r="C266" s="23">
        <v>38.06</v>
      </c>
      <c r="D266" s="23">
        <v>3</v>
      </c>
      <c r="E266" s="23">
        <v>0</v>
      </c>
      <c r="F266" s="23">
        <v>0</v>
      </c>
      <c r="G266" s="23">
        <v>1</v>
      </c>
      <c r="H266" s="23">
        <v>0</v>
      </c>
      <c r="I266" s="23">
        <v>0</v>
      </c>
      <c r="J266" s="23">
        <v>20462.997660000001</v>
      </c>
      <c r="N266" s="23"/>
      <c r="O266" s="23"/>
      <c r="P266" s="23"/>
      <c r="Q266" s="23"/>
      <c r="R266" s="23"/>
      <c r="S266" s="23"/>
      <c r="T266" s="23"/>
      <c r="U266" s="23"/>
    </row>
    <row r="267" spans="1:21" x14ac:dyDescent="0.2">
      <c r="A267" s="23">
        <v>46</v>
      </c>
      <c r="B267" s="23">
        <v>1</v>
      </c>
      <c r="C267" s="23">
        <v>42.35</v>
      </c>
      <c r="D267" s="23">
        <v>3</v>
      </c>
      <c r="E267" s="23">
        <v>1</v>
      </c>
      <c r="F267" s="23">
        <v>0</v>
      </c>
      <c r="G267" s="23">
        <v>1</v>
      </c>
      <c r="H267" s="23">
        <v>0</v>
      </c>
      <c r="I267" s="23">
        <v>0</v>
      </c>
      <c r="J267" s="23">
        <v>46151.124499999998</v>
      </c>
      <c r="N267" s="23"/>
      <c r="O267" s="23"/>
      <c r="P267" s="23"/>
      <c r="Q267" s="23"/>
      <c r="R267" s="23"/>
      <c r="S267" s="23"/>
      <c r="T267" s="23"/>
      <c r="U267" s="23"/>
    </row>
    <row r="268" spans="1:21" x14ac:dyDescent="0.2">
      <c r="A268" s="23">
        <v>40</v>
      </c>
      <c r="B268" s="23">
        <v>1</v>
      </c>
      <c r="C268" s="23">
        <v>19.8</v>
      </c>
      <c r="D268" s="23">
        <v>1</v>
      </c>
      <c r="E268" s="23">
        <v>1</v>
      </c>
      <c r="F268" s="23">
        <v>0</v>
      </c>
      <c r="G268" s="23">
        <v>1</v>
      </c>
      <c r="H268" s="23">
        <v>0</v>
      </c>
      <c r="I268" s="23">
        <v>0</v>
      </c>
      <c r="J268" s="23">
        <v>17179.522000000001</v>
      </c>
      <c r="N268" s="23"/>
      <c r="O268" s="23"/>
      <c r="P268" s="23"/>
      <c r="Q268" s="23"/>
      <c r="R268" s="23"/>
      <c r="S268" s="23"/>
      <c r="T268" s="23"/>
      <c r="U268" s="23"/>
    </row>
    <row r="269" spans="1:21" x14ac:dyDescent="0.2">
      <c r="A269" s="23">
        <v>59</v>
      </c>
      <c r="B269" s="23">
        <v>0</v>
      </c>
      <c r="C269" s="23">
        <v>32.395000000000003</v>
      </c>
      <c r="D269" s="23">
        <v>3</v>
      </c>
      <c r="E269" s="23">
        <v>0</v>
      </c>
      <c r="F269" s="23">
        <v>1</v>
      </c>
      <c r="G269" s="23">
        <v>0</v>
      </c>
      <c r="H269" s="23">
        <v>0</v>
      </c>
      <c r="I269" s="23">
        <v>0</v>
      </c>
      <c r="J269" s="23">
        <v>14590.63205</v>
      </c>
      <c r="N269" s="23"/>
      <c r="O269" s="23"/>
      <c r="P269" s="23"/>
      <c r="Q269" s="23"/>
      <c r="R269" s="23"/>
      <c r="S269" s="23"/>
      <c r="T269" s="23"/>
      <c r="U269" s="23"/>
    </row>
    <row r="270" spans="1:21" x14ac:dyDescent="0.2">
      <c r="A270" s="23">
        <v>45</v>
      </c>
      <c r="B270" s="23">
        <v>1</v>
      </c>
      <c r="C270" s="23">
        <v>30.2</v>
      </c>
      <c r="D270" s="23">
        <v>1</v>
      </c>
      <c r="E270" s="23">
        <v>0</v>
      </c>
      <c r="F270" s="23">
        <v>0</v>
      </c>
      <c r="G270" s="23">
        <v>0</v>
      </c>
      <c r="H270" s="23">
        <v>1</v>
      </c>
      <c r="I270" s="23">
        <v>0</v>
      </c>
      <c r="J270" s="23">
        <v>7441.0529999999999</v>
      </c>
      <c r="N270" s="23"/>
      <c r="O270" s="23"/>
      <c r="P270" s="23"/>
      <c r="Q270" s="23"/>
      <c r="R270" s="23"/>
      <c r="S270" s="23"/>
      <c r="T270" s="23"/>
      <c r="U270" s="23"/>
    </row>
    <row r="271" spans="1:21" x14ac:dyDescent="0.2">
      <c r="A271" s="23">
        <v>49</v>
      </c>
      <c r="B271" s="23">
        <v>1</v>
      </c>
      <c r="C271" s="23">
        <v>25.84</v>
      </c>
      <c r="D271" s="23">
        <v>1</v>
      </c>
      <c r="E271" s="23">
        <v>0</v>
      </c>
      <c r="F271" s="23">
        <v>1</v>
      </c>
      <c r="G271" s="23">
        <v>0</v>
      </c>
      <c r="H271" s="23">
        <v>0</v>
      </c>
      <c r="I271" s="23">
        <v>0</v>
      </c>
      <c r="J271" s="23">
        <v>9282.4806000000008</v>
      </c>
      <c r="N271" s="23"/>
      <c r="O271" s="23"/>
      <c r="P271" s="23"/>
      <c r="Q271" s="23"/>
      <c r="R271" s="23"/>
      <c r="S271" s="23"/>
      <c r="T271" s="23"/>
      <c r="U271" s="23"/>
    </row>
    <row r="272" spans="1:21" x14ac:dyDescent="0.2">
      <c r="A272" s="23">
        <v>18</v>
      </c>
      <c r="B272" s="23">
        <v>1</v>
      </c>
      <c r="C272" s="23">
        <v>29.37</v>
      </c>
      <c r="D272" s="23">
        <v>1</v>
      </c>
      <c r="E272" s="23">
        <v>0</v>
      </c>
      <c r="F272" s="23">
        <v>0</v>
      </c>
      <c r="G272" s="23">
        <v>1</v>
      </c>
      <c r="H272" s="23">
        <v>0</v>
      </c>
      <c r="I272" s="23">
        <v>0</v>
      </c>
      <c r="J272" s="23">
        <v>1719.4363000000001</v>
      </c>
      <c r="N272" s="23"/>
      <c r="O272" s="23"/>
      <c r="P272" s="23"/>
      <c r="Q272" s="23"/>
      <c r="R272" s="23"/>
      <c r="S272" s="23"/>
      <c r="T272" s="23"/>
      <c r="U272" s="23"/>
    </row>
    <row r="273" spans="1:21" x14ac:dyDescent="0.2">
      <c r="A273" s="23">
        <v>50</v>
      </c>
      <c r="B273" s="23">
        <v>1</v>
      </c>
      <c r="C273" s="23">
        <v>34.200000000000003</v>
      </c>
      <c r="D273" s="23">
        <v>2</v>
      </c>
      <c r="E273" s="23">
        <v>1</v>
      </c>
      <c r="F273" s="23">
        <v>0</v>
      </c>
      <c r="G273" s="23">
        <v>0</v>
      </c>
      <c r="H273" s="23">
        <v>1</v>
      </c>
      <c r="I273" s="23">
        <v>0</v>
      </c>
      <c r="J273" s="23">
        <v>42856.838000000003</v>
      </c>
      <c r="N273" s="23"/>
      <c r="O273" s="23"/>
      <c r="P273" s="23"/>
      <c r="Q273" s="23"/>
      <c r="R273" s="23"/>
      <c r="S273" s="23"/>
      <c r="T273" s="23"/>
      <c r="U273" s="23"/>
    </row>
    <row r="274" spans="1:21" x14ac:dyDescent="0.2">
      <c r="A274" s="23">
        <v>41</v>
      </c>
      <c r="B274" s="23">
        <v>1</v>
      </c>
      <c r="C274" s="23">
        <v>37.049999999999997</v>
      </c>
      <c r="D274" s="23">
        <v>2</v>
      </c>
      <c r="E274" s="23">
        <v>0</v>
      </c>
      <c r="F274" s="23">
        <v>0</v>
      </c>
      <c r="G274" s="23">
        <v>0</v>
      </c>
      <c r="H274" s="23">
        <v>0</v>
      </c>
      <c r="I274" s="23">
        <v>1</v>
      </c>
      <c r="J274" s="23">
        <v>7265.7025000000003</v>
      </c>
      <c r="N274" s="23"/>
      <c r="O274" s="23"/>
      <c r="P274" s="23"/>
      <c r="Q274" s="23"/>
      <c r="R274" s="23"/>
      <c r="S274" s="23"/>
      <c r="T274" s="23"/>
      <c r="U274" s="23"/>
    </row>
    <row r="275" spans="1:21" x14ac:dyDescent="0.2">
      <c r="A275" s="23">
        <v>50</v>
      </c>
      <c r="B275" s="23">
        <v>1</v>
      </c>
      <c r="C275" s="23">
        <v>27.454999999999998</v>
      </c>
      <c r="D275" s="23">
        <v>1</v>
      </c>
      <c r="E275" s="23">
        <v>0</v>
      </c>
      <c r="F275" s="23">
        <v>1</v>
      </c>
      <c r="G275" s="23">
        <v>0</v>
      </c>
      <c r="H275" s="23">
        <v>0</v>
      </c>
      <c r="I275" s="23">
        <v>0</v>
      </c>
      <c r="J275" s="23">
        <v>9617.6624499999998</v>
      </c>
      <c r="N275" s="23"/>
      <c r="O275" s="23"/>
      <c r="P275" s="23"/>
      <c r="Q275" s="23"/>
      <c r="R275" s="23"/>
      <c r="S275" s="23"/>
      <c r="T275" s="23"/>
      <c r="U275" s="23"/>
    </row>
    <row r="276" spans="1:21" x14ac:dyDescent="0.2">
      <c r="A276" s="23">
        <v>25</v>
      </c>
      <c r="B276" s="23">
        <v>1</v>
      </c>
      <c r="C276" s="23">
        <v>27.55</v>
      </c>
      <c r="D276" s="23">
        <v>0</v>
      </c>
      <c r="E276" s="23">
        <v>0</v>
      </c>
      <c r="F276" s="23">
        <v>0</v>
      </c>
      <c r="G276" s="23">
        <v>0</v>
      </c>
      <c r="H276" s="23">
        <v>0</v>
      </c>
      <c r="I276" s="23">
        <v>1</v>
      </c>
      <c r="J276" s="23">
        <v>2523.1695</v>
      </c>
      <c r="N276" s="23"/>
      <c r="O276" s="23"/>
      <c r="P276" s="23"/>
      <c r="Q276" s="23"/>
      <c r="R276" s="23"/>
      <c r="S276" s="23"/>
      <c r="T276" s="23"/>
      <c r="U276" s="23"/>
    </row>
    <row r="277" spans="1:21" x14ac:dyDescent="0.2">
      <c r="A277" s="23">
        <v>47</v>
      </c>
      <c r="B277" s="23">
        <v>0</v>
      </c>
      <c r="C277" s="23">
        <v>26.6</v>
      </c>
      <c r="D277" s="23">
        <v>2</v>
      </c>
      <c r="E277" s="23">
        <v>0</v>
      </c>
      <c r="F277" s="23">
        <v>1</v>
      </c>
      <c r="G277" s="23">
        <v>0</v>
      </c>
      <c r="H277" s="23">
        <v>0</v>
      </c>
      <c r="I277" s="23">
        <v>0</v>
      </c>
      <c r="J277" s="23">
        <v>9715.8410000000003</v>
      </c>
      <c r="N277" s="23"/>
      <c r="O277" s="23"/>
      <c r="P277" s="23"/>
      <c r="Q277" s="23"/>
      <c r="R277" s="23"/>
      <c r="S277" s="23"/>
      <c r="T277" s="23"/>
      <c r="U277" s="23"/>
    </row>
    <row r="278" spans="1:21" x14ac:dyDescent="0.2">
      <c r="A278" s="23">
        <v>19</v>
      </c>
      <c r="B278" s="23">
        <v>1</v>
      </c>
      <c r="C278" s="23">
        <v>20.614999999999998</v>
      </c>
      <c r="D278" s="23">
        <v>2</v>
      </c>
      <c r="E278" s="23">
        <v>0</v>
      </c>
      <c r="F278" s="23">
        <v>0</v>
      </c>
      <c r="G278" s="23">
        <v>0</v>
      </c>
      <c r="H278" s="23">
        <v>0</v>
      </c>
      <c r="I278" s="23">
        <v>1</v>
      </c>
      <c r="J278" s="23">
        <v>2803.69785</v>
      </c>
      <c r="N278" s="23"/>
      <c r="O278" s="23"/>
      <c r="P278" s="23"/>
      <c r="Q278" s="23"/>
      <c r="R278" s="23"/>
      <c r="S278" s="23"/>
      <c r="T278" s="23"/>
      <c r="U278" s="23"/>
    </row>
    <row r="279" spans="1:21" x14ac:dyDescent="0.2">
      <c r="A279" s="23">
        <v>22</v>
      </c>
      <c r="B279" s="23">
        <v>0</v>
      </c>
      <c r="C279" s="23">
        <v>24.3</v>
      </c>
      <c r="D279" s="23">
        <v>0</v>
      </c>
      <c r="E279" s="23">
        <v>0</v>
      </c>
      <c r="F279" s="23">
        <v>0</v>
      </c>
      <c r="G279" s="23">
        <v>0</v>
      </c>
      <c r="H279" s="23">
        <v>1</v>
      </c>
      <c r="I279" s="23">
        <v>0</v>
      </c>
      <c r="J279" s="23">
        <v>2150.4690000000001</v>
      </c>
      <c r="N279" s="23"/>
      <c r="O279" s="23"/>
      <c r="P279" s="23"/>
      <c r="Q279" s="23"/>
      <c r="R279" s="23"/>
      <c r="S279" s="23"/>
      <c r="T279" s="23"/>
      <c r="U279" s="23"/>
    </row>
    <row r="280" spans="1:21" x14ac:dyDescent="0.2">
      <c r="A280" s="23">
        <v>59</v>
      </c>
      <c r="B280" s="23">
        <v>1</v>
      </c>
      <c r="C280" s="23">
        <v>31.79</v>
      </c>
      <c r="D280" s="23">
        <v>2</v>
      </c>
      <c r="E280" s="23">
        <v>0</v>
      </c>
      <c r="F280" s="23">
        <v>0</v>
      </c>
      <c r="G280" s="23">
        <v>1</v>
      </c>
      <c r="H280" s="23">
        <v>0</v>
      </c>
      <c r="I280" s="23">
        <v>0</v>
      </c>
      <c r="J280" s="23">
        <v>12928.7911</v>
      </c>
      <c r="N280" s="23"/>
      <c r="O280" s="23"/>
      <c r="P280" s="23"/>
      <c r="Q280" s="23"/>
      <c r="R280" s="23"/>
      <c r="S280" s="23"/>
      <c r="T280" s="23"/>
      <c r="U280" s="23"/>
    </row>
    <row r="281" spans="1:21" x14ac:dyDescent="0.2">
      <c r="A281" s="23">
        <v>51</v>
      </c>
      <c r="B281" s="23">
        <v>0</v>
      </c>
      <c r="C281" s="23">
        <v>21.56</v>
      </c>
      <c r="D281" s="23">
        <v>1</v>
      </c>
      <c r="E281" s="23">
        <v>0</v>
      </c>
      <c r="F281" s="23">
        <v>0</v>
      </c>
      <c r="G281" s="23">
        <v>1</v>
      </c>
      <c r="H281" s="23">
        <v>0</v>
      </c>
      <c r="I281" s="23">
        <v>0</v>
      </c>
      <c r="J281" s="23">
        <v>9855.1314000000002</v>
      </c>
      <c r="N281" s="23"/>
      <c r="O281" s="23"/>
      <c r="P281" s="23"/>
      <c r="Q281" s="23"/>
      <c r="R281" s="23"/>
      <c r="S281" s="23"/>
      <c r="T281" s="23"/>
      <c r="U281" s="23"/>
    </row>
    <row r="282" spans="1:21" x14ac:dyDescent="0.2">
      <c r="A282" s="23">
        <v>40</v>
      </c>
      <c r="B282" s="23">
        <v>0</v>
      </c>
      <c r="C282" s="23">
        <v>28.12</v>
      </c>
      <c r="D282" s="23">
        <v>1</v>
      </c>
      <c r="E282" s="23">
        <v>1</v>
      </c>
      <c r="F282" s="23">
        <v>1</v>
      </c>
      <c r="G282" s="23">
        <v>0</v>
      </c>
      <c r="H282" s="23">
        <v>0</v>
      </c>
      <c r="I282" s="23">
        <v>0</v>
      </c>
      <c r="J282" s="23">
        <v>22331.566800000001</v>
      </c>
      <c r="N282" s="23"/>
      <c r="O282" s="23"/>
      <c r="P282" s="23"/>
      <c r="Q282" s="23"/>
      <c r="R282" s="23"/>
      <c r="S282" s="23"/>
      <c r="T282" s="23"/>
      <c r="U282" s="23"/>
    </row>
    <row r="283" spans="1:21" x14ac:dyDescent="0.2">
      <c r="A283" s="23">
        <v>54</v>
      </c>
      <c r="B283" s="23">
        <v>1</v>
      </c>
      <c r="C283" s="23">
        <v>40.564999999999998</v>
      </c>
      <c r="D283" s="23">
        <v>3</v>
      </c>
      <c r="E283" s="23">
        <v>1</v>
      </c>
      <c r="F283" s="23">
        <v>1</v>
      </c>
      <c r="G283" s="23">
        <v>0</v>
      </c>
      <c r="H283" s="23">
        <v>0</v>
      </c>
      <c r="I283" s="23">
        <v>0</v>
      </c>
      <c r="J283" s="23">
        <v>48549.178350000002</v>
      </c>
      <c r="N283" s="23"/>
      <c r="O283" s="23"/>
      <c r="P283" s="23"/>
      <c r="Q283" s="23"/>
      <c r="R283" s="23"/>
      <c r="S283" s="23"/>
      <c r="T283" s="23"/>
      <c r="U283" s="23"/>
    </row>
    <row r="284" spans="1:21" x14ac:dyDescent="0.2">
      <c r="A284" s="23">
        <v>30</v>
      </c>
      <c r="B284" s="23">
        <v>1</v>
      </c>
      <c r="C284" s="23">
        <v>27.645</v>
      </c>
      <c r="D284" s="23">
        <v>1</v>
      </c>
      <c r="E284" s="23">
        <v>0</v>
      </c>
      <c r="F284" s="23">
        <v>1</v>
      </c>
      <c r="G284" s="23">
        <v>0</v>
      </c>
      <c r="H284" s="23">
        <v>0</v>
      </c>
      <c r="I284" s="23">
        <v>0</v>
      </c>
      <c r="J284" s="23">
        <v>4237.12655</v>
      </c>
      <c r="N284" s="23"/>
      <c r="O284" s="23"/>
      <c r="P284" s="23"/>
      <c r="Q284" s="23"/>
      <c r="R284" s="23"/>
      <c r="S284" s="23"/>
      <c r="T284" s="23"/>
      <c r="U284" s="23"/>
    </row>
    <row r="285" spans="1:21" x14ac:dyDescent="0.2">
      <c r="A285" s="23">
        <v>55</v>
      </c>
      <c r="B285" s="23">
        <v>0</v>
      </c>
      <c r="C285" s="23">
        <v>32.395000000000003</v>
      </c>
      <c r="D285" s="23">
        <v>1</v>
      </c>
      <c r="E285" s="23">
        <v>0</v>
      </c>
      <c r="F285" s="23">
        <v>1</v>
      </c>
      <c r="G285" s="23">
        <v>0</v>
      </c>
      <c r="H285" s="23">
        <v>0</v>
      </c>
      <c r="I285" s="23">
        <v>0</v>
      </c>
      <c r="J285" s="23">
        <v>11879.10405</v>
      </c>
      <c r="N285" s="23"/>
      <c r="O285" s="23"/>
      <c r="P285" s="23"/>
      <c r="Q285" s="23"/>
      <c r="R285" s="23"/>
      <c r="S285" s="23"/>
      <c r="T285" s="23"/>
      <c r="U285" s="23"/>
    </row>
    <row r="286" spans="1:21" x14ac:dyDescent="0.2">
      <c r="A286" s="23">
        <v>52</v>
      </c>
      <c r="B286" s="23">
        <v>0</v>
      </c>
      <c r="C286" s="23">
        <v>31.2</v>
      </c>
      <c r="D286" s="23">
        <v>0</v>
      </c>
      <c r="E286" s="23">
        <v>0</v>
      </c>
      <c r="F286" s="23">
        <v>0</v>
      </c>
      <c r="G286" s="23">
        <v>0</v>
      </c>
      <c r="H286" s="23">
        <v>1</v>
      </c>
      <c r="I286" s="23">
        <v>0</v>
      </c>
      <c r="J286" s="23">
        <v>9625.92</v>
      </c>
      <c r="N286" s="23"/>
      <c r="O286" s="23"/>
      <c r="P286" s="23"/>
      <c r="Q286" s="23"/>
      <c r="R286" s="23"/>
      <c r="S286" s="23"/>
      <c r="T286" s="23"/>
      <c r="U286" s="23"/>
    </row>
    <row r="287" spans="1:21" x14ac:dyDescent="0.2">
      <c r="A287" s="23">
        <v>46</v>
      </c>
      <c r="B287" s="23">
        <v>1</v>
      </c>
      <c r="C287" s="23">
        <v>26.62</v>
      </c>
      <c r="D287" s="23">
        <v>1</v>
      </c>
      <c r="E287" s="23">
        <v>0</v>
      </c>
      <c r="F287" s="23">
        <v>0</v>
      </c>
      <c r="G287" s="23">
        <v>1</v>
      </c>
      <c r="H287" s="23">
        <v>0</v>
      </c>
      <c r="I287" s="23">
        <v>0</v>
      </c>
      <c r="J287" s="23">
        <v>7742.1098000000002</v>
      </c>
      <c r="N287" s="23"/>
      <c r="O287" s="23"/>
      <c r="P287" s="23"/>
      <c r="Q287" s="23"/>
      <c r="R287" s="23"/>
      <c r="S287" s="23"/>
      <c r="T287" s="23"/>
      <c r="U287" s="23"/>
    </row>
    <row r="288" spans="1:21" x14ac:dyDescent="0.2">
      <c r="A288" s="23">
        <v>46</v>
      </c>
      <c r="B288" s="23">
        <v>0</v>
      </c>
      <c r="C288" s="23">
        <v>48.07</v>
      </c>
      <c r="D288" s="23">
        <v>2</v>
      </c>
      <c r="E288" s="23">
        <v>0</v>
      </c>
      <c r="F288" s="23">
        <v>1</v>
      </c>
      <c r="G288" s="23">
        <v>0</v>
      </c>
      <c r="H288" s="23">
        <v>0</v>
      </c>
      <c r="I288" s="23">
        <v>0</v>
      </c>
      <c r="J288" s="23">
        <v>9432.9253000000008</v>
      </c>
      <c r="N288" s="23"/>
      <c r="O288" s="23"/>
      <c r="P288" s="23"/>
      <c r="Q288" s="23"/>
      <c r="R288" s="23"/>
      <c r="S288" s="23"/>
      <c r="T288" s="23"/>
      <c r="U288" s="23"/>
    </row>
    <row r="289" spans="1:21" x14ac:dyDescent="0.2">
      <c r="A289" s="23">
        <v>63</v>
      </c>
      <c r="B289" s="23">
        <v>0</v>
      </c>
      <c r="C289" s="23">
        <v>26.22</v>
      </c>
      <c r="D289" s="23">
        <v>0</v>
      </c>
      <c r="E289" s="23">
        <v>0</v>
      </c>
      <c r="F289" s="23">
        <v>0</v>
      </c>
      <c r="G289" s="23">
        <v>0</v>
      </c>
      <c r="H289" s="23">
        <v>0</v>
      </c>
      <c r="I289" s="23">
        <v>1</v>
      </c>
      <c r="J289" s="23">
        <v>14256.192800000001</v>
      </c>
      <c r="N289" s="23"/>
      <c r="O289" s="23"/>
      <c r="P289" s="23"/>
      <c r="Q289" s="23"/>
      <c r="R289" s="23"/>
      <c r="S289" s="23"/>
      <c r="T289" s="23"/>
      <c r="U289" s="23"/>
    </row>
    <row r="290" spans="1:21" x14ac:dyDescent="0.2">
      <c r="A290" s="23">
        <v>59</v>
      </c>
      <c r="B290" s="23">
        <v>0</v>
      </c>
      <c r="C290" s="23">
        <v>36.765000000000001</v>
      </c>
      <c r="D290" s="23">
        <v>1</v>
      </c>
      <c r="E290" s="23">
        <v>1</v>
      </c>
      <c r="F290" s="23">
        <v>1</v>
      </c>
      <c r="G290" s="23">
        <v>0</v>
      </c>
      <c r="H290" s="23">
        <v>0</v>
      </c>
      <c r="I290" s="23">
        <v>0</v>
      </c>
      <c r="J290" s="23">
        <v>47896.79135</v>
      </c>
      <c r="N290" s="23"/>
      <c r="O290" s="23"/>
      <c r="P290" s="23"/>
      <c r="Q290" s="23"/>
      <c r="R290" s="23"/>
      <c r="S290" s="23"/>
      <c r="T290" s="23"/>
      <c r="U290" s="23"/>
    </row>
    <row r="291" spans="1:21" x14ac:dyDescent="0.2">
      <c r="A291" s="23">
        <v>52</v>
      </c>
      <c r="B291" s="23">
        <v>1</v>
      </c>
      <c r="C291" s="23">
        <v>26.4</v>
      </c>
      <c r="D291" s="23">
        <v>3</v>
      </c>
      <c r="E291" s="23">
        <v>0</v>
      </c>
      <c r="F291" s="23">
        <v>0</v>
      </c>
      <c r="G291" s="23">
        <v>1</v>
      </c>
      <c r="H291" s="23">
        <v>0</v>
      </c>
      <c r="I291" s="23">
        <v>0</v>
      </c>
      <c r="J291" s="23">
        <v>25992.821039999999</v>
      </c>
      <c r="N291" s="23"/>
      <c r="O291" s="23"/>
      <c r="P291" s="23"/>
      <c r="Q291" s="23"/>
      <c r="R291" s="23"/>
      <c r="S291" s="23"/>
      <c r="T291" s="23"/>
      <c r="U291" s="23"/>
    </row>
    <row r="292" spans="1:21" x14ac:dyDescent="0.2">
      <c r="A292" s="23">
        <v>28</v>
      </c>
      <c r="B292" s="23">
        <v>0</v>
      </c>
      <c r="C292" s="23">
        <v>33.4</v>
      </c>
      <c r="D292" s="23">
        <v>0</v>
      </c>
      <c r="E292" s="23">
        <v>0</v>
      </c>
      <c r="F292" s="23">
        <v>0</v>
      </c>
      <c r="G292" s="23">
        <v>0</v>
      </c>
      <c r="H292" s="23">
        <v>1</v>
      </c>
      <c r="I292" s="23">
        <v>0</v>
      </c>
      <c r="J292" s="23">
        <v>3172.018</v>
      </c>
      <c r="N292" s="23"/>
      <c r="O292" s="23"/>
      <c r="P292" s="23"/>
      <c r="Q292" s="23"/>
      <c r="R292" s="23"/>
      <c r="S292" s="23"/>
      <c r="T292" s="23"/>
      <c r="U292" s="23"/>
    </row>
    <row r="293" spans="1:21" x14ac:dyDescent="0.2">
      <c r="A293" s="23">
        <v>29</v>
      </c>
      <c r="B293" s="23">
        <v>1</v>
      </c>
      <c r="C293" s="23">
        <v>29.64</v>
      </c>
      <c r="D293" s="23">
        <v>1</v>
      </c>
      <c r="E293" s="23">
        <v>0</v>
      </c>
      <c r="F293" s="23">
        <v>1</v>
      </c>
      <c r="G293" s="23">
        <v>0</v>
      </c>
      <c r="H293" s="23">
        <v>0</v>
      </c>
      <c r="I293" s="23">
        <v>0</v>
      </c>
      <c r="J293" s="23">
        <v>20277.807509999999</v>
      </c>
      <c r="N293" s="23"/>
      <c r="O293" s="23"/>
      <c r="P293" s="23"/>
      <c r="Q293" s="23"/>
      <c r="R293" s="23"/>
      <c r="S293" s="23"/>
      <c r="T293" s="23"/>
      <c r="U293" s="23"/>
    </row>
    <row r="294" spans="1:21" x14ac:dyDescent="0.2">
      <c r="A294" s="23">
        <v>25</v>
      </c>
      <c r="B294" s="23">
        <v>1</v>
      </c>
      <c r="C294" s="23">
        <v>45.54</v>
      </c>
      <c r="D294" s="23">
        <v>2</v>
      </c>
      <c r="E294" s="23">
        <v>1</v>
      </c>
      <c r="F294" s="23">
        <v>0</v>
      </c>
      <c r="G294" s="23">
        <v>1</v>
      </c>
      <c r="H294" s="23">
        <v>0</v>
      </c>
      <c r="I294" s="23">
        <v>0</v>
      </c>
      <c r="J294" s="23">
        <v>42112.2356</v>
      </c>
      <c r="N294" s="23"/>
      <c r="O294" s="23"/>
      <c r="P294" s="23"/>
      <c r="Q294" s="23"/>
      <c r="R294" s="23"/>
      <c r="S294" s="23"/>
      <c r="T294" s="23"/>
      <c r="U294" s="23"/>
    </row>
    <row r="295" spans="1:21" x14ac:dyDescent="0.2">
      <c r="A295" s="23">
        <v>22</v>
      </c>
      <c r="B295" s="23">
        <v>0</v>
      </c>
      <c r="C295" s="23">
        <v>28.82</v>
      </c>
      <c r="D295" s="23">
        <v>0</v>
      </c>
      <c r="E295" s="23">
        <v>0</v>
      </c>
      <c r="F295" s="23">
        <v>0</v>
      </c>
      <c r="G295" s="23">
        <v>1</v>
      </c>
      <c r="H295" s="23">
        <v>0</v>
      </c>
      <c r="I295" s="23">
        <v>0</v>
      </c>
      <c r="J295" s="23">
        <v>2156.7518</v>
      </c>
      <c r="N295" s="23"/>
      <c r="O295" s="23"/>
      <c r="P295" s="23"/>
      <c r="Q295" s="23"/>
      <c r="R295" s="23"/>
      <c r="S295" s="23"/>
      <c r="T295" s="23"/>
      <c r="U295" s="23"/>
    </row>
    <row r="296" spans="1:21" x14ac:dyDescent="0.2">
      <c r="A296" s="23">
        <v>25</v>
      </c>
      <c r="B296" s="23">
        <v>1</v>
      </c>
      <c r="C296" s="23">
        <v>26.8</v>
      </c>
      <c r="D296" s="23">
        <v>3</v>
      </c>
      <c r="E296" s="23">
        <v>0</v>
      </c>
      <c r="F296" s="23">
        <v>0</v>
      </c>
      <c r="G296" s="23">
        <v>0</v>
      </c>
      <c r="H296" s="23">
        <v>1</v>
      </c>
      <c r="I296" s="23">
        <v>0</v>
      </c>
      <c r="J296" s="23">
        <v>3906.127</v>
      </c>
      <c r="N296" s="23"/>
      <c r="O296" s="23"/>
      <c r="P296" s="23"/>
      <c r="Q296" s="23"/>
      <c r="R296" s="23"/>
      <c r="S296" s="23"/>
      <c r="T296" s="23"/>
      <c r="U296" s="23"/>
    </row>
    <row r="297" spans="1:21" x14ac:dyDescent="0.2">
      <c r="A297" s="23">
        <v>18</v>
      </c>
      <c r="B297" s="23">
        <v>1</v>
      </c>
      <c r="C297" s="23">
        <v>22.99</v>
      </c>
      <c r="D297" s="23">
        <v>0</v>
      </c>
      <c r="E297" s="23">
        <v>0</v>
      </c>
      <c r="F297" s="23">
        <v>1</v>
      </c>
      <c r="G297" s="23">
        <v>0</v>
      </c>
      <c r="H297" s="23">
        <v>0</v>
      </c>
      <c r="I297" s="23">
        <v>0</v>
      </c>
      <c r="J297" s="23">
        <v>1704.5681</v>
      </c>
      <c r="N297" s="23"/>
      <c r="O297" s="23"/>
      <c r="P297" s="23"/>
      <c r="Q297" s="23"/>
      <c r="R297" s="23"/>
      <c r="S297" s="23"/>
      <c r="T297" s="23"/>
      <c r="U297" s="23"/>
    </row>
    <row r="298" spans="1:21" x14ac:dyDescent="0.2">
      <c r="A298" s="23">
        <v>19</v>
      </c>
      <c r="B298" s="23">
        <v>1</v>
      </c>
      <c r="C298" s="23">
        <v>27.7</v>
      </c>
      <c r="D298" s="23">
        <v>0</v>
      </c>
      <c r="E298" s="23">
        <v>1</v>
      </c>
      <c r="F298" s="23">
        <v>0</v>
      </c>
      <c r="G298" s="23">
        <v>0</v>
      </c>
      <c r="H298" s="23">
        <v>1</v>
      </c>
      <c r="I298" s="23">
        <v>0</v>
      </c>
      <c r="J298" s="23">
        <v>16297.846</v>
      </c>
      <c r="N298" s="23"/>
      <c r="O298" s="23"/>
      <c r="P298" s="23"/>
      <c r="Q298" s="23"/>
      <c r="R298" s="23"/>
      <c r="S298" s="23"/>
      <c r="T298" s="23"/>
      <c r="U298" s="23"/>
    </row>
    <row r="299" spans="1:21" x14ac:dyDescent="0.2">
      <c r="A299" s="23">
        <v>47</v>
      </c>
      <c r="B299" s="23">
        <v>1</v>
      </c>
      <c r="C299" s="23">
        <v>25.41</v>
      </c>
      <c r="D299" s="23">
        <v>1</v>
      </c>
      <c r="E299" s="23">
        <v>1</v>
      </c>
      <c r="F299" s="23">
        <v>0</v>
      </c>
      <c r="G299" s="23">
        <v>1</v>
      </c>
      <c r="H299" s="23">
        <v>0</v>
      </c>
      <c r="I299" s="23">
        <v>0</v>
      </c>
      <c r="J299" s="23">
        <v>21978.676899999999</v>
      </c>
      <c r="N299" s="23"/>
      <c r="O299" s="23"/>
      <c r="P299" s="23"/>
      <c r="Q299" s="23"/>
      <c r="R299" s="23"/>
      <c r="S299" s="23"/>
      <c r="T299" s="23"/>
      <c r="U299" s="23"/>
    </row>
    <row r="300" spans="1:21" x14ac:dyDescent="0.2">
      <c r="A300" s="23">
        <v>31</v>
      </c>
      <c r="B300" s="23">
        <v>1</v>
      </c>
      <c r="C300" s="23">
        <v>34.39</v>
      </c>
      <c r="D300" s="23">
        <v>3</v>
      </c>
      <c r="E300" s="23">
        <v>1</v>
      </c>
      <c r="F300" s="23">
        <v>0</v>
      </c>
      <c r="G300" s="23">
        <v>0</v>
      </c>
      <c r="H300" s="23">
        <v>0</v>
      </c>
      <c r="I300" s="23">
        <v>1</v>
      </c>
      <c r="J300" s="23">
        <v>38746.355100000001</v>
      </c>
      <c r="N300" s="23"/>
      <c r="O300" s="23"/>
      <c r="P300" s="23"/>
      <c r="Q300" s="23"/>
      <c r="R300" s="23"/>
      <c r="S300" s="23"/>
      <c r="T300" s="23"/>
      <c r="U300" s="23"/>
    </row>
    <row r="301" spans="1:21" x14ac:dyDescent="0.2">
      <c r="A301" s="23">
        <v>48</v>
      </c>
      <c r="B301" s="23">
        <v>0</v>
      </c>
      <c r="C301" s="23">
        <v>28.88</v>
      </c>
      <c r="D301" s="23">
        <v>1</v>
      </c>
      <c r="E301" s="23">
        <v>0</v>
      </c>
      <c r="F301" s="23">
        <v>0</v>
      </c>
      <c r="G301" s="23">
        <v>0</v>
      </c>
      <c r="H301" s="23">
        <v>0</v>
      </c>
      <c r="I301" s="23">
        <v>1</v>
      </c>
      <c r="J301" s="23">
        <v>9249.4951999999994</v>
      </c>
      <c r="N301" s="23"/>
      <c r="O301" s="23"/>
      <c r="P301" s="23"/>
      <c r="Q301" s="23"/>
      <c r="R301" s="23"/>
      <c r="S301" s="23"/>
      <c r="T301" s="23"/>
      <c r="U301" s="23"/>
    </row>
    <row r="302" spans="1:21" x14ac:dyDescent="0.2">
      <c r="A302" s="23">
        <v>36</v>
      </c>
      <c r="B302" s="23">
        <v>1</v>
      </c>
      <c r="C302" s="23">
        <v>27.55</v>
      </c>
      <c r="D302" s="23">
        <v>3</v>
      </c>
      <c r="E302" s="23">
        <v>0</v>
      </c>
      <c r="F302" s="23">
        <v>1</v>
      </c>
      <c r="G302" s="23">
        <v>0</v>
      </c>
      <c r="H302" s="23">
        <v>0</v>
      </c>
      <c r="I302" s="23">
        <v>0</v>
      </c>
      <c r="J302" s="23">
        <v>6746.7425000000003</v>
      </c>
      <c r="N302" s="23"/>
      <c r="O302" s="23"/>
      <c r="P302" s="23"/>
      <c r="Q302" s="23"/>
      <c r="R302" s="23"/>
      <c r="S302" s="23"/>
      <c r="T302" s="23"/>
      <c r="U302" s="23"/>
    </row>
    <row r="303" spans="1:21" x14ac:dyDescent="0.2">
      <c r="A303" s="23">
        <v>53</v>
      </c>
      <c r="B303" s="23">
        <v>0</v>
      </c>
      <c r="C303" s="23">
        <v>22.61</v>
      </c>
      <c r="D303" s="23">
        <v>3</v>
      </c>
      <c r="E303" s="23">
        <v>1</v>
      </c>
      <c r="F303" s="23">
        <v>1</v>
      </c>
      <c r="G303" s="23">
        <v>0</v>
      </c>
      <c r="H303" s="23">
        <v>0</v>
      </c>
      <c r="I303" s="23">
        <v>0</v>
      </c>
      <c r="J303" s="23">
        <v>24873.384900000001</v>
      </c>
      <c r="N303" s="23"/>
      <c r="O303" s="23"/>
      <c r="P303" s="23"/>
      <c r="Q303" s="23"/>
      <c r="R303" s="23"/>
      <c r="S303" s="23"/>
      <c r="T303" s="23"/>
      <c r="U303" s="23"/>
    </row>
    <row r="304" spans="1:21" x14ac:dyDescent="0.2">
      <c r="A304" s="23">
        <v>56</v>
      </c>
      <c r="B304" s="23">
        <v>0</v>
      </c>
      <c r="C304" s="23">
        <v>37.51</v>
      </c>
      <c r="D304" s="23">
        <v>2</v>
      </c>
      <c r="E304" s="23">
        <v>0</v>
      </c>
      <c r="F304" s="23">
        <v>0</v>
      </c>
      <c r="G304" s="23">
        <v>1</v>
      </c>
      <c r="H304" s="23">
        <v>0</v>
      </c>
      <c r="I304" s="23">
        <v>0</v>
      </c>
      <c r="J304" s="23">
        <v>12265.5069</v>
      </c>
      <c r="N304" s="23"/>
      <c r="O304" s="23"/>
      <c r="P304" s="23"/>
      <c r="Q304" s="23"/>
      <c r="R304" s="23"/>
      <c r="S304" s="23"/>
      <c r="T304" s="23"/>
      <c r="U304" s="23"/>
    </row>
    <row r="305" spans="1:21" x14ac:dyDescent="0.2">
      <c r="A305" s="23">
        <v>28</v>
      </c>
      <c r="B305" s="23">
        <v>0</v>
      </c>
      <c r="C305" s="23">
        <v>33</v>
      </c>
      <c r="D305" s="23">
        <v>2</v>
      </c>
      <c r="E305" s="23">
        <v>0</v>
      </c>
      <c r="F305" s="23">
        <v>0</v>
      </c>
      <c r="G305" s="23">
        <v>1</v>
      </c>
      <c r="H305" s="23">
        <v>0</v>
      </c>
      <c r="I305" s="23">
        <v>0</v>
      </c>
      <c r="J305" s="23">
        <v>4349.4620000000004</v>
      </c>
      <c r="N305" s="23"/>
      <c r="O305" s="23"/>
      <c r="P305" s="23"/>
      <c r="Q305" s="23"/>
      <c r="R305" s="23"/>
      <c r="S305" s="23"/>
      <c r="T305" s="23"/>
      <c r="U305" s="23"/>
    </row>
    <row r="306" spans="1:21" x14ac:dyDescent="0.2">
      <c r="A306" s="23">
        <v>57</v>
      </c>
      <c r="B306" s="23">
        <v>0</v>
      </c>
      <c r="C306" s="23">
        <v>38</v>
      </c>
      <c r="D306" s="23">
        <v>2</v>
      </c>
      <c r="E306" s="23">
        <v>0</v>
      </c>
      <c r="F306" s="23">
        <v>0</v>
      </c>
      <c r="G306" s="23">
        <v>0</v>
      </c>
      <c r="H306" s="23">
        <v>1</v>
      </c>
      <c r="I306" s="23">
        <v>0</v>
      </c>
      <c r="J306" s="23">
        <v>12646.207</v>
      </c>
      <c r="N306" s="23"/>
      <c r="O306" s="23"/>
      <c r="P306" s="23"/>
      <c r="Q306" s="23"/>
      <c r="R306" s="23"/>
      <c r="S306" s="23"/>
      <c r="T306" s="23"/>
      <c r="U306" s="23"/>
    </row>
    <row r="307" spans="1:21" x14ac:dyDescent="0.2">
      <c r="A307" s="23">
        <v>29</v>
      </c>
      <c r="B307" s="23">
        <v>1</v>
      </c>
      <c r="C307" s="23">
        <v>33.344999999999999</v>
      </c>
      <c r="D307" s="23">
        <v>2</v>
      </c>
      <c r="E307" s="23">
        <v>0</v>
      </c>
      <c r="F307" s="23">
        <v>0</v>
      </c>
      <c r="G307" s="23">
        <v>0</v>
      </c>
      <c r="H307" s="23">
        <v>0</v>
      </c>
      <c r="I307" s="23">
        <v>1</v>
      </c>
      <c r="J307" s="23">
        <v>19442.353500000001</v>
      </c>
      <c r="N307" s="23"/>
      <c r="O307" s="23"/>
      <c r="P307" s="23"/>
      <c r="Q307" s="23"/>
      <c r="R307" s="23"/>
      <c r="S307" s="23"/>
      <c r="T307" s="23"/>
      <c r="U307" s="23"/>
    </row>
    <row r="308" spans="1:21" x14ac:dyDescent="0.2">
      <c r="A308" s="23">
        <v>28</v>
      </c>
      <c r="B308" s="23">
        <v>0</v>
      </c>
      <c r="C308" s="23">
        <v>27.5</v>
      </c>
      <c r="D308" s="23">
        <v>2</v>
      </c>
      <c r="E308" s="23">
        <v>0</v>
      </c>
      <c r="F308" s="23">
        <v>0</v>
      </c>
      <c r="G308" s="23">
        <v>0</v>
      </c>
      <c r="H308" s="23">
        <v>1</v>
      </c>
      <c r="I308" s="23">
        <v>0</v>
      </c>
      <c r="J308" s="23">
        <v>20177.671129999999</v>
      </c>
      <c r="N308" s="23"/>
      <c r="O308" s="23"/>
      <c r="P308" s="23"/>
      <c r="Q308" s="23"/>
      <c r="R308" s="23"/>
      <c r="S308" s="23"/>
      <c r="T308" s="23"/>
      <c r="U308" s="23"/>
    </row>
    <row r="309" spans="1:21" x14ac:dyDescent="0.2">
      <c r="A309" s="23">
        <v>30</v>
      </c>
      <c r="B309" s="23">
        <v>0</v>
      </c>
      <c r="C309" s="23">
        <v>33.33</v>
      </c>
      <c r="D309" s="23">
        <v>1</v>
      </c>
      <c r="E309" s="23">
        <v>0</v>
      </c>
      <c r="F309" s="23">
        <v>0</v>
      </c>
      <c r="G309" s="23">
        <v>1</v>
      </c>
      <c r="H309" s="23">
        <v>0</v>
      </c>
      <c r="I309" s="23">
        <v>0</v>
      </c>
      <c r="J309" s="23">
        <v>4151.0286999999998</v>
      </c>
      <c r="N309" s="23"/>
      <c r="O309" s="23"/>
      <c r="P309" s="23"/>
      <c r="Q309" s="23"/>
      <c r="R309" s="23"/>
      <c r="S309" s="23"/>
      <c r="T309" s="23"/>
      <c r="U309" s="23"/>
    </row>
    <row r="310" spans="1:21" x14ac:dyDescent="0.2">
      <c r="A310" s="23">
        <v>58</v>
      </c>
      <c r="B310" s="23">
        <v>1</v>
      </c>
      <c r="C310" s="23">
        <v>34.865000000000002</v>
      </c>
      <c r="D310" s="23">
        <v>0</v>
      </c>
      <c r="E310" s="23">
        <v>0</v>
      </c>
      <c r="F310" s="23">
        <v>1</v>
      </c>
      <c r="G310" s="23">
        <v>0</v>
      </c>
      <c r="H310" s="23">
        <v>0</v>
      </c>
      <c r="I310" s="23">
        <v>0</v>
      </c>
      <c r="J310" s="23">
        <v>11944.594349999999</v>
      </c>
      <c r="N310" s="23"/>
      <c r="O310" s="23"/>
      <c r="P310" s="23"/>
      <c r="Q310" s="23"/>
      <c r="R310" s="23"/>
      <c r="S310" s="23"/>
      <c r="T310" s="23"/>
      <c r="U310" s="23"/>
    </row>
    <row r="311" spans="1:21" x14ac:dyDescent="0.2">
      <c r="A311" s="23">
        <v>41</v>
      </c>
      <c r="B311" s="23">
        <v>0</v>
      </c>
      <c r="C311" s="23">
        <v>33.06</v>
      </c>
      <c r="D311" s="23">
        <v>2</v>
      </c>
      <c r="E311" s="23">
        <v>0</v>
      </c>
      <c r="F311" s="23">
        <v>0</v>
      </c>
      <c r="G311" s="23">
        <v>0</v>
      </c>
      <c r="H311" s="23">
        <v>0</v>
      </c>
      <c r="I311" s="23">
        <v>1</v>
      </c>
      <c r="J311" s="23">
        <v>7749.1563999999998</v>
      </c>
      <c r="N311" s="23"/>
      <c r="O311" s="23"/>
      <c r="P311" s="23"/>
      <c r="Q311" s="23"/>
      <c r="R311" s="23"/>
      <c r="S311" s="23"/>
      <c r="T311" s="23"/>
      <c r="U311" s="23"/>
    </row>
    <row r="312" spans="1:21" x14ac:dyDescent="0.2">
      <c r="A312" s="23">
        <v>50</v>
      </c>
      <c r="B312" s="23">
        <v>1</v>
      </c>
      <c r="C312" s="23">
        <v>26.6</v>
      </c>
      <c r="D312" s="23">
        <v>0</v>
      </c>
      <c r="E312" s="23">
        <v>0</v>
      </c>
      <c r="F312" s="23">
        <v>0</v>
      </c>
      <c r="G312" s="23">
        <v>0</v>
      </c>
      <c r="H312" s="23">
        <v>1</v>
      </c>
      <c r="I312" s="23">
        <v>0</v>
      </c>
      <c r="J312" s="23">
        <v>8444.4740000000002</v>
      </c>
      <c r="N312" s="23"/>
      <c r="O312" s="23"/>
      <c r="P312" s="23"/>
      <c r="Q312" s="23"/>
      <c r="R312" s="23"/>
      <c r="S312" s="23"/>
      <c r="T312" s="23"/>
      <c r="U312" s="23"/>
    </row>
    <row r="313" spans="1:21" x14ac:dyDescent="0.2">
      <c r="A313" s="23">
        <v>19</v>
      </c>
      <c r="B313" s="23">
        <v>0</v>
      </c>
      <c r="C313" s="23">
        <v>24.7</v>
      </c>
      <c r="D313" s="23">
        <v>0</v>
      </c>
      <c r="E313" s="23">
        <v>0</v>
      </c>
      <c r="F313" s="23">
        <v>0</v>
      </c>
      <c r="G313" s="23">
        <v>0</v>
      </c>
      <c r="H313" s="23">
        <v>1</v>
      </c>
      <c r="I313" s="23">
        <v>0</v>
      </c>
      <c r="J313" s="23">
        <v>1737.376</v>
      </c>
      <c r="N313" s="23"/>
      <c r="O313" s="23"/>
      <c r="P313" s="23"/>
      <c r="Q313" s="23"/>
      <c r="R313" s="23"/>
      <c r="S313" s="23"/>
      <c r="T313" s="23"/>
      <c r="U313" s="23"/>
    </row>
    <row r="314" spans="1:21" x14ac:dyDescent="0.2">
      <c r="A314" s="23">
        <v>43</v>
      </c>
      <c r="B314" s="23">
        <v>1</v>
      </c>
      <c r="C314" s="23">
        <v>35.97</v>
      </c>
      <c r="D314" s="23">
        <v>3</v>
      </c>
      <c r="E314" s="23">
        <v>1</v>
      </c>
      <c r="F314" s="23">
        <v>0</v>
      </c>
      <c r="G314" s="23">
        <v>1</v>
      </c>
      <c r="H314" s="23">
        <v>0</v>
      </c>
      <c r="I314" s="23">
        <v>0</v>
      </c>
      <c r="J314" s="23">
        <v>42124.515299999999</v>
      </c>
      <c r="N314" s="23"/>
      <c r="O314" s="23"/>
      <c r="P314" s="23"/>
      <c r="Q314" s="23"/>
      <c r="R314" s="23"/>
      <c r="S314" s="23"/>
      <c r="T314" s="23"/>
      <c r="U314" s="23"/>
    </row>
    <row r="315" spans="1:21" x14ac:dyDescent="0.2">
      <c r="A315" s="23">
        <v>49</v>
      </c>
      <c r="B315" s="23">
        <v>1</v>
      </c>
      <c r="C315" s="23">
        <v>35.86</v>
      </c>
      <c r="D315" s="23">
        <v>0</v>
      </c>
      <c r="E315" s="23">
        <v>0</v>
      </c>
      <c r="F315" s="23">
        <v>0</v>
      </c>
      <c r="G315" s="23">
        <v>1</v>
      </c>
      <c r="H315" s="23">
        <v>0</v>
      </c>
      <c r="I315" s="23">
        <v>0</v>
      </c>
      <c r="J315" s="23">
        <v>8124.4084000000003</v>
      </c>
      <c r="N315" s="23"/>
      <c r="O315" s="23"/>
      <c r="P315" s="23"/>
      <c r="Q315" s="23"/>
      <c r="R315" s="23"/>
      <c r="S315" s="23"/>
      <c r="T315" s="23"/>
      <c r="U315" s="23"/>
    </row>
    <row r="316" spans="1:21" x14ac:dyDescent="0.2">
      <c r="A316" s="23">
        <v>27</v>
      </c>
      <c r="B316" s="23">
        <v>0</v>
      </c>
      <c r="C316" s="23">
        <v>31.4</v>
      </c>
      <c r="D316" s="23">
        <v>0</v>
      </c>
      <c r="E316" s="23">
        <v>1</v>
      </c>
      <c r="F316" s="23">
        <v>0</v>
      </c>
      <c r="G316" s="23">
        <v>0</v>
      </c>
      <c r="H316" s="23">
        <v>1</v>
      </c>
      <c r="I316" s="23">
        <v>0</v>
      </c>
      <c r="J316" s="23">
        <v>34838.873</v>
      </c>
      <c r="N316" s="23"/>
      <c r="O316" s="23"/>
      <c r="P316" s="23"/>
      <c r="Q316" s="23"/>
      <c r="R316" s="23"/>
      <c r="S316" s="23"/>
      <c r="T316" s="23"/>
      <c r="U316" s="23"/>
    </row>
    <row r="317" spans="1:21" x14ac:dyDescent="0.2">
      <c r="A317" s="23">
        <v>52</v>
      </c>
      <c r="B317" s="23">
        <v>1</v>
      </c>
      <c r="C317" s="23">
        <v>33.25</v>
      </c>
      <c r="D317" s="23">
        <v>0</v>
      </c>
      <c r="E317" s="23">
        <v>0</v>
      </c>
      <c r="F317" s="23">
        <v>1</v>
      </c>
      <c r="G317" s="23">
        <v>0</v>
      </c>
      <c r="H317" s="23">
        <v>0</v>
      </c>
      <c r="I317" s="23">
        <v>0</v>
      </c>
      <c r="J317" s="23">
        <v>9722.7695000000003</v>
      </c>
      <c r="N317" s="23"/>
      <c r="O317" s="23"/>
      <c r="P317" s="23"/>
      <c r="Q317" s="23"/>
      <c r="R317" s="23"/>
      <c r="S317" s="23"/>
      <c r="T317" s="23"/>
      <c r="U317" s="23"/>
    </row>
    <row r="318" spans="1:21" x14ac:dyDescent="0.2">
      <c r="A318" s="23">
        <v>50</v>
      </c>
      <c r="B318" s="23">
        <v>1</v>
      </c>
      <c r="C318" s="23">
        <v>32.204999999999998</v>
      </c>
      <c r="D318" s="23">
        <v>0</v>
      </c>
      <c r="E318" s="23">
        <v>0</v>
      </c>
      <c r="F318" s="23">
        <v>0</v>
      </c>
      <c r="G318" s="23">
        <v>0</v>
      </c>
      <c r="H318" s="23">
        <v>0</v>
      </c>
      <c r="I318" s="23">
        <v>1</v>
      </c>
      <c r="J318" s="23">
        <v>8835.2649500000007</v>
      </c>
      <c r="N318" s="23"/>
      <c r="O318" s="23"/>
      <c r="P318" s="23"/>
      <c r="Q318" s="23"/>
      <c r="R318" s="23"/>
      <c r="S318" s="23"/>
      <c r="T318" s="23"/>
      <c r="U318" s="23"/>
    </row>
    <row r="319" spans="1:21" x14ac:dyDescent="0.2">
      <c r="A319" s="23">
        <v>54</v>
      </c>
      <c r="B319" s="23">
        <v>1</v>
      </c>
      <c r="C319" s="23">
        <v>32.774999999999999</v>
      </c>
      <c r="D319" s="23">
        <v>0</v>
      </c>
      <c r="E319" s="23">
        <v>0</v>
      </c>
      <c r="F319" s="23">
        <v>1</v>
      </c>
      <c r="G319" s="23">
        <v>0</v>
      </c>
      <c r="H319" s="23">
        <v>0</v>
      </c>
      <c r="I319" s="23">
        <v>0</v>
      </c>
      <c r="J319" s="23">
        <v>10435.06525</v>
      </c>
      <c r="N319" s="23"/>
      <c r="O319" s="23"/>
      <c r="P319" s="23"/>
      <c r="Q319" s="23"/>
      <c r="R319" s="23"/>
      <c r="S319" s="23"/>
      <c r="T319" s="23"/>
      <c r="U319" s="23"/>
    </row>
    <row r="320" spans="1:21" x14ac:dyDescent="0.2">
      <c r="A320" s="23">
        <v>44</v>
      </c>
      <c r="B320" s="23">
        <v>0</v>
      </c>
      <c r="C320" s="23">
        <v>27.645</v>
      </c>
      <c r="D320" s="23">
        <v>0</v>
      </c>
      <c r="E320" s="23">
        <v>0</v>
      </c>
      <c r="F320" s="23">
        <v>0</v>
      </c>
      <c r="G320" s="23">
        <v>0</v>
      </c>
      <c r="H320" s="23">
        <v>0</v>
      </c>
      <c r="I320" s="23">
        <v>1</v>
      </c>
      <c r="J320" s="23">
        <v>7421.1945500000002</v>
      </c>
      <c r="N320" s="23"/>
      <c r="O320" s="23"/>
      <c r="P320" s="23"/>
      <c r="Q320" s="23"/>
      <c r="R320" s="23"/>
      <c r="S320" s="23"/>
      <c r="T320" s="23"/>
      <c r="U320" s="23"/>
    </row>
    <row r="321" spans="1:21" x14ac:dyDescent="0.2">
      <c r="A321" s="23">
        <v>32</v>
      </c>
      <c r="B321" s="23">
        <v>1</v>
      </c>
      <c r="C321" s="23">
        <v>37.335000000000001</v>
      </c>
      <c r="D321" s="23">
        <v>1</v>
      </c>
      <c r="E321" s="23">
        <v>0</v>
      </c>
      <c r="F321" s="23">
        <v>1</v>
      </c>
      <c r="G321" s="23">
        <v>0</v>
      </c>
      <c r="H321" s="23">
        <v>0</v>
      </c>
      <c r="I321" s="23">
        <v>0</v>
      </c>
      <c r="J321" s="23">
        <v>4667.6076499999999</v>
      </c>
      <c r="N321" s="23"/>
      <c r="O321" s="23"/>
      <c r="P321" s="23"/>
      <c r="Q321" s="23"/>
      <c r="R321" s="23"/>
      <c r="S321" s="23"/>
      <c r="T321" s="23"/>
      <c r="U321" s="23"/>
    </row>
    <row r="322" spans="1:21" x14ac:dyDescent="0.2">
      <c r="A322" s="23">
        <v>34</v>
      </c>
      <c r="B322" s="23">
        <v>1</v>
      </c>
      <c r="C322" s="23">
        <v>25.27</v>
      </c>
      <c r="D322" s="23">
        <v>1</v>
      </c>
      <c r="E322" s="23">
        <v>0</v>
      </c>
      <c r="F322" s="23">
        <v>0</v>
      </c>
      <c r="G322" s="23">
        <v>0</v>
      </c>
      <c r="H322" s="23">
        <v>0</v>
      </c>
      <c r="I322" s="23">
        <v>1</v>
      </c>
      <c r="J322" s="23">
        <v>4894.7533000000003</v>
      </c>
      <c r="N322" s="23"/>
      <c r="O322" s="23"/>
      <c r="P322" s="23"/>
      <c r="Q322" s="23"/>
      <c r="R322" s="23"/>
      <c r="S322" s="23"/>
      <c r="T322" s="23"/>
      <c r="U322" s="23"/>
    </row>
    <row r="323" spans="1:21" x14ac:dyDescent="0.2">
      <c r="A323" s="23">
        <v>26</v>
      </c>
      <c r="B323" s="23">
        <v>0</v>
      </c>
      <c r="C323" s="23">
        <v>29.64</v>
      </c>
      <c r="D323" s="23">
        <v>4</v>
      </c>
      <c r="E323" s="23">
        <v>0</v>
      </c>
      <c r="F323" s="23">
        <v>1</v>
      </c>
      <c r="G323" s="23">
        <v>0</v>
      </c>
      <c r="H323" s="23">
        <v>0</v>
      </c>
      <c r="I323" s="23">
        <v>0</v>
      </c>
      <c r="J323" s="23">
        <v>24671.663339999999</v>
      </c>
      <c r="N323" s="23"/>
      <c r="O323" s="23"/>
      <c r="P323" s="23"/>
      <c r="Q323" s="23"/>
      <c r="R323" s="23"/>
      <c r="S323" s="23"/>
      <c r="T323" s="23"/>
      <c r="U323" s="23"/>
    </row>
    <row r="324" spans="1:21" x14ac:dyDescent="0.2">
      <c r="A324" s="23">
        <v>34</v>
      </c>
      <c r="B324" s="23">
        <v>1</v>
      </c>
      <c r="C324" s="23">
        <v>30.8</v>
      </c>
      <c r="D324" s="23">
        <v>0</v>
      </c>
      <c r="E324" s="23">
        <v>1</v>
      </c>
      <c r="F324" s="23">
        <v>0</v>
      </c>
      <c r="G324" s="23">
        <v>0</v>
      </c>
      <c r="H324" s="23">
        <v>1</v>
      </c>
      <c r="I324" s="23">
        <v>0</v>
      </c>
      <c r="J324" s="23">
        <v>35491.64</v>
      </c>
      <c r="N324" s="23"/>
      <c r="O324" s="23"/>
      <c r="P324" s="23"/>
      <c r="Q324" s="23"/>
      <c r="R324" s="23"/>
      <c r="S324" s="23"/>
      <c r="T324" s="23"/>
      <c r="U324" s="23"/>
    </row>
    <row r="325" spans="1:21" x14ac:dyDescent="0.2">
      <c r="A325" s="23">
        <v>57</v>
      </c>
      <c r="B325" s="23">
        <v>1</v>
      </c>
      <c r="C325" s="23">
        <v>40.945</v>
      </c>
      <c r="D325" s="23">
        <v>0</v>
      </c>
      <c r="E325" s="23">
        <v>0</v>
      </c>
      <c r="F325" s="23">
        <v>1</v>
      </c>
      <c r="G325" s="23">
        <v>0</v>
      </c>
      <c r="H325" s="23">
        <v>0</v>
      </c>
      <c r="I325" s="23">
        <v>0</v>
      </c>
      <c r="J325" s="23">
        <v>11566.30055</v>
      </c>
      <c r="N325" s="23"/>
      <c r="O325" s="23"/>
      <c r="P325" s="23"/>
      <c r="Q325" s="23"/>
      <c r="R325" s="23"/>
      <c r="S325" s="23"/>
      <c r="T325" s="23"/>
      <c r="U325" s="23"/>
    </row>
    <row r="326" spans="1:21" x14ac:dyDescent="0.2">
      <c r="A326" s="23">
        <v>29</v>
      </c>
      <c r="B326" s="23">
        <v>1</v>
      </c>
      <c r="C326" s="23">
        <v>27.2</v>
      </c>
      <c r="D326" s="23">
        <v>0</v>
      </c>
      <c r="E326" s="23">
        <v>0</v>
      </c>
      <c r="F326" s="23">
        <v>0</v>
      </c>
      <c r="G326" s="23">
        <v>0</v>
      </c>
      <c r="H326" s="23">
        <v>1</v>
      </c>
      <c r="I326" s="23">
        <v>0</v>
      </c>
      <c r="J326" s="23">
        <v>2866.0909999999999</v>
      </c>
      <c r="N326" s="23"/>
      <c r="O326" s="23"/>
      <c r="P326" s="23"/>
      <c r="Q326" s="23"/>
      <c r="R326" s="23"/>
      <c r="S326" s="23"/>
      <c r="T326" s="23"/>
      <c r="U326" s="23"/>
    </row>
    <row r="327" spans="1:21" x14ac:dyDescent="0.2">
      <c r="A327" s="23">
        <v>40</v>
      </c>
      <c r="B327" s="23">
        <v>1</v>
      </c>
      <c r="C327" s="23">
        <v>34.104999999999997</v>
      </c>
      <c r="D327" s="23">
        <v>1</v>
      </c>
      <c r="E327" s="23">
        <v>0</v>
      </c>
      <c r="F327" s="23">
        <v>1</v>
      </c>
      <c r="G327" s="23">
        <v>0</v>
      </c>
      <c r="H327" s="23">
        <v>0</v>
      </c>
      <c r="I327" s="23">
        <v>0</v>
      </c>
      <c r="J327" s="23">
        <v>6600.2059499999996</v>
      </c>
      <c r="N327" s="23"/>
      <c r="O327" s="23"/>
      <c r="P327" s="23"/>
      <c r="Q327" s="23"/>
      <c r="R327" s="23"/>
      <c r="S327" s="23"/>
      <c r="T327" s="23"/>
      <c r="U327" s="23"/>
    </row>
    <row r="328" spans="1:21" x14ac:dyDescent="0.2">
      <c r="A328" s="23">
        <v>27</v>
      </c>
      <c r="B328" s="23">
        <v>0</v>
      </c>
      <c r="C328" s="23">
        <v>23.21</v>
      </c>
      <c r="D328" s="23">
        <v>1</v>
      </c>
      <c r="E328" s="23">
        <v>0</v>
      </c>
      <c r="F328" s="23">
        <v>0</v>
      </c>
      <c r="G328" s="23">
        <v>1</v>
      </c>
      <c r="H328" s="23">
        <v>0</v>
      </c>
      <c r="I328" s="23">
        <v>0</v>
      </c>
      <c r="J328" s="23">
        <v>3561.8888999999999</v>
      </c>
      <c r="N328" s="23"/>
      <c r="O328" s="23"/>
      <c r="P328" s="23"/>
      <c r="Q328" s="23"/>
      <c r="R328" s="23"/>
      <c r="S328" s="23"/>
      <c r="T328" s="23"/>
      <c r="U328" s="23"/>
    </row>
    <row r="329" spans="1:21" x14ac:dyDescent="0.2">
      <c r="A329" s="23">
        <v>45</v>
      </c>
      <c r="B329" s="23">
        <v>1</v>
      </c>
      <c r="C329" s="23">
        <v>36.479999999999997</v>
      </c>
      <c r="D329" s="23">
        <v>2</v>
      </c>
      <c r="E329" s="23">
        <v>1</v>
      </c>
      <c r="F329" s="23">
        <v>0</v>
      </c>
      <c r="G329" s="23">
        <v>0</v>
      </c>
      <c r="H329" s="23">
        <v>0</v>
      </c>
      <c r="I329" s="23">
        <v>1</v>
      </c>
      <c r="J329" s="23">
        <v>42760.502200000003</v>
      </c>
      <c r="N329" s="23"/>
      <c r="O329" s="23"/>
      <c r="P329" s="23"/>
      <c r="Q329" s="23"/>
      <c r="R329" s="23"/>
      <c r="S329" s="23"/>
      <c r="T329" s="23"/>
      <c r="U329" s="23"/>
    </row>
    <row r="330" spans="1:21" x14ac:dyDescent="0.2">
      <c r="A330" s="23">
        <v>64</v>
      </c>
      <c r="B330" s="23">
        <v>0</v>
      </c>
      <c r="C330" s="23">
        <v>33.799999999999997</v>
      </c>
      <c r="D330" s="23">
        <v>1</v>
      </c>
      <c r="E330" s="23">
        <v>1</v>
      </c>
      <c r="F330" s="23">
        <v>0</v>
      </c>
      <c r="G330" s="23">
        <v>0</v>
      </c>
      <c r="H330" s="23">
        <v>1</v>
      </c>
      <c r="I330" s="23">
        <v>0</v>
      </c>
      <c r="J330" s="23">
        <v>47928.03</v>
      </c>
      <c r="N330" s="23"/>
      <c r="O330" s="23"/>
      <c r="P330" s="23"/>
      <c r="Q330" s="23"/>
      <c r="R330" s="23"/>
      <c r="S330" s="23"/>
      <c r="T330" s="23"/>
      <c r="U330" s="23"/>
    </row>
    <row r="331" spans="1:21" x14ac:dyDescent="0.2">
      <c r="A331" s="23">
        <v>52</v>
      </c>
      <c r="B331" s="23">
        <v>1</v>
      </c>
      <c r="C331" s="23">
        <v>36.700000000000003</v>
      </c>
      <c r="D331" s="23">
        <v>0</v>
      </c>
      <c r="E331" s="23">
        <v>0</v>
      </c>
      <c r="F331" s="23">
        <v>0</v>
      </c>
      <c r="G331" s="23">
        <v>0</v>
      </c>
      <c r="H331" s="23">
        <v>1</v>
      </c>
      <c r="I331" s="23">
        <v>0</v>
      </c>
      <c r="J331" s="23">
        <v>9144.5650000000005</v>
      </c>
      <c r="N331" s="23"/>
      <c r="O331" s="23"/>
      <c r="P331" s="23"/>
      <c r="Q331" s="23"/>
      <c r="R331" s="23"/>
      <c r="S331" s="23"/>
      <c r="T331" s="23"/>
      <c r="U331" s="23"/>
    </row>
    <row r="332" spans="1:21" x14ac:dyDescent="0.2">
      <c r="A332" s="23">
        <v>61</v>
      </c>
      <c r="B332" s="23">
        <v>0</v>
      </c>
      <c r="C332" s="23">
        <v>36.384999999999998</v>
      </c>
      <c r="D332" s="23">
        <v>1</v>
      </c>
      <c r="E332" s="23">
        <v>1</v>
      </c>
      <c r="F332" s="23">
        <v>1</v>
      </c>
      <c r="G332" s="23">
        <v>0</v>
      </c>
      <c r="H332" s="23">
        <v>0</v>
      </c>
      <c r="I332" s="23">
        <v>0</v>
      </c>
      <c r="J332" s="23">
        <v>48517.563150000002</v>
      </c>
      <c r="N332" s="23"/>
      <c r="O332" s="23"/>
      <c r="P332" s="23"/>
      <c r="Q332" s="23"/>
      <c r="R332" s="23"/>
      <c r="S332" s="23"/>
      <c r="T332" s="23"/>
      <c r="U332" s="23"/>
    </row>
    <row r="333" spans="1:21" x14ac:dyDescent="0.2">
      <c r="A333" s="23">
        <v>52</v>
      </c>
      <c r="B333" s="23">
        <v>1</v>
      </c>
      <c r="C333" s="23">
        <v>27.36</v>
      </c>
      <c r="D333" s="23">
        <v>0</v>
      </c>
      <c r="E333" s="23">
        <v>1</v>
      </c>
      <c r="F333" s="23">
        <v>0</v>
      </c>
      <c r="G333" s="23">
        <v>0</v>
      </c>
      <c r="H333" s="23">
        <v>0</v>
      </c>
      <c r="I333" s="23">
        <v>1</v>
      </c>
      <c r="J333" s="23">
        <v>24393.6224</v>
      </c>
      <c r="N333" s="23"/>
      <c r="O333" s="23"/>
      <c r="P333" s="23"/>
      <c r="Q333" s="23"/>
      <c r="R333" s="23"/>
      <c r="S333" s="23"/>
      <c r="T333" s="23"/>
      <c r="U333" s="23"/>
    </row>
    <row r="334" spans="1:21" x14ac:dyDescent="0.2">
      <c r="A334" s="23">
        <v>61</v>
      </c>
      <c r="B334" s="23">
        <v>0</v>
      </c>
      <c r="C334" s="23">
        <v>31.16</v>
      </c>
      <c r="D334" s="23">
        <v>0</v>
      </c>
      <c r="E334" s="23">
        <v>0</v>
      </c>
      <c r="F334" s="23">
        <v>0</v>
      </c>
      <c r="G334" s="23">
        <v>0</v>
      </c>
      <c r="H334" s="23">
        <v>0</v>
      </c>
      <c r="I334" s="23">
        <v>1</v>
      </c>
      <c r="J334" s="23">
        <v>13429.035400000001</v>
      </c>
      <c r="N334" s="23"/>
      <c r="O334" s="23"/>
      <c r="P334" s="23"/>
      <c r="Q334" s="23"/>
      <c r="R334" s="23"/>
      <c r="S334" s="23"/>
      <c r="T334" s="23"/>
      <c r="U334" s="23"/>
    </row>
    <row r="335" spans="1:21" x14ac:dyDescent="0.2">
      <c r="A335" s="23">
        <v>56</v>
      </c>
      <c r="B335" s="23">
        <v>0</v>
      </c>
      <c r="C335" s="23">
        <v>28.785</v>
      </c>
      <c r="D335" s="23">
        <v>0</v>
      </c>
      <c r="E335" s="23">
        <v>0</v>
      </c>
      <c r="F335" s="23">
        <v>1</v>
      </c>
      <c r="G335" s="23">
        <v>0</v>
      </c>
      <c r="H335" s="23">
        <v>0</v>
      </c>
      <c r="I335" s="23">
        <v>0</v>
      </c>
      <c r="J335" s="23">
        <v>11658.379150000001</v>
      </c>
      <c r="N335" s="23"/>
      <c r="O335" s="23"/>
      <c r="P335" s="23"/>
      <c r="Q335" s="23"/>
      <c r="R335" s="23"/>
      <c r="S335" s="23"/>
      <c r="T335" s="23"/>
      <c r="U335" s="23"/>
    </row>
    <row r="336" spans="1:21" x14ac:dyDescent="0.2">
      <c r="A336" s="23">
        <v>43</v>
      </c>
      <c r="B336" s="23">
        <v>0</v>
      </c>
      <c r="C336" s="23">
        <v>35.72</v>
      </c>
      <c r="D336" s="23">
        <v>2</v>
      </c>
      <c r="E336" s="23">
        <v>0</v>
      </c>
      <c r="F336" s="23">
        <v>1</v>
      </c>
      <c r="G336" s="23">
        <v>0</v>
      </c>
      <c r="H336" s="23">
        <v>0</v>
      </c>
      <c r="I336" s="23">
        <v>0</v>
      </c>
      <c r="J336" s="23">
        <v>19144.576519999999</v>
      </c>
      <c r="N336" s="23"/>
      <c r="O336" s="23"/>
      <c r="P336" s="23"/>
      <c r="Q336" s="23"/>
      <c r="R336" s="23"/>
      <c r="S336" s="23"/>
      <c r="T336" s="23"/>
      <c r="U336" s="23"/>
    </row>
    <row r="337" spans="1:21" x14ac:dyDescent="0.2">
      <c r="A337" s="23">
        <v>64</v>
      </c>
      <c r="B337" s="23">
        <v>1</v>
      </c>
      <c r="C337" s="23">
        <v>34.5</v>
      </c>
      <c r="D337" s="23">
        <v>0</v>
      </c>
      <c r="E337" s="23">
        <v>0</v>
      </c>
      <c r="F337" s="23">
        <v>0</v>
      </c>
      <c r="G337" s="23">
        <v>0</v>
      </c>
      <c r="H337" s="23">
        <v>1</v>
      </c>
      <c r="I337" s="23">
        <v>0</v>
      </c>
      <c r="J337" s="23">
        <v>13822.803</v>
      </c>
      <c r="N337" s="23"/>
      <c r="O337" s="23"/>
      <c r="P337" s="23"/>
      <c r="Q337" s="23"/>
      <c r="R337" s="23"/>
      <c r="S337" s="23"/>
      <c r="T337" s="23"/>
      <c r="U337" s="23"/>
    </row>
    <row r="338" spans="1:21" x14ac:dyDescent="0.2">
      <c r="A338" s="23">
        <v>60</v>
      </c>
      <c r="B338" s="23">
        <v>1</v>
      </c>
      <c r="C338" s="23">
        <v>25.74</v>
      </c>
      <c r="D338" s="23">
        <v>0</v>
      </c>
      <c r="E338" s="23">
        <v>0</v>
      </c>
      <c r="F338" s="23">
        <v>0</v>
      </c>
      <c r="G338" s="23">
        <v>1</v>
      </c>
      <c r="H338" s="23">
        <v>0</v>
      </c>
      <c r="I338" s="23">
        <v>0</v>
      </c>
      <c r="J338" s="23">
        <v>12142.578600000001</v>
      </c>
      <c r="N338" s="23"/>
      <c r="O338" s="23"/>
      <c r="P338" s="23"/>
      <c r="Q338" s="23"/>
      <c r="R338" s="23"/>
      <c r="S338" s="23"/>
      <c r="T338" s="23"/>
      <c r="U338" s="23"/>
    </row>
    <row r="339" spans="1:21" x14ac:dyDescent="0.2">
      <c r="A339" s="23">
        <v>62</v>
      </c>
      <c r="B339" s="23">
        <v>1</v>
      </c>
      <c r="C339" s="23">
        <v>27.55</v>
      </c>
      <c r="D339" s="23">
        <v>1</v>
      </c>
      <c r="E339" s="23">
        <v>0</v>
      </c>
      <c r="F339" s="23">
        <v>0</v>
      </c>
      <c r="G339" s="23">
        <v>0</v>
      </c>
      <c r="H339" s="23">
        <v>0</v>
      </c>
      <c r="I339" s="23">
        <v>1</v>
      </c>
      <c r="J339" s="23">
        <v>13937.666499999999</v>
      </c>
      <c r="N339" s="23"/>
      <c r="O339" s="23"/>
      <c r="P339" s="23"/>
      <c r="Q339" s="23"/>
      <c r="R339" s="23"/>
      <c r="S339" s="23"/>
      <c r="T339" s="23"/>
      <c r="U339" s="23"/>
    </row>
    <row r="340" spans="1:21" x14ac:dyDescent="0.2">
      <c r="A340" s="23">
        <v>50</v>
      </c>
      <c r="B340" s="23">
        <v>1</v>
      </c>
      <c r="C340" s="23">
        <v>32.299999999999997</v>
      </c>
      <c r="D340" s="23">
        <v>1</v>
      </c>
      <c r="E340" s="23">
        <v>1</v>
      </c>
      <c r="F340" s="23">
        <v>1</v>
      </c>
      <c r="G340" s="23">
        <v>0</v>
      </c>
      <c r="H340" s="23">
        <v>0</v>
      </c>
      <c r="I340" s="23">
        <v>0</v>
      </c>
      <c r="J340" s="23">
        <v>41919.097000000002</v>
      </c>
      <c r="N340" s="23"/>
      <c r="O340" s="23"/>
      <c r="P340" s="23"/>
      <c r="Q340" s="23"/>
      <c r="R340" s="23"/>
      <c r="S340" s="23"/>
      <c r="T340" s="23"/>
      <c r="U340" s="23"/>
    </row>
    <row r="341" spans="1:21" x14ac:dyDescent="0.2">
      <c r="A341" s="23">
        <v>46</v>
      </c>
      <c r="B341" s="23">
        <v>0</v>
      </c>
      <c r="C341" s="23">
        <v>27.72</v>
      </c>
      <c r="D341" s="23">
        <v>1</v>
      </c>
      <c r="E341" s="23">
        <v>0</v>
      </c>
      <c r="F341" s="23">
        <v>0</v>
      </c>
      <c r="G341" s="23">
        <v>1</v>
      </c>
      <c r="H341" s="23">
        <v>0</v>
      </c>
      <c r="I341" s="23">
        <v>0</v>
      </c>
      <c r="J341" s="23">
        <v>8232.6388000000006</v>
      </c>
      <c r="N341" s="23"/>
      <c r="O341" s="23"/>
      <c r="P341" s="23"/>
      <c r="Q341" s="23"/>
      <c r="R341" s="23"/>
      <c r="S341" s="23"/>
      <c r="T341" s="23"/>
      <c r="U341" s="23"/>
    </row>
    <row r="342" spans="1:21" x14ac:dyDescent="0.2">
      <c r="A342" s="23">
        <v>24</v>
      </c>
      <c r="B342" s="23">
        <v>0</v>
      </c>
      <c r="C342" s="23">
        <v>27.6</v>
      </c>
      <c r="D342" s="23">
        <v>0</v>
      </c>
      <c r="E342" s="23">
        <v>0</v>
      </c>
      <c r="F342" s="23">
        <v>0</v>
      </c>
      <c r="G342" s="23">
        <v>0</v>
      </c>
      <c r="H342" s="23">
        <v>1</v>
      </c>
      <c r="I342" s="23">
        <v>0</v>
      </c>
      <c r="J342" s="23">
        <v>18955.220170000001</v>
      </c>
      <c r="N342" s="23"/>
      <c r="O342" s="23"/>
      <c r="P342" s="23"/>
      <c r="Q342" s="23"/>
      <c r="R342" s="23"/>
      <c r="S342" s="23"/>
      <c r="T342" s="23"/>
      <c r="U342" s="23"/>
    </row>
    <row r="343" spans="1:21" x14ac:dyDescent="0.2">
      <c r="A343" s="23">
        <v>62</v>
      </c>
      <c r="B343" s="23">
        <v>1</v>
      </c>
      <c r="C343" s="23">
        <v>30.02</v>
      </c>
      <c r="D343" s="23">
        <v>0</v>
      </c>
      <c r="E343" s="23">
        <v>0</v>
      </c>
      <c r="F343" s="23">
        <v>0</v>
      </c>
      <c r="G343" s="23">
        <v>0</v>
      </c>
      <c r="H343" s="23">
        <v>0</v>
      </c>
      <c r="I343" s="23">
        <v>1</v>
      </c>
      <c r="J343" s="23">
        <v>13352.0998</v>
      </c>
      <c r="N343" s="23"/>
      <c r="O343" s="23"/>
      <c r="P343" s="23"/>
      <c r="Q343" s="23"/>
      <c r="R343" s="23"/>
      <c r="S343" s="23"/>
      <c r="T343" s="23"/>
      <c r="U343" s="23"/>
    </row>
    <row r="344" spans="1:21" x14ac:dyDescent="0.2">
      <c r="A344" s="23">
        <v>60</v>
      </c>
      <c r="B344" s="23">
        <v>0</v>
      </c>
      <c r="C344" s="23">
        <v>27.55</v>
      </c>
      <c r="D344" s="23">
        <v>0</v>
      </c>
      <c r="E344" s="23">
        <v>0</v>
      </c>
      <c r="F344" s="23">
        <v>1</v>
      </c>
      <c r="G344" s="23">
        <v>0</v>
      </c>
      <c r="H344" s="23">
        <v>0</v>
      </c>
      <c r="I344" s="23">
        <v>0</v>
      </c>
      <c r="J344" s="23">
        <v>13217.094499999999</v>
      </c>
      <c r="N344" s="23"/>
      <c r="O344" s="23"/>
      <c r="P344" s="23"/>
      <c r="Q344" s="23"/>
      <c r="R344" s="23"/>
      <c r="S344" s="23"/>
      <c r="T344" s="23"/>
      <c r="U344" s="23"/>
    </row>
    <row r="345" spans="1:21" x14ac:dyDescent="0.2">
      <c r="A345" s="23">
        <v>63</v>
      </c>
      <c r="B345" s="23">
        <v>1</v>
      </c>
      <c r="C345" s="23">
        <v>36.765000000000001</v>
      </c>
      <c r="D345" s="23">
        <v>0</v>
      </c>
      <c r="E345" s="23">
        <v>0</v>
      </c>
      <c r="F345" s="23">
        <v>1</v>
      </c>
      <c r="G345" s="23">
        <v>0</v>
      </c>
      <c r="H345" s="23">
        <v>0</v>
      </c>
      <c r="I345" s="23">
        <v>0</v>
      </c>
      <c r="J345" s="23">
        <v>13981.850350000001</v>
      </c>
      <c r="N345" s="23"/>
      <c r="O345" s="23"/>
      <c r="P345" s="23"/>
      <c r="Q345" s="23"/>
      <c r="R345" s="23"/>
      <c r="S345" s="23"/>
      <c r="T345" s="23"/>
      <c r="U345" s="23"/>
    </row>
    <row r="346" spans="1:21" x14ac:dyDescent="0.2">
      <c r="A346" s="23">
        <v>49</v>
      </c>
      <c r="B346" s="23">
        <v>0</v>
      </c>
      <c r="C346" s="23">
        <v>41.47</v>
      </c>
      <c r="D346" s="23">
        <v>4</v>
      </c>
      <c r="E346" s="23">
        <v>0</v>
      </c>
      <c r="F346" s="23">
        <v>0</v>
      </c>
      <c r="G346" s="23">
        <v>1</v>
      </c>
      <c r="H346" s="23">
        <v>0</v>
      </c>
      <c r="I346" s="23">
        <v>0</v>
      </c>
      <c r="J346" s="23">
        <v>10977.2063</v>
      </c>
      <c r="N346" s="23"/>
      <c r="O346" s="23"/>
      <c r="P346" s="23"/>
      <c r="Q346" s="23"/>
      <c r="R346" s="23"/>
      <c r="S346" s="23"/>
      <c r="T346" s="23"/>
      <c r="U346" s="23"/>
    </row>
    <row r="347" spans="1:21" x14ac:dyDescent="0.2">
      <c r="A347" s="23">
        <v>34</v>
      </c>
      <c r="B347" s="23">
        <v>0</v>
      </c>
      <c r="C347" s="23">
        <v>29.26</v>
      </c>
      <c r="D347" s="23">
        <v>3</v>
      </c>
      <c r="E347" s="23">
        <v>0</v>
      </c>
      <c r="F347" s="23">
        <v>0</v>
      </c>
      <c r="G347" s="23">
        <v>1</v>
      </c>
      <c r="H347" s="23">
        <v>0</v>
      </c>
      <c r="I347" s="23">
        <v>0</v>
      </c>
      <c r="J347" s="23">
        <v>6184.2993999999999</v>
      </c>
      <c r="N347" s="23"/>
      <c r="O347" s="23"/>
      <c r="P347" s="23"/>
      <c r="Q347" s="23"/>
      <c r="R347" s="23"/>
      <c r="S347" s="23"/>
      <c r="T347" s="23"/>
      <c r="U347" s="23"/>
    </row>
    <row r="348" spans="1:21" x14ac:dyDescent="0.2">
      <c r="A348" s="23">
        <v>33</v>
      </c>
      <c r="B348" s="23">
        <v>1</v>
      </c>
      <c r="C348" s="23">
        <v>35.75</v>
      </c>
      <c r="D348" s="23">
        <v>2</v>
      </c>
      <c r="E348" s="23">
        <v>0</v>
      </c>
      <c r="F348" s="23">
        <v>0</v>
      </c>
      <c r="G348" s="23">
        <v>1</v>
      </c>
      <c r="H348" s="23">
        <v>0</v>
      </c>
      <c r="I348" s="23">
        <v>0</v>
      </c>
      <c r="J348" s="23">
        <v>4889.9994999999999</v>
      </c>
      <c r="N348" s="23"/>
      <c r="O348" s="23"/>
      <c r="P348" s="23"/>
      <c r="Q348" s="23"/>
      <c r="R348" s="23"/>
      <c r="S348" s="23"/>
      <c r="T348" s="23"/>
      <c r="U348" s="23"/>
    </row>
    <row r="349" spans="1:21" x14ac:dyDescent="0.2">
      <c r="A349" s="23">
        <v>46</v>
      </c>
      <c r="B349" s="23">
        <v>1</v>
      </c>
      <c r="C349" s="23">
        <v>33.344999999999999</v>
      </c>
      <c r="D349" s="23">
        <v>1</v>
      </c>
      <c r="E349" s="23">
        <v>0</v>
      </c>
      <c r="F349" s="23">
        <v>1</v>
      </c>
      <c r="G349" s="23">
        <v>0</v>
      </c>
      <c r="H349" s="23">
        <v>0</v>
      </c>
      <c r="I349" s="23">
        <v>0</v>
      </c>
      <c r="J349" s="23">
        <v>8334.4575499999992</v>
      </c>
      <c r="N349" s="23"/>
      <c r="O349" s="23"/>
      <c r="P349" s="23"/>
      <c r="Q349" s="23"/>
      <c r="R349" s="23"/>
      <c r="S349" s="23"/>
      <c r="T349" s="23"/>
      <c r="U349" s="23"/>
    </row>
    <row r="350" spans="1:21" x14ac:dyDescent="0.2">
      <c r="A350" s="23">
        <v>36</v>
      </c>
      <c r="B350" s="23">
        <v>0</v>
      </c>
      <c r="C350" s="23">
        <v>29.92</v>
      </c>
      <c r="D350" s="23">
        <v>1</v>
      </c>
      <c r="E350" s="23">
        <v>0</v>
      </c>
      <c r="F350" s="23">
        <v>0</v>
      </c>
      <c r="G350" s="23">
        <v>1</v>
      </c>
      <c r="H350" s="23">
        <v>0</v>
      </c>
      <c r="I350" s="23">
        <v>0</v>
      </c>
      <c r="J350" s="23">
        <v>5478.0367999999999</v>
      </c>
      <c r="N350" s="23"/>
      <c r="O350" s="23"/>
      <c r="P350" s="23"/>
      <c r="Q350" s="23"/>
      <c r="R350" s="23"/>
      <c r="S350" s="23"/>
      <c r="T350" s="23"/>
      <c r="U350" s="23"/>
    </row>
    <row r="351" spans="1:21" x14ac:dyDescent="0.2">
      <c r="A351" s="23">
        <v>19</v>
      </c>
      <c r="B351" s="23">
        <v>1</v>
      </c>
      <c r="C351" s="23">
        <v>27.835000000000001</v>
      </c>
      <c r="D351" s="23">
        <v>0</v>
      </c>
      <c r="E351" s="23">
        <v>0</v>
      </c>
      <c r="F351" s="23">
        <v>0</v>
      </c>
      <c r="G351" s="23">
        <v>0</v>
      </c>
      <c r="H351" s="23">
        <v>0</v>
      </c>
      <c r="I351" s="23">
        <v>1</v>
      </c>
      <c r="J351" s="23">
        <v>1635.7336499999999</v>
      </c>
      <c r="N351" s="23"/>
      <c r="O351" s="23"/>
      <c r="P351" s="23"/>
      <c r="Q351" s="23"/>
      <c r="R351" s="23"/>
      <c r="S351" s="23"/>
      <c r="T351" s="23"/>
      <c r="U351" s="23"/>
    </row>
    <row r="352" spans="1:21" x14ac:dyDescent="0.2">
      <c r="A352" s="23">
        <v>57</v>
      </c>
      <c r="B352" s="23">
        <v>0</v>
      </c>
      <c r="C352" s="23">
        <v>23.18</v>
      </c>
      <c r="D352" s="23">
        <v>0</v>
      </c>
      <c r="E352" s="23">
        <v>0</v>
      </c>
      <c r="F352" s="23">
        <v>0</v>
      </c>
      <c r="G352" s="23">
        <v>0</v>
      </c>
      <c r="H352" s="23">
        <v>0</v>
      </c>
      <c r="I352" s="23">
        <v>1</v>
      </c>
      <c r="J352" s="23">
        <v>11830.6072</v>
      </c>
      <c r="N352" s="23"/>
      <c r="O352" s="23"/>
      <c r="P352" s="23"/>
      <c r="Q352" s="23"/>
      <c r="R352" s="23"/>
      <c r="S352" s="23"/>
      <c r="T352" s="23"/>
      <c r="U352" s="23"/>
    </row>
    <row r="353" spans="1:21" x14ac:dyDescent="0.2">
      <c r="A353" s="23">
        <v>50</v>
      </c>
      <c r="B353" s="23">
        <v>0</v>
      </c>
      <c r="C353" s="23">
        <v>25.6</v>
      </c>
      <c r="D353" s="23">
        <v>0</v>
      </c>
      <c r="E353" s="23">
        <v>0</v>
      </c>
      <c r="F353" s="23">
        <v>0</v>
      </c>
      <c r="G353" s="23">
        <v>0</v>
      </c>
      <c r="H353" s="23">
        <v>1</v>
      </c>
      <c r="I353" s="23">
        <v>0</v>
      </c>
      <c r="J353" s="23">
        <v>8932.0840000000007</v>
      </c>
      <c r="N353" s="23"/>
      <c r="O353" s="23"/>
      <c r="P353" s="23"/>
      <c r="Q353" s="23"/>
      <c r="R353" s="23"/>
      <c r="S353" s="23"/>
      <c r="T353" s="23"/>
      <c r="U353" s="23"/>
    </row>
    <row r="354" spans="1:21" x14ac:dyDescent="0.2">
      <c r="A354" s="23">
        <v>30</v>
      </c>
      <c r="B354" s="23">
        <v>0</v>
      </c>
      <c r="C354" s="23">
        <v>27.7</v>
      </c>
      <c r="D354" s="23">
        <v>0</v>
      </c>
      <c r="E354" s="23">
        <v>0</v>
      </c>
      <c r="F354" s="23">
        <v>0</v>
      </c>
      <c r="G354" s="23">
        <v>0</v>
      </c>
      <c r="H354" s="23">
        <v>1</v>
      </c>
      <c r="I354" s="23">
        <v>0</v>
      </c>
      <c r="J354" s="23">
        <v>3554.203</v>
      </c>
      <c r="N354" s="23"/>
      <c r="O354" s="23"/>
      <c r="P354" s="23"/>
      <c r="Q354" s="23"/>
      <c r="R354" s="23"/>
      <c r="S354" s="23"/>
      <c r="T354" s="23"/>
      <c r="U354" s="23"/>
    </row>
    <row r="355" spans="1:21" x14ac:dyDescent="0.2">
      <c r="A355" s="23">
        <v>33</v>
      </c>
      <c r="B355" s="23">
        <v>1</v>
      </c>
      <c r="C355" s="23">
        <v>35.244999999999997</v>
      </c>
      <c r="D355" s="23">
        <v>0</v>
      </c>
      <c r="E355" s="23">
        <v>0</v>
      </c>
      <c r="F355" s="23">
        <v>1</v>
      </c>
      <c r="G355" s="23">
        <v>0</v>
      </c>
      <c r="H355" s="23">
        <v>0</v>
      </c>
      <c r="I355" s="23">
        <v>0</v>
      </c>
      <c r="J355" s="23">
        <v>12404.8791</v>
      </c>
      <c r="N355" s="23"/>
      <c r="O355" s="23"/>
      <c r="P355" s="23"/>
      <c r="Q355" s="23"/>
      <c r="R355" s="23"/>
      <c r="S355" s="23"/>
      <c r="T355" s="23"/>
      <c r="U355" s="23"/>
    </row>
    <row r="356" spans="1:21" x14ac:dyDescent="0.2">
      <c r="A356" s="23">
        <v>18</v>
      </c>
      <c r="B356" s="23">
        <v>0</v>
      </c>
      <c r="C356" s="23">
        <v>38.28</v>
      </c>
      <c r="D356" s="23">
        <v>0</v>
      </c>
      <c r="E356" s="23">
        <v>0</v>
      </c>
      <c r="F356" s="23">
        <v>0</v>
      </c>
      <c r="G356" s="23">
        <v>1</v>
      </c>
      <c r="H356" s="23">
        <v>0</v>
      </c>
      <c r="I356" s="23">
        <v>0</v>
      </c>
      <c r="J356" s="23">
        <v>14133.03775</v>
      </c>
      <c r="N356" s="23"/>
      <c r="O356" s="23"/>
      <c r="P356" s="23"/>
      <c r="Q356" s="23"/>
      <c r="R356" s="23"/>
      <c r="S356" s="23"/>
      <c r="T356" s="23"/>
      <c r="U356" s="23"/>
    </row>
    <row r="357" spans="1:21" x14ac:dyDescent="0.2">
      <c r="A357" s="23">
        <v>46</v>
      </c>
      <c r="B357" s="23">
        <v>1</v>
      </c>
      <c r="C357" s="23">
        <v>27.6</v>
      </c>
      <c r="D357" s="23">
        <v>0</v>
      </c>
      <c r="E357" s="23">
        <v>0</v>
      </c>
      <c r="F357" s="23">
        <v>0</v>
      </c>
      <c r="G357" s="23">
        <v>0</v>
      </c>
      <c r="H357" s="23">
        <v>1</v>
      </c>
      <c r="I357" s="23">
        <v>0</v>
      </c>
      <c r="J357" s="23">
        <v>24603.04837</v>
      </c>
      <c r="N357" s="23"/>
      <c r="O357" s="23"/>
      <c r="P357" s="23"/>
      <c r="Q357" s="23"/>
      <c r="R357" s="23"/>
      <c r="S357" s="23"/>
      <c r="T357" s="23"/>
      <c r="U357" s="23"/>
    </row>
    <row r="358" spans="1:21" x14ac:dyDescent="0.2">
      <c r="A358" s="23">
        <v>46</v>
      </c>
      <c r="B358" s="23">
        <v>1</v>
      </c>
      <c r="C358" s="23">
        <v>43.89</v>
      </c>
      <c r="D358" s="23">
        <v>3</v>
      </c>
      <c r="E358" s="23">
        <v>0</v>
      </c>
      <c r="F358" s="23">
        <v>0</v>
      </c>
      <c r="G358" s="23">
        <v>1</v>
      </c>
      <c r="H358" s="23">
        <v>0</v>
      </c>
      <c r="I358" s="23">
        <v>0</v>
      </c>
      <c r="J358" s="23">
        <v>8944.1151000000009</v>
      </c>
      <c r="N358" s="23"/>
      <c r="O358" s="23"/>
      <c r="P358" s="23"/>
      <c r="Q358" s="23"/>
      <c r="R358" s="23"/>
      <c r="S358" s="23"/>
      <c r="T358" s="23"/>
      <c r="U358" s="23"/>
    </row>
    <row r="359" spans="1:21" x14ac:dyDescent="0.2">
      <c r="A359" s="23">
        <v>47</v>
      </c>
      <c r="B359" s="23">
        <v>1</v>
      </c>
      <c r="C359" s="23">
        <v>29.83</v>
      </c>
      <c r="D359" s="23">
        <v>3</v>
      </c>
      <c r="E359" s="23">
        <v>0</v>
      </c>
      <c r="F359" s="23">
        <v>0</v>
      </c>
      <c r="G359" s="23">
        <v>0</v>
      </c>
      <c r="H359" s="23">
        <v>0</v>
      </c>
      <c r="I359" s="23">
        <v>1</v>
      </c>
      <c r="J359" s="23">
        <v>9620.3307000000004</v>
      </c>
      <c r="N359" s="23"/>
      <c r="O359" s="23"/>
      <c r="P359" s="23"/>
      <c r="Q359" s="23"/>
      <c r="R359" s="23"/>
      <c r="S359" s="23"/>
      <c r="T359" s="23"/>
      <c r="U359" s="23"/>
    </row>
    <row r="360" spans="1:21" x14ac:dyDescent="0.2">
      <c r="A360" s="23">
        <v>23</v>
      </c>
      <c r="B360" s="23">
        <v>1</v>
      </c>
      <c r="C360" s="23">
        <v>41.91</v>
      </c>
      <c r="D360" s="23">
        <v>0</v>
      </c>
      <c r="E360" s="23">
        <v>0</v>
      </c>
      <c r="F360" s="23">
        <v>0</v>
      </c>
      <c r="G360" s="23">
        <v>1</v>
      </c>
      <c r="H360" s="23">
        <v>0</v>
      </c>
      <c r="I360" s="23">
        <v>0</v>
      </c>
      <c r="J360" s="23">
        <v>1837.2819</v>
      </c>
      <c r="N360" s="23"/>
      <c r="O360" s="23"/>
      <c r="P360" s="23"/>
      <c r="Q360" s="23"/>
      <c r="R360" s="23"/>
      <c r="S360" s="23"/>
      <c r="T360" s="23"/>
      <c r="U360" s="23"/>
    </row>
    <row r="361" spans="1:21" x14ac:dyDescent="0.2">
      <c r="A361" s="23">
        <v>18</v>
      </c>
      <c r="B361" s="23">
        <v>0</v>
      </c>
      <c r="C361" s="23">
        <v>20.79</v>
      </c>
      <c r="D361" s="23">
        <v>0</v>
      </c>
      <c r="E361" s="23">
        <v>0</v>
      </c>
      <c r="F361" s="23">
        <v>0</v>
      </c>
      <c r="G361" s="23">
        <v>1</v>
      </c>
      <c r="H361" s="23">
        <v>0</v>
      </c>
      <c r="I361" s="23">
        <v>0</v>
      </c>
      <c r="J361" s="23">
        <v>1607.5101</v>
      </c>
      <c r="N361" s="23"/>
      <c r="O361" s="23"/>
      <c r="P361" s="23"/>
      <c r="Q361" s="23"/>
      <c r="R361" s="23"/>
      <c r="S361" s="23"/>
      <c r="T361" s="23"/>
      <c r="U361" s="23"/>
    </row>
    <row r="362" spans="1:21" x14ac:dyDescent="0.2">
      <c r="A362" s="23">
        <v>48</v>
      </c>
      <c r="B362" s="23">
        <v>0</v>
      </c>
      <c r="C362" s="23">
        <v>32.299999999999997</v>
      </c>
      <c r="D362" s="23">
        <v>2</v>
      </c>
      <c r="E362" s="23">
        <v>0</v>
      </c>
      <c r="F362" s="23">
        <v>1</v>
      </c>
      <c r="G362" s="23">
        <v>0</v>
      </c>
      <c r="H362" s="23">
        <v>0</v>
      </c>
      <c r="I362" s="23">
        <v>0</v>
      </c>
      <c r="J362" s="23">
        <v>10043.249</v>
      </c>
      <c r="N362" s="23"/>
      <c r="O362" s="23"/>
      <c r="P362" s="23"/>
      <c r="Q362" s="23"/>
      <c r="R362" s="23"/>
      <c r="S362" s="23"/>
      <c r="T362" s="23"/>
      <c r="U362" s="23"/>
    </row>
    <row r="363" spans="1:21" x14ac:dyDescent="0.2">
      <c r="A363" s="23">
        <v>35</v>
      </c>
      <c r="B363" s="23">
        <v>1</v>
      </c>
      <c r="C363" s="23">
        <v>30.5</v>
      </c>
      <c r="D363" s="23">
        <v>1</v>
      </c>
      <c r="E363" s="23">
        <v>0</v>
      </c>
      <c r="F363" s="23">
        <v>0</v>
      </c>
      <c r="G363" s="23">
        <v>0</v>
      </c>
      <c r="H363" s="23">
        <v>1</v>
      </c>
      <c r="I363" s="23">
        <v>0</v>
      </c>
      <c r="J363" s="23">
        <v>4751.07</v>
      </c>
      <c r="N363" s="23"/>
      <c r="O363" s="23"/>
      <c r="P363" s="23"/>
      <c r="Q363" s="23"/>
      <c r="R363" s="23"/>
      <c r="S363" s="23"/>
      <c r="T363" s="23"/>
      <c r="U363" s="23"/>
    </row>
    <row r="364" spans="1:21" x14ac:dyDescent="0.2">
      <c r="A364" s="23">
        <v>19</v>
      </c>
      <c r="B364" s="23">
        <v>0</v>
      </c>
      <c r="C364" s="23">
        <v>21.7</v>
      </c>
      <c r="D364" s="23">
        <v>0</v>
      </c>
      <c r="E364" s="23">
        <v>1</v>
      </c>
      <c r="F364" s="23">
        <v>0</v>
      </c>
      <c r="G364" s="23">
        <v>0</v>
      </c>
      <c r="H364" s="23">
        <v>1</v>
      </c>
      <c r="I364" s="23">
        <v>0</v>
      </c>
      <c r="J364" s="23">
        <v>13844.505999999999</v>
      </c>
      <c r="N364" s="23"/>
      <c r="O364" s="23"/>
      <c r="P364" s="23"/>
      <c r="Q364" s="23"/>
      <c r="R364" s="23"/>
      <c r="S364" s="23"/>
      <c r="T364" s="23"/>
      <c r="U364" s="23"/>
    </row>
    <row r="365" spans="1:21" x14ac:dyDescent="0.2">
      <c r="A365" s="23">
        <v>21</v>
      </c>
      <c r="B365" s="23">
        <v>0</v>
      </c>
      <c r="C365" s="23">
        <v>26.4</v>
      </c>
      <c r="D365" s="23">
        <v>1</v>
      </c>
      <c r="E365" s="23">
        <v>0</v>
      </c>
      <c r="F365" s="23">
        <v>0</v>
      </c>
      <c r="G365" s="23">
        <v>0</v>
      </c>
      <c r="H365" s="23">
        <v>1</v>
      </c>
      <c r="I365" s="23">
        <v>0</v>
      </c>
      <c r="J365" s="23">
        <v>2597.779</v>
      </c>
      <c r="N365" s="23"/>
      <c r="O365" s="23"/>
      <c r="P365" s="23"/>
      <c r="Q365" s="23"/>
      <c r="R365" s="23"/>
      <c r="S365" s="23"/>
      <c r="T365" s="23"/>
      <c r="U365" s="23"/>
    </row>
    <row r="366" spans="1:21" x14ac:dyDescent="0.2">
      <c r="A366" s="23">
        <v>21</v>
      </c>
      <c r="B366" s="23">
        <v>0</v>
      </c>
      <c r="C366" s="23">
        <v>21.89</v>
      </c>
      <c r="D366" s="23">
        <v>2</v>
      </c>
      <c r="E366" s="23">
        <v>0</v>
      </c>
      <c r="F366" s="23">
        <v>0</v>
      </c>
      <c r="G366" s="23">
        <v>1</v>
      </c>
      <c r="H366" s="23">
        <v>0</v>
      </c>
      <c r="I366" s="23">
        <v>0</v>
      </c>
      <c r="J366" s="23">
        <v>3180.5101</v>
      </c>
      <c r="N366" s="23"/>
      <c r="O366" s="23"/>
      <c r="P366" s="23"/>
      <c r="Q366" s="23"/>
      <c r="R366" s="23"/>
      <c r="S366" s="23"/>
      <c r="T366" s="23"/>
      <c r="U366" s="23"/>
    </row>
    <row r="367" spans="1:21" x14ac:dyDescent="0.2">
      <c r="A367" s="23">
        <v>49</v>
      </c>
      <c r="B367" s="23">
        <v>0</v>
      </c>
      <c r="C367" s="23">
        <v>30.78</v>
      </c>
      <c r="D367" s="23">
        <v>1</v>
      </c>
      <c r="E367" s="23">
        <v>0</v>
      </c>
      <c r="F367" s="23">
        <v>1</v>
      </c>
      <c r="G367" s="23">
        <v>0</v>
      </c>
      <c r="H367" s="23">
        <v>0</v>
      </c>
      <c r="I367" s="23">
        <v>0</v>
      </c>
      <c r="J367" s="23">
        <v>9778.3472000000002</v>
      </c>
      <c r="N367" s="23"/>
      <c r="O367" s="23"/>
      <c r="P367" s="23"/>
      <c r="Q367" s="23"/>
      <c r="R367" s="23"/>
      <c r="S367" s="23"/>
      <c r="T367" s="23"/>
      <c r="U367" s="23"/>
    </row>
    <row r="368" spans="1:21" x14ac:dyDescent="0.2">
      <c r="A368" s="23">
        <v>56</v>
      </c>
      <c r="B368" s="23">
        <v>0</v>
      </c>
      <c r="C368" s="23">
        <v>32.299999999999997</v>
      </c>
      <c r="D368" s="23">
        <v>3</v>
      </c>
      <c r="E368" s="23">
        <v>0</v>
      </c>
      <c r="F368" s="23">
        <v>1</v>
      </c>
      <c r="G368" s="23">
        <v>0</v>
      </c>
      <c r="H368" s="23">
        <v>0</v>
      </c>
      <c r="I368" s="23">
        <v>0</v>
      </c>
      <c r="J368" s="23">
        <v>13430.264999999999</v>
      </c>
      <c r="N368" s="23"/>
      <c r="O368" s="23"/>
      <c r="P368" s="23"/>
      <c r="Q368" s="23"/>
      <c r="R368" s="23"/>
      <c r="S368" s="23"/>
      <c r="T368" s="23"/>
      <c r="U368" s="23"/>
    </row>
    <row r="369" spans="1:21" x14ac:dyDescent="0.2">
      <c r="A369" s="23">
        <v>42</v>
      </c>
      <c r="B369" s="23">
        <v>0</v>
      </c>
      <c r="C369" s="23">
        <v>24.984999999999999</v>
      </c>
      <c r="D369" s="23">
        <v>2</v>
      </c>
      <c r="E369" s="23">
        <v>0</v>
      </c>
      <c r="F369" s="23">
        <v>0</v>
      </c>
      <c r="G369" s="23">
        <v>0</v>
      </c>
      <c r="H369" s="23">
        <v>0</v>
      </c>
      <c r="I369" s="23">
        <v>1</v>
      </c>
      <c r="J369" s="23">
        <v>8017.0611500000005</v>
      </c>
      <c r="N369" s="23"/>
      <c r="O369" s="23"/>
      <c r="P369" s="23"/>
      <c r="Q369" s="23"/>
      <c r="R369" s="23"/>
      <c r="S369" s="23"/>
      <c r="T369" s="23"/>
      <c r="U369" s="23"/>
    </row>
    <row r="370" spans="1:21" x14ac:dyDescent="0.2">
      <c r="A370" s="23">
        <v>44</v>
      </c>
      <c r="B370" s="23">
        <v>1</v>
      </c>
      <c r="C370" s="23">
        <v>32.015000000000001</v>
      </c>
      <c r="D370" s="23">
        <v>2</v>
      </c>
      <c r="E370" s="23">
        <v>0</v>
      </c>
      <c r="F370" s="23">
        <v>0</v>
      </c>
      <c r="G370" s="23">
        <v>0</v>
      </c>
      <c r="H370" s="23">
        <v>0</v>
      </c>
      <c r="I370" s="23">
        <v>1</v>
      </c>
      <c r="J370" s="23">
        <v>8116.2688500000004</v>
      </c>
      <c r="N370" s="23"/>
      <c r="O370" s="23"/>
      <c r="P370" s="23"/>
      <c r="Q370" s="23"/>
      <c r="R370" s="23"/>
      <c r="S370" s="23"/>
      <c r="T370" s="23"/>
      <c r="U370" s="23"/>
    </row>
    <row r="371" spans="1:21" x14ac:dyDescent="0.2">
      <c r="A371" s="23">
        <v>18</v>
      </c>
      <c r="B371" s="23">
        <v>1</v>
      </c>
      <c r="C371" s="23">
        <v>30.4</v>
      </c>
      <c r="D371" s="23">
        <v>3</v>
      </c>
      <c r="E371" s="23">
        <v>0</v>
      </c>
      <c r="F371" s="23">
        <v>1</v>
      </c>
      <c r="G371" s="23">
        <v>0</v>
      </c>
      <c r="H371" s="23">
        <v>0</v>
      </c>
      <c r="I371" s="23">
        <v>0</v>
      </c>
      <c r="J371" s="23">
        <v>3481.8679999999999</v>
      </c>
      <c r="N371" s="23"/>
      <c r="O371" s="23"/>
      <c r="P371" s="23"/>
      <c r="Q371" s="23"/>
      <c r="R371" s="23"/>
      <c r="S371" s="23"/>
      <c r="T371" s="23"/>
      <c r="U371" s="23"/>
    </row>
    <row r="372" spans="1:21" x14ac:dyDescent="0.2">
      <c r="A372" s="23">
        <v>61</v>
      </c>
      <c r="B372" s="23">
        <v>0</v>
      </c>
      <c r="C372" s="23">
        <v>21.09</v>
      </c>
      <c r="D372" s="23">
        <v>0</v>
      </c>
      <c r="E372" s="23">
        <v>0</v>
      </c>
      <c r="F372" s="23">
        <v>0</v>
      </c>
      <c r="G372" s="23">
        <v>0</v>
      </c>
      <c r="H372" s="23">
        <v>0</v>
      </c>
      <c r="I372" s="23">
        <v>1</v>
      </c>
      <c r="J372" s="23">
        <v>13415.0381</v>
      </c>
      <c r="N372" s="23"/>
      <c r="O372" s="23"/>
      <c r="P372" s="23"/>
      <c r="Q372" s="23"/>
      <c r="R372" s="23"/>
      <c r="S372" s="23"/>
      <c r="T372" s="23"/>
      <c r="U372" s="23"/>
    </row>
    <row r="373" spans="1:21" x14ac:dyDescent="0.2">
      <c r="A373" s="23">
        <v>57</v>
      </c>
      <c r="B373" s="23">
        <v>0</v>
      </c>
      <c r="C373" s="23">
        <v>22.23</v>
      </c>
      <c r="D373" s="23">
        <v>0</v>
      </c>
      <c r="E373" s="23">
        <v>0</v>
      </c>
      <c r="F373" s="23">
        <v>1</v>
      </c>
      <c r="G373" s="23">
        <v>0</v>
      </c>
      <c r="H373" s="23">
        <v>0</v>
      </c>
      <c r="I373" s="23">
        <v>0</v>
      </c>
      <c r="J373" s="23">
        <v>12029.286700000001</v>
      </c>
      <c r="N373" s="23"/>
      <c r="O373" s="23"/>
      <c r="P373" s="23"/>
      <c r="Q373" s="23"/>
      <c r="R373" s="23"/>
      <c r="S373" s="23"/>
      <c r="T373" s="23"/>
      <c r="U373" s="23"/>
    </row>
    <row r="374" spans="1:21" x14ac:dyDescent="0.2">
      <c r="A374" s="23">
        <v>42</v>
      </c>
      <c r="B374" s="23">
        <v>0</v>
      </c>
      <c r="C374" s="23">
        <v>33.155000000000001</v>
      </c>
      <c r="D374" s="23">
        <v>1</v>
      </c>
      <c r="E374" s="23">
        <v>0</v>
      </c>
      <c r="F374" s="23">
        <v>1</v>
      </c>
      <c r="G374" s="23">
        <v>0</v>
      </c>
      <c r="H374" s="23">
        <v>0</v>
      </c>
      <c r="I374" s="23">
        <v>0</v>
      </c>
      <c r="J374" s="23">
        <v>7639.4174499999999</v>
      </c>
      <c r="N374" s="23"/>
      <c r="O374" s="23"/>
      <c r="P374" s="23"/>
      <c r="Q374" s="23"/>
      <c r="R374" s="23"/>
      <c r="S374" s="23"/>
      <c r="T374" s="23"/>
      <c r="U374" s="23"/>
    </row>
    <row r="375" spans="1:21" x14ac:dyDescent="0.2">
      <c r="A375" s="23">
        <v>26</v>
      </c>
      <c r="B375" s="23">
        <v>1</v>
      </c>
      <c r="C375" s="23">
        <v>32.9</v>
      </c>
      <c r="D375" s="23">
        <v>2</v>
      </c>
      <c r="E375" s="23">
        <v>1</v>
      </c>
      <c r="F375" s="23">
        <v>0</v>
      </c>
      <c r="G375" s="23">
        <v>0</v>
      </c>
      <c r="H375" s="23">
        <v>1</v>
      </c>
      <c r="I375" s="23">
        <v>0</v>
      </c>
      <c r="J375" s="23">
        <v>36085.218999999997</v>
      </c>
      <c r="N375" s="23"/>
      <c r="O375" s="23"/>
      <c r="P375" s="23"/>
      <c r="Q375" s="23"/>
      <c r="R375" s="23"/>
      <c r="S375" s="23"/>
      <c r="T375" s="23"/>
      <c r="U375" s="23"/>
    </row>
    <row r="376" spans="1:21" x14ac:dyDescent="0.2">
      <c r="A376" s="23">
        <v>20</v>
      </c>
      <c r="B376" s="23">
        <v>1</v>
      </c>
      <c r="C376" s="23">
        <v>33.33</v>
      </c>
      <c r="D376" s="23">
        <v>0</v>
      </c>
      <c r="E376" s="23">
        <v>0</v>
      </c>
      <c r="F376" s="23">
        <v>0</v>
      </c>
      <c r="G376" s="23">
        <v>1</v>
      </c>
      <c r="H376" s="23">
        <v>0</v>
      </c>
      <c r="I376" s="23">
        <v>0</v>
      </c>
      <c r="J376" s="23">
        <v>1391.5287000000001</v>
      </c>
      <c r="N376" s="23"/>
      <c r="O376" s="23"/>
      <c r="P376" s="23"/>
      <c r="Q376" s="23"/>
      <c r="R376" s="23"/>
      <c r="S376" s="23"/>
      <c r="T376" s="23"/>
      <c r="U376" s="23"/>
    </row>
    <row r="377" spans="1:21" x14ac:dyDescent="0.2">
      <c r="A377" s="23">
        <v>23</v>
      </c>
      <c r="B377" s="23">
        <v>0</v>
      </c>
      <c r="C377" s="23">
        <v>28.31</v>
      </c>
      <c r="D377" s="23">
        <v>0</v>
      </c>
      <c r="E377" s="23">
        <v>1</v>
      </c>
      <c r="F377" s="23">
        <v>0</v>
      </c>
      <c r="G377" s="23">
        <v>0</v>
      </c>
      <c r="H377" s="23">
        <v>0</v>
      </c>
      <c r="I377" s="23">
        <v>1</v>
      </c>
      <c r="J377" s="23">
        <v>18033.9679</v>
      </c>
      <c r="N377" s="23"/>
      <c r="O377" s="23"/>
      <c r="P377" s="23"/>
      <c r="Q377" s="23"/>
      <c r="R377" s="23"/>
      <c r="S377" s="23"/>
      <c r="T377" s="23"/>
      <c r="U377" s="23"/>
    </row>
    <row r="378" spans="1:21" x14ac:dyDescent="0.2">
      <c r="A378" s="23">
        <v>39</v>
      </c>
      <c r="B378" s="23">
        <v>0</v>
      </c>
      <c r="C378" s="23">
        <v>24.89</v>
      </c>
      <c r="D378" s="23">
        <v>3</v>
      </c>
      <c r="E378" s="23">
        <v>1</v>
      </c>
      <c r="F378" s="23">
        <v>1</v>
      </c>
      <c r="G378" s="23">
        <v>0</v>
      </c>
      <c r="H378" s="23">
        <v>0</v>
      </c>
      <c r="I378" s="23">
        <v>0</v>
      </c>
      <c r="J378" s="23">
        <v>21659.930100000001</v>
      </c>
      <c r="N378" s="23"/>
      <c r="O378" s="23"/>
      <c r="P378" s="23"/>
      <c r="Q378" s="23"/>
      <c r="R378" s="23"/>
      <c r="S378" s="23"/>
      <c r="T378" s="23"/>
      <c r="U378" s="23"/>
    </row>
    <row r="379" spans="1:21" x14ac:dyDescent="0.2">
      <c r="A379" s="23">
        <v>24</v>
      </c>
      <c r="B379" s="23">
        <v>1</v>
      </c>
      <c r="C379" s="23">
        <v>40.15</v>
      </c>
      <c r="D379" s="23">
        <v>0</v>
      </c>
      <c r="E379" s="23">
        <v>1</v>
      </c>
      <c r="F379" s="23">
        <v>0</v>
      </c>
      <c r="G379" s="23">
        <v>1</v>
      </c>
      <c r="H379" s="23">
        <v>0</v>
      </c>
      <c r="I379" s="23">
        <v>0</v>
      </c>
      <c r="J379" s="23">
        <v>38126.246500000001</v>
      </c>
      <c r="N379" s="23"/>
      <c r="O379" s="23"/>
      <c r="P379" s="23"/>
      <c r="Q379" s="23"/>
      <c r="R379" s="23"/>
      <c r="S379" s="23"/>
      <c r="T379" s="23"/>
      <c r="U379" s="23"/>
    </row>
    <row r="380" spans="1:21" x14ac:dyDescent="0.2">
      <c r="A380" s="23">
        <v>64</v>
      </c>
      <c r="B380" s="23">
        <v>0</v>
      </c>
      <c r="C380" s="23">
        <v>30.114999999999998</v>
      </c>
      <c r="D380" s="23">
        <v>3</v>
      </c>
      <c r="E380" s="23">
        <v>0</v>
      </c>
      <c r="F380" s="23">
        <v>0</v>
      </c>
      <c r="G380" s="23">
        <v>0</v>
      </c>
      <c r="H380" s="23">
        <v>0</v>
      </c>
      <c r="I380" s="23">
        <v>1</v>
      </c>
      <c r="J380" s="23">
        <v>16455.707849999999</v>
      </c>
      <c r="N380" s="23"/>
      <c r="O380" s="23"/>
      <c r="P380" s="23"/>
      <c r="Q380" s="23"/>
      <c r="R380" s="23"/>
      <c r="S380" s="23"/>
      <c r="T380" s="23"/>
      <c r="U380" s="23"/>
    </row>
    <row r="381" spans="1:21" x14ac:dyDescent="0.2">
      <c r="A381" s="23">
        <v>62</v>
      </c>
      <c r="B381" s="23">
        <v>1</v>
      </c>
      <c r="C381" s="23">
        <v>31.46</v>
      </c>
      <c r="D381" s="23">
        <v>1</v>
      </c>
      <c r="E381" s="23">
        <v>0</v>
      </c>
      <c r="F381" s="23">
        <v>0</v>
      </c>
      <c r="G381" s="23">
        <v>1</v>
      </c>
      <c r="H381" s="23">
        <v>0</v>
      </c>
      <c r="I381" s="23">
        <v>0</v>
      </c>
      <c r="J381" s="23">
        <v>27000.98473</v>
      </c>
      <c r="N381" s="23"/>
      <c r="O381" s="23"/>
      <c r="P381" s="23"/>
      <c r="Q381" s="23"/>
      <c r="R381" s="23"/>
      <c r="S381" s="23"/>
      <c r="T381" s="23"/>
      <c r="U381" s="23"/>
    </row>
    <row r="382" spans="1:21" x14ac:dyDescent="0.2">
      <c r="A382" s="23">
        <v>27</v>
      </c>
      <c r="B382" s="23">
        <v>0</v>
      </c>
      <c r="C382" s="23">
        <v>17.954999999999998</v>
      </c>
      <c r="D382" s="23">
        <v>2</v>
      </c>
      <c r="E382" s="23">
        <v>1</v>
      </c>
      <c r="F382" s="23">
        <v>1</v>
      </c>
      <c r="G382" s="23">
        <v>0</v>
      </c>
      <c r="H382" s="23">
        <v>0</v>
      </c>
      <c r="I382" s="23">
        <v>0</v>
      </c>
      <c r="J382" s="23">
        <v>15006.579449999999</v>
      </c>
      <c r="N382" s="23"/>
      <c r="O382" s="23"/>
      <c r="P382" s="23"/>
      <c r="Q382" s="23"/>
      <c r="R382" s="23"/>
      <c r="S382" s="23"/>
      <c r="T382" s="23"/>
      <c r="U382" s="23"/>
    </row>
    <row r="383" spans="1:21" x14ac:dyDescent="0.2">
      <c r="A383" s="23">
        <v>55</v>
      </c>
      <c r="B383" s="23">
        <v>1</v>
      </c>
      <c r="C383" s="23">
        <v>30.684999999999999</v>
      </c>
      <c r="D383" s="23">
        <v>0</v>
      </c>
      <c r="E383" s="23">
        <v>1</v>
      </c>
      <c r="F383" s="23">
        <v>1</v>
      </c>
      <c r="G383" s="23">
        <v>0</v>
      </c>
      <c r="H383" s="23">
        <v>0</v>
      </c>
      <c r="I383" s="23">
        <v>0</v>
      </c>
      <c r="J383" s="23">
        <v>42303.692150000003</v>
      </c>
      <c r="N383" s="23"/>
      <c r="O383" s="23"/>
      <c r="P383" s="23"/>
      <c r="Q383" s="23"/>
      <c r="R383" s="23"/>
      <c r="S383" s="23"/>
      <c r="T383" s="23"/>
      <c r="U383" s="23"/>
    </row>
    <row r="384" spans="1:21" x14ac:dyDescent="0.2">
      <c r="A384" s="23">
        <v>55</v>
      </c>
      <c r="B384" s="23">
        <v>1</v>
      </c>
      <c r="C384" s="23">
        <v>33</v>
      </c>
      <c r="D384" s="23">
        <v>0</v>
      </c>
      <c r="E384" s="23">
        <v>0</v>
      </c>
      <c r="F384" s="23">
        <v>0</v>
      </c>
      <c r="G384" s="23">
        <v>1</v>
      </c>
      <c r="H384" s="23">
        <v>0</v>
      </c>
      <c r="I384" s="23">
        <v>0</v>
      </c>
      <c r="J384" s="23">
        <v>20781.48892</v>
      </c>
      <c r="N384" s="23"/>
      <c r="O384" s="23"/>
      <c r="P384" s="23"/>
      <c r="Q384" s="23"/>
      <c r="R384" s="23"/>
      <c r="S384" s="23"/>
      <c r="T384" s="23"/>
      <c r="U384" s="23"/>
    </row>
    <row r="385" spans="1:21" x14ac:dyDescent="0.2">
      <c r="A385" s="23">
        <v>35</v>
      </c>
      <c r="B385" s="23">
        <v>0</v>
      </c>
      <c r="C385" s="23">
        <v>43.34</v>
      </c>
      <c r="D385" s="23">
        <v>2</v>
      </c>
      <c r="E385" s="23">
        <v>0</v>
      </c>
      <c r="F385" s="23">
        <v>0</v>
      </c>
      <c r="G385" s="23">
        <v>1</v>
      </c>
      <c r="H385" s="23">
        <v>0</v>
      </c>
      <c r="I385" s="23">
        <v>0</v>
      </c>
      <c r="J385" s="23">
        <v>5846.9175999999998</v>
      </c>
      <c r="N385" s="23"/>
      <c r="O385" s="23"/>
      <c r="P385" s="23"/>
      <c r="Q385" s="23"/>
      <c r="R385" s="23"/>
      <c r="S385" s="23"/>
      <c r="T385" s="23"/>
      <c r="U385" s="23"/>
    </row>
    <row r="386" spans="1:21" x14ac:dyDescent="0.2">
      <c r="A386" s="23">
        <v>44</v>
      </c>
      <c r="B386" s="23">
        <v>1</v>
      </c>
      <c r="C386" s="23">
        <v>22.135000000000002</v>
      </c>
      <c r="D386" s="23">
        <v>2</v>
      </c>
      <c r="E386" s="23">
        <v>0</v>
      </c>
      <c r="F386" s="23">
        <v>1</v>
      </c>
      <c r="G386" s="23">
        <v>0</v>
      </c>
      <c r="H386" s="23">
        <v>0</v>
      </c>
      <c r="I386" s="23">
        <v>0</v>
      </c>
      <c r="J386" s="23">
        <v>8302.5356499999998</v>
      </c>
      <c r="N386" s="23"/>
      <c r="O386" s="23"/>
      <c r="P386" s="23"/>
      <c r="Q386" s="23"/>
      <c r="R386" s="23"/>
      <c r="S386" s="23"/>
      <c r="T386" s="23"/>
      <c r="U386" s="23"/>
    </row>
    <row r="387" spans="1:21" x14ac:dyDescent="0.2">
      <c r="A387" s="23">
        <v>19</v>
      </c>
      <c r="B387" s="23">
        <v>1</v>
      </c>
      <c r="C387" s="23">
        <v>34.4</v>
      </c>
      <c r="D387" s="23">
        <v>0</v>
      </c>
      <c r="E387" s="23">
        <v>0</v>
      </c>
      <c r="F387" s="23">
        <v>0</v>
      </c>
      <c r="G387" s="23">
        <v>0</v>
      </c>
      <c r="H387" s="23">
        <v>1</v>
      </c>
      <c r="I387" s="23">
        <v>0</v>
      </c>
      <c r="J387" s="23">
        <v>1261.8589999999999</v>
      </c>
      <c r="N387" s="23"/>
      <c r="O387" s="23"/>
      <c r="P387" s="23"/>
      <c r="Q387" s="23"/>
      <c r="R387" s="23"/>
      <c r="S387" s="23"/>
      <c r="T387" s="23"/>
      <c r="U387" s="23"/>
    </row>
    <row r="388" spans="1:21" x14ac:dyDescent="0.2">
      <c r="A388" s="23">
        <v>58</v>
      </c>
      <c r="B388" s="23">
        <v>0</v>
      </c>
      <c r="C388" s="23">
        <v>39.049999999999997</v>
      </c>
      <c r="D388" s="23">
        <v>0</v>
      </c>
      <c r="E388" s="23">
        <v>0</v>
      </c>
      <c r="F388" s="23">
        <v>0</v>
      </c>
      <c r="G388" s="23">
        <v>1</v>
      </c>
      <c r="H388" s="23">
        <v>0</v>
      </c>
      <c r="I388" s="23">
        <v>0</v>
      </c>
      <c r="J388" s="23">
        <v>11856.4115</v>
      </c>
      <c r="N388" s="23"/>
      <c r="O388" s="23"/>
      <c r="P388" s="23"/>
      <c r="Q388" s="23"/>
      <c r="R388" s="23"/>
      <c r="S388" s="23"/>
      <c r="T388" s="23"/>
      <c r="U388" s="23"/>
    </row>
    <row r="389" spans="1:21" x14ac:dyDescent="0.2">
      <c r="A389" s="23">
        <v>50</v>
      </c>
      <c r="B389" s="23">
        <v>1</v>
      </c>
      <c r="C389" s="23">
        <v>25.364999999999998</v>
      </c>
      <c r="D389" s="23">
        <v>2</v>
      </c>
      <c r="E389" s="23">
        <v>0</v>
      </c>
      <c r="F389" s="23">
        <v>0</v>
      </c>
      <c r="G389" s="23">
        <v>0</v>
      </c>
      <c r="H389" s="23">
        <v>0</v>
      </c>
      <c r="I389" s="23">
        <v>1</v>
      </c>
      <c r="J389" s="23">
        <v>30284.642940000002</v>
      </c>
      <c r="N389" s="23"/>
      <c r="O389" s="23"/>
      <c r="P389" s="23"/>
      <c r="Q389" s="23"/>
      <c r="R389" s="23"/>
      <c r="S389" s="23"/>
      <c r="T389" s="23"/>
      <c r="U389" s="23"/>
    </row>
    <row r="390" spans="1:21" x14ac:dyDescent="0.2">
      <c r="A390" s="23">
        <v>26</v>
      </c>
      <c r="B390" s="23">
        <v>0</v>
      </c>
      <c r="C390" s="23">
        <v>22.61</v>
      </c>
      <c r="D390" s="23">
        <v>0</v>
      </c>
      <c r="E390" s="23">
        <v>0</v>
      </c>
      <c r="F390" s="23">
        <v>0</v>
      </c>
      <c r="G390" s="23">
        <v>0</v>
      </c>
      <c r="H390" s="23">
        <v>0</v>
      </c>
      <c r="I390" s="23">
        <v>1</v>
      </c>
      <c r="J390" s="23">
        <v>3176.8159000000001</v>
      </c>
      <c r="N390" s="23"/>
      <c r="O390" s="23"/>
      <c r="P390" s="23"/>
      <c r="Q390" s="23"/>
      <c r="R390" s="23"/>
      <c r="S390" s="23"/>
      <c r="T390" s="23"/>
      <c r="U390" s="23"/>
    </row>
    <row r="391" spans="1:21" x14ac:dyDescent="0.2">
      <c r="A391" s="23">
        <v>24</v>
      </c>
      <c r="B391" s="23">
        <v>0</v>
      </c>
      <c r="C391" s="23">
        <v>30.21</v>
      </c>
      <c r="D391" s="23">
        <v>3</v>
      </c>
      <c r="E391" s="23">
        <v>0</v>
      </c>
      <c r="F391" s="23">
        <v>0</v>
      </c>
      <c r="G391" s="23">
        <v>0</v>
      </c>
      <c r="H391" s="23">
        <v>0</v>
      </c>
      <c r="I391" s="23">
        <v>1</v>
      </c>
      <c r="J391" s="23">
        <v>4618.0798999999997</v>
      </c>
      <c r="N391" s="23"/>
      <c r="O391" s="23"/>
      <c r="P391" s="23"/>
      <c r="Q391" s="23"/>
      <c r="R391" s="23"/>
      <c r="S391" s="23"/>
      <c r="T391" s="23"/>
      <c r="U391" s="23"/>
    </row>
    <row r="392" spans="1:21" x14ac:dyDescent="0.2">
      <c r="A392" s="23">
        <v>48</v>
      </c>
      <c r="B392" s="23">
        <v>1</v>
      </c>
      <c r="C392" s="23">
        <v>35.625</v>
      </c>
      <c r="D392" s="23">
        <v>4</v>
      </c>
      <c r="E392" s="23">
        <v>0</v>
      </c>
      <c r="F392" s="23">
        <v>1</v>
      </c>
      <c r="G392" s="23">
        <v>0</v>
      </c>
      <c r="H392" s="23">
        <v>0</v>
      </c>
      <c r="I392" s="23">
        <v>0</v>
      </c>
      <c r="J392" s="23">
        <v>10736.87075</v>
      </c>
      <c r="N392" s="23"/>
      <c r="O392" s="23"/>
      <c r="P392" s="23"/>
      <c r="Q392" s="23"/>
      <c r="R392" s="23"/>
      <c r="S392" s="23"/>
      <c r="T392" s="23"/>
      <c r="U392" s="23"/>
    </row>
    <row r="393" spans="1:21" x14ac:dyDescent="0.2">
      <c r="A393" s="23">
        <v>19</v>
      </c>
      <c r="B393" s="23">
        <v>0</v>
      </c>
      <c r="C393" s="23">
        <v>37.43</v>
      </c>
      <c r="D393" s="23">
        <v>0</v>
      </c>
      <c r="E393" s="23">
        <v>0</v>
      </c>
      <c r="F393" s="23">
        <v>0</v>
      </c>
      <c r="G393" s="23">
        <v>0</v>
      </c>
      <c r="H393" s="23">
        <v>0</v>
      </c>
      <c r="I393" s="23">
        <v>1</v>
      </c>
      <c r="J393" s="23">
        <v>2138.0707000000002</v>
      </c>
      <c r="N393" s="23"/>
      <c r="O393" s="23"/>
      <c r="P393" s="23"/>
      <c r="Q393" s="23"/>
      <c r="R393" s="23"/>
      <c r="S393" s="23"/>
      <c r="T393" s="23"/>
      <c r="U393" s="23"/>
    </row>
    <row r="394" spans="1:21" x14ac:dyDescent="0.2">
      <c r="A394" s="23">
        <v>48</v>
      </c>
      <c r="B394" s="23">
        <v>1</v>
      </c>
      <c r="C394" s="23">
        <v>31.445</v>
      </c>
      <c r="D394" s="23">
        <v>1</v>
      </c>
      <c r="E394" s="23">
        <v>0</v>
      </c>
      <c r="F394" s="23">
        <v>1</v>
      </c>
      <c r="G394" s="23">
        <v>0</v>
      </c>
      <c r="H394" s="23">
        <v>0</v>
      </c>
      <c r="I394" s="23">
        <v>0</v>
      </c>
      <c r="J394" s="23">
        <v>8964.0605500000001</v>
      </c>
      <c r="N394" s="23"/>
      <c r="O394" s="23"/>
      <c r="P394" s="23"/>
      <c r="Q394" s="23"/>
      <c r="R394" s="23"/>
      <c r="S394" s="23"/>
      <c r="T394" s="23"/>
      <c r="U394" s="23"/>
    </row>
    <row r="395" spans="1:21" x14ac:dyDescent="0.2">
      <c r="A395" s="23">
        <v>49</v>
      </c>
      <c r="B395" s="23">
        <v>1</v>
      </c>
      <c r="C395" s="23">
        <v>31.35</v>
      </c>
      <c r="D395" s="23">
        <v>1</v>
      </c>
      <c r="E395" s="23">
        <v>0</v>
      </c>
      <c r="F395" s="23">
        <v>1</v>
      </c>
      <c r="G395" s="23">
        <v>0</v>
      </c>
      <c r="H395" s="23">
        <v>0</v>
      </c>
      <c r="I395" s="23">
        <v>0</v>
      </c>
      <c r="J395" s="23">
        <v>9290.1394999999993</v>
      </c>
      <c r="N395" s="23"/>
      <c r="O395" s="23"/>
      <c r="P395" s="23"/>
      <c r="Q395" s="23"/>
      <c r="R395" s="23"/>
      <c r="S395" s="23"/>
      <c r="T395" s="23"/>
      <c r="U395" s="23"/>
    </row>
    <row r="396" spans="1:21" x14ac:dyDescent="0.2">
      <c r="A396" s="23">
        <v>46</v>
      </c>
      <c r="B396" s="23">
        <v>0</v>
      </c>
      <c r="C396" s="23">
        <v>32.299999999999997</v>
      </c>
      <c r="D396" s="23">
        <v>2</v>
      </c>
      <c r="E396" s="23">
        <v>0</v>
      </c>
      <c r="F396" s="23">
        <v>1</v>
      </c>
      <c r="G396" s="23">
        <v>0</v>
      </c>
      <c r="H396" s="23">
        <v>0</v>
      </c>
      <c r="I396" s="23">
        <v>0</v>
      </c>
      <c r="J396" s="23">
        <v>9411.0049999999992</v>
      </c>
      <c r="N396" s="23"/>
      <c r="O396" s="23"/>
      <c r="P396" s="23"/>
      <c r="Q396" s="23"/>
      <c r="R396" s="23"/>
      <c r="S396" s="23"/>
      <c r="T396" s="23"/>
      <c r="U396" s="23"/>
    </row>
    <row r="397" spans="1:21" x14ac:dyDescent="0.2">
      <c r="A397" s="23">
        <v>46</v>
      </c>
      <c r="B397" s="23">
        <v>1</v>
      </c>
      <c r="C397" s="23">
        <v>19.855</v>
      </c>
      <c r="D397" s="23">
        <v>0</v>
      </c>
      <c r="E397" s="23">
        <v>0</v>
      </c>
      <c r="F397" s="23">
        <v>0</v>
      </c>
      <c r="G397" s="23">
        <v>0</v>
      </c>
      <c r="H397" s="23">
        <v>0</v>
      </c>
      <c r="I397" s="23">
        <v>1</v>
      </c>
      <c r="J397" s="23">
        <v>7526.7064499999997</v>
      </c>
      <c r="N397" s="23"/>
      <c r="O397" s="23"/>
      <c r="P397" s="23"/>
      <c r="Q397" s="23"/>
      <c r="R397" s="23"/>
      <c r="S397" s="23"/>
      <c r="T397" s="23"/>
      <c r="U397" s="23"/>
    </row>
    <row r="398" spans="1:21" x14ac:dyDescent="0.2">
      <c r="A398" s="23">
        <v>43</v>
      </c>
      <c r="B398" s="23">
        <v>0</v>
      </c>
      <c r="C398" s="23">
        <v>34.4</v>
      </c>
      <c r="D398" s="23">
        <v>3</v>
      </c>
      <c r="E398" s="23">
        <v>0</v>
      </c>
      <c r="F398" s="23">
        <v>0</v>
      </c>
      <c r="G398" s="23">
        <v>0</v>
      </c>
      <c r="H398" s="23">
        <v>1</v>
      </c>
      <c r="I398" s="23">
        <v>0</v>
      </c>
      <c r="J398" s="23">
        <v>8522.0030000000006</v>
      </c>
      <c r="N398" s="23"/>
      <c r="O398" s="23"/>
      <c r="P398" s="23"/>
      <c r="Q398" s="23"/>
      <c r="R398" s="23"/>
      <c r="S398" s="23"/>
      <c r="T398" s="23"/>
      <c r="U398" s="23"/>
    </row>
    <row r="399" spans="1:21" x14ac:dyDescent="0.2">
      <c r="A399" s="23">
        <v>21</v>
      </c>
      <c r="B399" s="23">
        <v>1</v>
      </c>
      <c r="C399" s="23">
        <v>31.02</v>
      </c>
      <c r="D399" s="23">
        <v>0</v>
      </c>
      <c r="E399" s="23">
        <v>0</v>
      </c>
      <c r="F399" s="23">
        <v>0</v>
      </c>
      <c r="G399" s="23">
        <v>1</v>
      </c>
      <c r="H399" s="23">
        <v>0</v>
      </c>
      <c r="I399" s="23">
        <v>0</v>
      </c>
      <c r="J399" s="23">
        <v>16586.49771</v>
      </c>
      <c r="N399" s="23"/>
      <c r="O399" s="23"/>
      <c r="P399" s="23"/>
      <c r="Q399" s="23"/>
      <c r="R399" s="23"/>
      <c r="S399" s="23"/>
      <c r="T399" s="23"/>
      <c r="U399" s="23"/>
    </row>
    <row r="400" spans="1:21" x14ac:dyDescent="0.2">
      <c r="A400" s="23">
        <v>64</v>
      </c>
      <c r="B400" s="23">
        <v>1</v>
      </c>
      <c r="C400" s="23">
        <v>25.6</v>
      </c>
      <c r="D400" s="23">
        <v>2</v>
      </c>
      <c r="E400" s="23">
        <v>0</v>
      </c>
      <c r="F400" s="23">
        <v>0</v>
      </c>
      <c r="G400" s="23">
        <v>0</v>
      </c>
      <c r="H400" s="23">
        <v>1</v>
      </c>
      <c r="I400" s="23">
        <v>0</v>
      </c>
      <c r="J400" s="23">
        <v>14988.432000000001</v>
      </c>
      <c r="N400" s="23"/>
      <c r="O400" s="23"/>
      <c r="P400" s="23"/>
      <c r="Q400" s="23"/>
      <c r="R400" s="23"/>
      <c r="S400" s="23"/>
      <c r="T400" s="23"/>
      <c r="U400" s="23"/>
    </row>
    <row r="401" spans="1:21" x14ac:dyDescent="0.2">
      <c r="A401" s="23">
        <v>18</v>
      </c>
      <c r="B401" s="23">
        <v>0</v>
      </c>
      <c r="C401" s="23">
        <v>38.17</v>
      </c>
      <c r="D401" s="23">
        <v>0</v>
      </c>
      <c r="E401" s="23">
        <v>0</v>
      </c>
      <c r="F401" s="23">
        <v>0</v>
      </c>
      <c r="G401" s="23">
        <v>1</v>
      </c>
      <c r="H401" s="23">
        <v>0</v>
      </c>
      <c r="I401" s="23">
        <v>0</v>
      </c>
      <c r="J401" s="23">
        <v>1631.6683</v>
      </c>
      <c r="N401" s="23"/>
      <c r="O401" s="23"/>
      <c r="P401" s="23"/>
      <c r="Q401" s="23"/>
      <c r="R401" s="23"/>
      <c r="S401" s="23"/>
      <c r="T401" s="23"/>
      <c r="U401" s="23"/>
    </row>
    <row r="402" spans="1:21" x14ac:dyDescent="0.2">
      <c r="A402" s="23">
        <v>51</v>
      </c>
      <c r="B402" s="23">
        <v>0</v>
      </c>
      <c r="C402" s="23">
        <v>20.6</v>
      </c>
      <c r="D402" s="23">
        <v>0</v>
      </c>
      <c r="E402" s="23">
        <v>0</v>
      </c>
      <c r="F402" s="23">
        <v>0</v>
      </c>
      <c r="G402" s="23">
        <v>0</v>
      </c>
      <c r="H402" s="23">
        <v>1</v>
      </c>
      <c r="I402" s="23">
        <v>0</v>
      </c>
      <c r="J402" s="23">
        <v>9264.7970000000005</v>
      </c>
      <c r="N402" s="23"/>
      <c r="O402" s="23"/>
      <c r="P402" s="23"/>
      <c r="Q402" s="23"/>
      <c r="R402" s="23"/>
      <c r="S402" s="23"/>
      <c r="T402" s="23"/>
      <c r="U402" s="23"/>
    </row>
    <row r="403" spans="1:21" x14ac:dyDescent="0.2">
      <c r="A403" s="23">
        <v>47</v>
      </c>
      <c r="B403" s="23">
        <v>1</v>
      </c>
      <c r="C403" s="23">
        <v>47.52</v>
      </c>
      <c r="D403" s="23">
        <v>1</v>
      </c>
      <c r="E403" s="23">
        <v>0</v>
      </c>
      <c r="F403" s="23">
        <v>0</v>
      </c>
      <c r="G403" s="23">
        <v>1</v>
      </c>
      <c r="H403" s="23">
        <v>0</v>
      </c>
      <c r="I403" s="23">
        <v>0</v>
      </c>
      <c r="J403" s="23">
        <v>8083.9197999999997</v>
      </c>
      <c r="N403" s="23"/>
      <c r="O403" s="23"/>
      <c r="P403" s="23"/>
      <c r="Q403" s="23"/>
      <c r="R403" s="23"/>
      <c r="S403" s="23"/>
      <c r="T403" s="23"/>
      <c r="U403" s="23"/>
    </row>
    <row r="404" spans="1:21" x14ac:dyDescent="0.2">
      <c r="A404" s="23">
        <v>64</v>
      </c>
      <c r="B404" s="23">
        <v>0</v>
      </c>
      <c r="C404" s="23">
        <v>32.965000000000003</v>
      </c>
      <c r="D404" s="23">
        <v>0</v>
      </c>
      <c r="E404" s="23">
        <v>0</v>
      </c>
      <c r="F404" s="23">
        <v>0</v>
      </c>
      <c r="G404" s="23">
        <v>0</v>
      </c>
      <c r="H404" s="23">
        <v>0</v>
      </c>
      <c r="I404" s="23">
        <v>1</v>
      </c>
      <c r="J404" s="23">
        <v>14692.66935</v>
      </c>
      <c r="N404" s="23"/>
      <c r="O404" s="23"/>
      <c r="P404" s="23"/>
      <c r="Q404" s="23"/>
      <c r="R404" s="23"/>
      <c r="S404" s="23"/>
      <c r="T404" s="23"/>
      <c r="U404" s="23"/>
    </row>
    <row r="405" spans="1:21" x14ac:dyDescent="0.2">
      <c r="A405" s="23">
        <v>49</v>
      </c>
      <c r="B405" s="23">
        <v>1</v>
      </c>
      <c r="C405" s="23">
        <v>32.299999999999997</v>
      </c>
      <c r="D405" s="23">
        <v>3</v>
      </c>
      <c r="E405" s="23">
        <v>0</v>
      </c>
      <c r="F405" s="23">
        <v>0</v>
      </c>
      <c r="G405" s="23">
        <v>0</v>
      </c>
      <c r="H405" s="23">
        <v>0</v>
      </c>
      <c r="I405" s="23">
        <v>1</v>
      </c>
      <c r="J405" s="23">
        <v>10269.459999999999</v>
      </c>
      <c r="N405" s="23"/>
      <c r="O405" s="23"/>
      <c r="P405" s="23"/>
      <c r="Q405" s="23"/>
      <c r="R405" s="23"/>
      <c r="S405" s="23"/>
      <c r="T405" s="23"/>
      <c r="U405" s="23"/>
    </row>
    <row r="406" spans="1:21" x14ac:dyDescent="0.2">
      <c r="A406" s="23">
        <v>31</v>
      </c>
      <c r="B406" s="23">
        <v>1</v>
      </c>
      <c r="C406" s="23">
        <v>20.399999999999999</v>
      </c>
      <c r="D406" s="23">
        <v>0</v>
      </c>
      <c r="E406" s="23">
        <v>0</v>
      </c>
      <c r="F406" s="23">
        <v>0</v>
      </c>
      <c r="G406" s="23">
        <v>0</v>
      </c>
      <c r="H406" s="23">
        <v>1</v>
      </c>
      <c r="I406" s="23">
        <v>0</v>
      </c>
      <c r="J406" s="23">
        <v>3260.1990000000001</v>
      </c>
      <c r="N406" s="23"/>
      <c r="O406" s="23"/>
      <c r="P406" s="23"/>
      <c r="Q406" s="23"/>
      <c r="R406" s="23"/>
      <c r="S406" s="23"/>
      <c r="T406" s="23"/>
      <c r="U406" s="23"/>
    </row>
    <row r="407" spans="1:21" x14ac:dyDescent="0.2">
      <c r="A407" s="23">
        <v>52</v>
      </c>
      <c r="B407" s="23">
        <v>0</v>
      </c>
      <c r="C407" s="23">
        <v>38.380000000000003</v>
      </c>
      <c r="D407" s="23">
        <v>2</v>
      </c>
      <c r="E407" s="23">
        <v>0</v>
      </c>
      <c r="F407" s="23">
        <v>1</v>
      </c>
      <c r="G407" s="23">
        <v>0</v>
      </c>
      <c r="H407" s="23">
        <v>0</v>
      </c>
      <c r="I407" s="23">
        <v>0</v>
      </c>
      <c r="J407" s="23">
        <v>11396.9002</v>
      </c>
      <c r="N407" s="23"/>
      <c r="O407" s="23"/>
      <c r="P407" s="23"/>
      <c r="Q407" s="23"/>
      <c r="R407" s="23"/>
      <c r="S407" s="23"/>
      <c r="T407" s="23"/>
      <c r="U407" s="23"/>
    </row>
    <row r="408" spans="1:21" x14ac:dyDescent="0.2">
      <c r="A408" s="23">
        <v>33</v>
      </c>
      <c r="B408" s="23">
        <v>0</v>
      </c>
      <c r="C408" s="23">
        <v>24.31</v>
      </c>
      <c r="D408" s="23">
        <v>0</v>
      </c>
      <c r="E408" s="23">
        <v>0</v>
      </c>
      <c r="F408" s="23">
        <v>0</v>
      </c>
      <c r="G408" s="23">
        <v>1</v>
      </c>
      <c r="H408" s="23">
        <v>0</v>
      </c>
      <c r="I408" s="23">
        <v>0</v>
      </c>
      <c r="J408" s="23">
        <v>4185.0978999999998</v>
      </c>
      <c r="N408" s="23"/>
      <c r="O408" s="23"/>
      <c r="P408" s="23"/>
      <c r="Q408" s="23"/>
      <c r="R408" s="23"/>
      <c r="S408" s="23"/>
      <c r="T408" s="23"/>
      <c r="U408" s="23"/>
    </row>
    <row r="409" spans="1:21" x14ac:dyDescent="0.2">
      <c r="A409" s="23">
        <v>47</v>
      </c>
      <c r="B409" s="23">
        <v>0</v>
      </c>
      <c r="C409" s="23">
        <v>23.6</v>
      </c>
      <c r="D409" s="23">
        <v>1</v>
      </c>
      <c r="E409" s="23">
        <v>0</v>
      </c>
      <c r="F409" s="23">
        <v>0</v>
      </c>
      <c r="G409" s="23">
        <v>0</v>
      </c>
      <c r="H409" s="23">
        <v>1</v>
      </c>
      <c r="I409" s="23">
        <v>0</v>
      </c>
      <c r="J409" s="23">
        <v>8539.6710000000003</v>
      </c>
      <c r="N409" s="23"/>
      <c r="O409" s="23"/>
      <c r="P409" s="23"/>
      <c r="Q409" s="23"/>
      <c r="R409" s="23"/>
      <c r="S409" s="23"/>
      <c r="T409" s="23"/>
      <c r="U409" s="23"/>
    </row>
    <row r="410" spans="1:21" x14ac:dyDescent="0.2">
      <c r="A410" s="23">
        <v>38</v>
      </c>
      <c r="B410" s="23">
        <v>1</v>
      </c>
      <c r="C410" s="23">
        <v>21.12</v>
      </c>
      <c r="D410" s="23">
        <v>3</v>
      </c>
      <c r="E410" s="23">
        <v>0</v>
      </c>
      <c r="F410" s="23">
        <v>0</v>
      </c>
      <c r="G410" s="23">
        <v>1</v>
      </c>
      <c r="H410" s="23">
        <v>0</v>
      </c>
      <c r="I410" s="23">
        <v>0</v>
      </c>
      <c r="J410" s="23">
        <v>6652.5288</v>
      </c>
      <c r="N410" s="23"/>
      <c r="O410" s="23"/>
      <c r="P410" s="23"/>
      <c r="Q410" s="23"/>
      <c r="R410" s="23"/>
      <c r="S410" s="23"/>
      <c r="T410" s="23"/>
      <c r="U410" s="23"/>
    </row>
    <row r="411" spans="1:21" x14ac:dyDescent="0.2">
      <c r="A411" s="23">
        <v>32</v>
      </c>
      <c r="B411" s="23">
        <v>1</v>
      </c>
      <c r="C411" s="23">
        <v>30.03</v>
      </c>
      <c r="D411" s="23">
        <v>1</v>
      </c>
      <c r="E411" s="23">
        <v>0</v>
      </c>
      <c r="F411" s="23">
        <v>0</v>
      </c>
      <c r="G411" s="23">
        <v>1</v>
      </c>
      <c r="H411" s="23">
        <v>0</v>
      </c>
      <c r="I411" s="23">
        <v>0</v>
      </c>
      <c r="J411" s="23">
        <v>4074.4537</v>
      </c>
      <c r="N411" s="23"/>
      <c r="O411" s="23"/>
      <c r="P411" s="23"/>
      <c r="Q411" s="23"/>
      <c r="R411" s="23"/>
      <c r="S411" s="23"/>
      <c r="T411" s="23"/>
      <c r="U411" s="23"/>
    </row>
    <row r="412" spans="1:21" x14ac:dyDescent="0.2">
      <c r="A412" s="23">
        <v>19</v>
      </c>
      <c r="B412" s="23">
        <v>1</v>
      </c>
      <c r="C412" s="23">
        <v>17.48</v>
      </c>
      <c r="D412" s="23">
        <v>0</v>
      </c>
      <c r="E412" s="23">
        <v>0</v>
      </c>
      <c r="F412" s="23">
        <v>0</v>
      </c>
      <c r="G412" s="23">
        <v>0</v>
      </c>
      <c r="H412" s="23">
        <v>0</v>
      </c>
      <c r="I412" s="23">
        <v>1</v>
      </c>
      <c r="J412" s="23">
        <v>1621.3402000000001</v>
      </c>
      <c r="N412" s="23"/>
      <c r="O412" s="23"/>
      <c r="P412" s="23"/>
      <c r="Q412" s="23"/>
      <c r="R412" s="23"/>
      <c r="S412" s="23"/>
      <c r="T412" s="23"/>
      <c r="U412" s="23"/>
    </row>
    <row r="413" spans="1:21" x14ac:dyDescent="0.2">
      <c r="A413" s="23">
        <v>44</v>
      </c>
      <c r="B413" s="23">
        <v>0</v>
      </c>
      <c r="C413" s="23">
        <v>20.234999999999999</v>
      </c>
      <c r="D413" s="23">
        <v>1</v>
      </c>
      <c r="E413" s="23">
        <v>1</v>
      </c>
      <c r="F413" s="23">
        <v>1</v>
      </c>
      <c r="G413" s="23">
        <v>0</v>
      </c>
      <c r="H413" s="23">
        <v>0</v>
      </c>
      <c r="I413" s="23">
        <v>0</v>
      </c>
      <c r="J413" s="23">
        <v>19594.809649999999</v>
      </c>
      <c r="N413" s="23"/>
      <c r="O413" s="23"/>
      <c r="P413" s="23"/>
      <c r="Q413" s="23"/>
      <c r="R413" s="23"/>
      <c r="S413" s="23"/>
      <c r="T413" s="23"/>
      <c r="U413" s="23"/>
    </row>
    <row r="414" spans="1:21" x14ac:dyDescent="0.2">
      <c r="A414" s="23">
        <v>26</v>
      </c>
      <c r="B414" s="23">
        <v>0</v>
      </c>
      <c r="C414" s="23">
        <v>17.195</v>
      </c>
      <c r="D414" s="23">
        <v>2</v>
      </c>
      <c r="E414" s="23">
        <v>1</v>
      </c>
      <c r="F414" s="23">
        <v>1</v>
      </c>
      <c r="G414" s="23">
        <v>0</v>
      </c>
      <c r="H414" s="23">
        <v>0</v>
      </c>
      <c r="I414" s="23">
        <v>0</v>
      </c>
      <c r="J414" s="23">
        <v>14455.644050000001</v>
      </c>
      <c r="N414" s="23"/>
      <c r="O414" s="23"/>
      <c r="P414" s="23"/>
      <c r="Q414" s="23"/>
      <c r="R414" s="23"/>
      <c r="S414" s="23"/>
      <c r="T414" s="23"/>
      <c r="U414" s="23"/>
    </row>
    <row r="415" spans="1:21" x14ac:dyDescent="0.2">
      <c r="A415" s="23">
        <v>25</v>
      </c>
      <c r="B415" s="23">
        <v>1</v>
      </c>
      <c r="C415" s="23">
        <v>23.9</v>
      </c>
      <c r="D415" s="23">
        <v>5</v>
      </c>
      <c r="E415" s="23">
        <v>0</v>
      </c>
      <c r="F415" s="23">
        <v>0</v>
      </c>
      <c r="G415" s="23">
        <v>0</v>
      </c>
      <c r="H415" s="23">
        <v>1</v>
      </c>
      <c r="I415" s="23">
        <v>0</v>
      </c>
      <c r="J415" s="23">
        <v>5080.0959999999995</v>
      </c>
      <c r="N415" s="23"/>
      <c r="O415" s="23"/>
      <c r="P415" s="23"/>
      <c r="Q415" s="23"/>
      <c r="R415" s="23"/>
      <c r="S415" s="23"/>
      <c r="T415" s="23"/>
      <c r="U415" s="23"/>
    </row>
    <row r="416" spans="1:21" x14ac:dyDescent="0.2">
      <c r="A416" s="23">
        <v>19</v>
      </c>
      <c r="B416" s="23">
        <v>0</v>
      </c>
      <c r="C416" s="23">
        <v>35.15</v>
      </c>
      <c r="D416" s="23">
        <v>0</v>
      </c>
      <c r="E416" s="23">
        <v>0</v>
      </c>
      <c r="F416" s="23">
        <v>0</v>
      </c>
      <c r="G416" s="23">
        <v>0</v>
      </c>
      <c r="H416" s="23">
        <v>0</v>
      </c>
      <c r="I416" s="23">
        <v>1</v>
      </c>
      <c r="J416" s="23">
        <v>2134.9014999999999</v>
      </c>
      <c r="N416" s="23"/>
      <c r="O416" s="23"/>
      <c r="P416" s="23"/>
      <c r="Q416" s="23"/>
      <c r="R416" s="23"/>
      <c r="S416" s="23"/>
      <c r="T416" s="23"/>
      <c r="U416" s="23"/>
    </row>
    <row r="417" spans="1:21" x14ac:dyDescent="0.2">
      <c r="A417" s="23">
        <v>43</v>
      </c>
      <c r="B417" s="23">
        <v>0</v>
      </c>
      <c r="C417" s="23">
        <v>35.64</v>
      </c>
      <c r="D417" s="23">
        <v>1</v>
      </c>
      <c r="E417" s="23">
        <v>0</v>
      </c>
      <c r="F417" s="23">
        <v>0</v>
      </c>
      <c r="G417" s="23">
        <v>1</v>
      </c>
      <c r="H417" s="23">
        <v>0</v>
      </c>
      <c r="I417" s="23">
        <v>0</v>
      </c>
      <c r="J417" s="23">
        <v>7345.7266</v>
      </c>
      <c r="N417" s="23"/>
      <c r="O417" s="23"/>
      <c r="P417" s="23"/>
      <c r="Q417" s="23"/>
      <c r="R417" s="23"/>
      <c r="S417" s="23"/>
      <c r="T417" s="23"/>
      <c r="U417" s="23"/>
    </row>
    <row r="418" spans="1:21" x14ac:dyDescent="0.2">
      <c r="A418" s="23">
        <v>52</v>
      </c>
      <c r="B418" s="23">
        <v>1</v>
      </c>
      <c r="C418" s="23">
        <v>34.1</v>
      </c>
      <c r="D418" s="23">
        <v>0</v>
      </c>
      <c r="E418" s="23">
        <v>0</v>
      </c>
      <c r="F418" s="23">
        <v>0</v>
      </c>
      <c r="G418" s="23">
        <v>1</v>
      </c>
      <c r="H418" s="23">
        <v>0</v>
      </c>
      <c r="I418" s="23">
        <v>0</v>
      </c>
      <c r="J418" s="23">
        <v>9140.9509999999991</v>
      </c>
      <c r="N418" s="23"/>
      <c r="O418" s="23"/>
      <c r="P418" s="23"/>
      <c r="Q418" s="23"/>
      <c r="R418" s="23"/>
      <c r="S418" s="23"/>
      <c r="T418" s="23"/>
      <c r="U418" s="23"/>
    </row>
    <row r="419" spans="1:21" x14ac:dyDescent="0.2">
      <c r="A419" s="23">
        <v>36</v>
      </c>
      <c r="B419" s="23">
        <v>0</v>
      </c>
      <c r="C419" s="23">
        <v>22.6</v>
      </c>
      <c r="D419" s="23">
        <v>2</v>
      </c>
      <c r="E419" s="23">
        <v>1</v>
      </c>
      <c r="F419" s="23">
        <v>0</v>
      </c>
      <c r="G419" s="23">
        <v>0</v>
      </c>
      <c r="H419" s="23">
        <v>1</v>
      </c>
      <c r="I419" s="23">
        <v>0</v>
      </c>
      <c r="J419" s="23">
        <v>18608.261999999999</v>
      </c>
      <c r="N419" s="23"/>
      <c r="O419" s="23"/>
      <c r="P419" s="23"/>
      <c r="Q419" s="23"/>
      <c r="R419" s="23"/>
      <c r="S419" s="23"/>
      <c r="T419" s="23"/>
      <c r="U419" s="23"/>
    </row>
    <row r="420" spans="1:21" x14ac:dyDescent="0.2">
      <c r="A420" s="23">
        <v>64</v>
      </c>
      <c r="B420" s="23">
        <v>1</v>
      </c>
      <c r="C420" s="23">
        <v>39.159999999999997</v>
      </c>
      <c r="D420" s="23">
        <v>1</v>
      </c>
      <c r="E420" s="23">
        <v>0</v>
      </c>
      <c r="F420" s="23">
        <v>0</v>
      </c>
      <c r="G420" s="23">
        <v>1</v>
      </c>
      <c r="H420" s="23">
        <v>0</v>
      </c>
      <c r="I420" s="23">
        <v>0</v>
      </c>
      <c r="J420" s="23">
        <v>14418.2804</v>
      </c>
      <c r="N420" s="23"/>
      <c r="O420" s="23"/>
      <c r="P420" s="23"/>
      <c r="Q420" s="23"/>
      <c r="R420" s="23"/>
      <c r="S420" s="23"/>
      <c r="T420" s="23"/>
      <c r="U420" s="23"/>
    </row>
    <row r="421" spans="1:21" x14ac:dyDescent="0.2">
      <c r="A421" s="23">
        <v>63</v>
      </c>
      <c r="B421" s="23">
        <v>0</v>
      </c>
      <c r="C421" s="23">
        <v>26.98</v>
      </c>
      <c r="D421" s="23">
        <v>0</v>
      </c>
      <c r="E421" s="23">
        <v>1</v>
      </c>
      <c r="F421" s="23">
        <v>0</v>
      </c>
      <c r="G421" s="23">
        <v>0</v>
      </c>
      <c r="H421" s="23">
        <v>0</v>
      </c>
      <c r="I421" s="23">
        <v>1</v>
      </c>
      <c r="J421" s="23">
        <v>28950.4692</v>
      </c>
      <c r="N421" s="23"/>
      <c r="O421" s="23"/>
      <c r="P421" s="23"/>
      <c r="Q421" s="23"/>
      <c r="R421" s="23"/>
      <c r="S421" s="23"/>
      <c r="T421" s="23"/>
      <c r="U421" s="23"/>
    </row>
    <row r="422" spans="1:21" x14ac:dyDescent="0.2">
      <c r="A422" s="23">
        <v>64</v>
      </c>
      <c r="B422" s="23">
        <v>1</v>
      </c>
      <c r="C422" s="23">
        <v>33.880000000000003</v>
      </c>
      <c r="D422" s="23">
        <v>0</v>
      </c>
      <c r="E422" s="23">
        <v>1</v>
      </c>
      <c r="F422" s="23">
        <v>0</v>
      </c>
      <c r="G422" s="23">
        <v>1</v>
      </c>
      <c r="H422" s="23">
        <v>0</v>
      </c>
      <c r="I422" s="23">
        <v>0</v>
      </c>
      <c r="J422" s="23">
        <v>46889.261200000001</v>
      </c>
      <c r="N422" s="23"/>
      <c r="O422" s="23"/>
      <c r="P422" s="23"/>
      <c r="Q422" s="23"/>
      <c r="R422" s="23"/>
      <c r="S422" s="23"/>
      <c r="T422" s="23"/>
      <c r="U422" s="23"/>
    </row>
    <row r="423" spans="1:21" x14ac:dyDescent="0.2">
      <c r="A423" s="23">
        <v>61</v>
      </c>
      <c r="B423" s="23">
        <v>1</v>
      </c>
      <c r="C423" s="23">
        <v>35.86</v>
      </c>
      <c r="D423" s="23">
        <v>0</v>
      </c>
      <c r="E423" s="23">
        <v>1</v>
      </c>
      <c r="F423" s="23">
        <v>0</v>
      </c>
      <c r="G423" s="23">
        <v>1</v>
      </c>
      <c r="H423" s="23">
        <v>0</v>
      </c>
      <c r="I423" s="23">
        <v>0</v>
      </c>
      <c r="J423" s="23">
        <v>46599.108399999997</v>
      </c>
      <c r="N423" s="23"/>
      <c r="O423" s="23"/>
      <c r="P423" s="23"/>
      <c r="Q423" s="23"/>
      <c r="R423" s="23"/>
      <c r="S423" s="23"/>
      <c r="T423" s="23"/>
      <c r="U423" s="23"/>
    </row>
    <row r="424" spans="1:21" x14ac:dyDescent="0.2">
      <c r="A424" s="23">
        <v>40</v>
      </c>
      <c r="B424" s="23">
        <v>1</v>
      </c>
      <c r="C424" s="23">
        <v>32.774999999999999</v>
      </c>
      <c r="D424" s="23">
        <v>1</v>
      </c>
      <c r="E424" s="23">
        <v>1</v>
      </c>
      <c r="F424" s="23">
        <v>1</v>
      </c>
      <c r="G424" s="23">
        <v>0</v>
      </c>
      <c r="H424" s="23">
        <v>0</v>
      </c>
      <c r="I424" s="23">
        <v>0</v>
      </c>
      <c r="J424" s="23">
        <v>39125.332249999999</v>
      </c>
      <c r="N424" s="23"/>
      <c r="O424" s="23"/>
      <c r="P424" s="23"/>
      <c r="Q424" s="23"/>
      <c r="R424" s="23"/>
      <c r="S424" s="23"/>
      <c r="T424" s="23"/>
      <c r="U424" s="23"/>
    </row>
    <row r="425" spans="1:21" x14ac:dyDescent="0.2">
      <c r="A425" s="23">
        <v>25</v>
      </c>
      <c r="B425" s="23">
        <v>1</v>
      </c>
      <c r="C425" s="23">
        <v>30.59</v>
      </c>
      <c r="D425" s="23">
        <v>0</v>
      </c>
      <c r="E425" s="23">
        <v>0</v>
      </c>
      <c r="F425" s="23">
        <v>1</v>
      </c>
      <c r="G425" s="23">
        <v>0</v>
      </c>
      <c r="H425" s="23">
        <v>0</v>
      </c>
      <c r="I425" s="23">
        <v>0</v>
      </c>
      <c r="J425" s="23">
        <v>2727.3951000000002</v>
      </c>
      <c r="N425" s="23"/>
      <c r="O425" s="23"/>
      <c r="P425" s="23"/>
      <c r="Q425" s="23"/>
      <c r="R425" s="23"/>
      <c r="S425" s="23"/>
      <c r="T425" s="23"/>
      <c r="U425" s="23"/>
    </row>
    <row r="426" spans="1:21" x14ac:dyDescent="0.2">
      <c r="A426" s="23">
        <v>48</v>
      </c>
      <c r="B426" s="23">
        <v>1</v>
      </c>
      <c r="C426" s="23">
        <v>30.2</v>
      </c>
      <c r="D426" s="23">
        <v>2</v>
      </c>
      <c r="E426" s="23">
        <v>0</v>
      </c>
      <c r="F426" s="23">
        <v>0</v>
      </c>
      <c r="G426" s="23">
        <v>0</v>
      </c>
      <c r="H426" s="23">
        <v>1</v>
      </c>
      <c r="I426" s="23">
        <v>0</v>
      </c>
      <c r="J426" s="23">
        <v>8968.33</v>
      </c>
      <c r="N426" s="23"/>
      <c r="O426" s="23"/>
      <c r="P426" s="23"/>
      <c r="Q426" s="23"/>
      <c r="R426" s="23"/>
      <c r="S426" s="23"/>
      <c r="T426" s="23"/>
      <c r="U426" s="23"/>
    </row>
    <row r="427" spans="1:21" x14ac:dyDescent="0.2">
      <c r="A427" s="23">
        <v>45</v>
      </c>
      <c r="B427" s="23">
        <v>1</v>
      </c>
      <c r="C427" s="23">
        <v>24.31</v>
      </c>
      <c r="D427" s="23">
        <v>5</v>
      </c>
      <c r="E427" s="23">
        <v>0</v>
      </c>
      <c r="F427" s="23">
        <v>0</v>
      </c>
      <c r="G427" s="23">
        <v>1</v>
      </c>
      <c r="H427" s="23">
        <v>0</v>
      </c>
      <c r="I427" s="23">
        <v>0</v>
      </c>
      <c r="J427" s="23">
        <v>9788.8659000000007</v>
      </c>
      <c r="N427" s="23"/>
      <c r="O427" s="23"/>
      <c r="P427" s="23"/>
      <c r="Q427" s="23"/>
      <c r="R427" s="23"/>
      <c r="S427" s="23"/>
      <c r="T427" s="23"/>
      <c r="U427" s="23"/>
    </row>
    <row r="428" spans="1:21" x14ac:dyDescent="0.2">
      <c r="A428" s="23">
        <v>38</v>
      </c>
      <c r="B428" s="23">
        <v>0</v>
      </c>
      <c r="C428" s="23">
        <v>27.265000000000001</v>
      </c>
      <c r="D428" s="23">
        <v>1</v>
      </c>
      <c r="E428" s="23">
        <v>0</v>
      </c>
      <c r="F428" s="23">
        <v>1</v>
      </c>
      <c r="G428" s="23">
        <v>0</v>
      </c>
      <c r="H428" s="23">
        <v>0</v>
      </c>
      <c r="I428" s="23">
        <v>0</v>
      </c>
      <c r="J428" s="23">
        <v>6555.07035</v>
      </c>
      <c r="N428" s="23"/>
      <c r="O428" s="23"/>
      <c r="P428" s="23"/>
      <c r="Q428" s="23"/>
      <c r="R428" s="23"/>
      <c r="S428" s="23"/>
      <c r="T428" s="23"/>
      <c r="U428" s="23"/>
    </row>
    <row r="429" spans="1:21" x14ac:dyDescent="0.2">
      <c r="A429" s="23">
        <v>18</v>
      </c>
      <c r="B429" s="23">
        <v>0</v>
      </c>
      <c r="C429" s="23">
        <v>29.164999999999999</v>
      </c>
      <c r="D429" s="23">
        <v>0</v>
      </c>
      <c r="E429" s="23">
        <v>0</v>
      </c>
      <c r="F429" s="23">
        <v>1</v>
      </c>
      <c r="G429" s="23">
        <v>0</v>
      </c>
      <c r="H429" s="23">
        <v>0</v>
      </c>
      <c r="I429" s="23">
        <v>0</v>
      </c>
      <c r="J429" s="23">
        <v>7323.7348190000002</v>
      </c>
      <c r="N429" s="23"/>
      <c r="O429" s="23"/>
      <c r="P429" s="23"/>
      <c r="Q429" s="23"/>
      <c r="R429" s="23"/>
      <c r="S429" s="23"/>
      <c r="T429" s="23"/>
      <c r="U429" s="23"/>
    </row>
    <row r="430" spans="1:21" x14ac:dyDescent="0.2">
      <c r="A430" s="23">
        <v>21</v>
      </c>
      <c r="B430" s="23">
        <v>0</v>
      </c>
      <c r="C430" s="23">
        <v>16.815000000000001</v>
      </c>
      <c r="D430" s="23">
        <v>1</v>
      </c>
      <c r="E430" s="23">
        <v>0</v>
      </c>
      <c r="F430" s="23">
        <v>1</v>
      </c>
      <c r="G430" s="23">
        <v>0</v>
      </c>
      <c r="H430" s="23">
        <v>0</v>
      </c>
      <c r="I430" s="23">
        <v>0</v>
      </c>
      <c r="J430" s="23">
        <v>3167.4558499999998</v>
      </c>
      <c r="N430" s="23"/>
      <c r="O430" s="23"/>
      <c r="P430" s="23"/>
      <c r="Q430" s="23"/>
      <c r="R430" s="23"/>
      <c r="S430" s="23"/>
      <c r="T430" s="23"/>
      <c r="U430" s="23"/>
    </row>
    <row r="431" spans="1:21" x14ac:dyDescent="0.2">
      <c r="A431" s="23">
        <v>27</v>
      </c>
      <c r="B431" s="23">
        <v>0</v>
      </c>
      <c r="C431" s="23">
        <v>30.4</v>
      </c>
      <c r="D431" s="23">
        <v>3</v>
      </c>
      <c r="E431" s="23">
        <v>0</v>
      </c>
      <c r="F431" s="23">
        <v>0</v>
      </c>
      <c r="G431" s="23">
        <v>0</v>
      </c>
      <c r="H431" s="23">
        <v>0</v>
      </c>
      <c r="I431" s="23">
        <v>1</v>
      </c>
      <c r="J431" s="23">
        <v>18804.752400000001</v>
      </c>
      <c r="N431" s="23"/>
      <c r="O431" s="23"/>
      <c r="P431" s="23"/>
      <c r="Q431" s="23"/>
      <c r="R431" s="23"/>
      <c r="S431" s="23"/>
      <c r="T431" s="23"/>
      <c r="U431" s="23"/>
    </row>
    <row r="432" spans="1:21" x14ac:dyDescent="0.2">
      <c r="A432" s="23">
        <v>19</v>
      </c>
      <c r="B432" s="23">
        <v>1</v>
      </c>
      <c r="C432" s="23">
        <v>33.1</v>
      </c>
      <c r="D432" s="23">
        <v>0</v>
      </c>
      <c r="E432" s="23">
        <v>0</v>
      </c>
      <c r="F432" s="23">
        <v>0</v>
      </c>
      <c r="G432" s="23">
        <v>0</v>
      </c>
      <c r="H432" s="23">
        <v>1</v>
      </c>
      <c r="I432" s="23">
        <v>0</v>
      </c>
      <c r="J432" s="23">
        <v>23082.955330000001</v>
      </c>
      <c r="N432" s="23"/>
      <c r="O432" s="23"/>
      <c r="P432" s="23"/>
      <c r="Q432" s="23"/>
      <c r="R432" s="23"/>
      <c r="S432" s="23"/>
      <c r="T432" s="23"/>
      <c r="U432" s="23"/>
    </row>
    <row r="433" spans="1:21" x14ac:dyDescent="0.2">
      <c r="A433" s="23">
        <v>29</v>
      </c>
      <c r="B433" s="23">
        <v>0</v>
      </c>
      <c r="C433" s="23">
        <v>20.234999999999999</v>
      </c>
      <c r="D433" s="23">
        <v>2</v>
      </c>
      <c r="E433" s="23">
        <v>0</v>
      </c>
      <c r="F433" s="23">
        <v>0</v>
      </c>
      <c r="G433" s="23">
        <v>0</v>
      </c>
      <c r="H433" s="23">
        <v>0</v>
      </c>
      <c r="I433" s="23">
        <v>1</v>
      </c>
      <c r="J433" s="23">
        <v>4906.4096499999996</v>
      </c>
      <c r="N433" s="23"/>
      <c r="O433" s="23"/>
      <c r="P433" s="23"/>
      <c r="Q433" s="23"/>
      <c r="R433" s="23"/>
      <c r="S433" s="23"/>
      <c r="T433" s="23"/>
      <c r="U433" s="23"/>
    </row>
    <row r="434" spans="1:21" x14ac:dyDescent="0.2">
      <c r="A434" s="23">
        <v>42</v>
      </c>
      <c r="B434" s="23">
        <v>1</v>
      </c>
      <c r="C434" s="23">
        <v>26.9</v>
      </c>
      <c r="D434" s="23">
        <v>0</v>
      </c>
      <c r="E434" s="23">
        <v>0</v>
      </c>
      <c r="F434" s="23">
        <v>0</v>
      </c>
      <c r="G434" s="23">
        <v>0</v>
      </c>
      <c r="H434" s="23">
        <v>1</v>
      </c>
      <c r="I434" s="23">
        <v>0</v>
      </c>
      <c r="J434" s="23">
        <v>5969.723</v>
      </c>
      <c r="N434" s="23"/>
      <c r="O434" s="23"/>
      <c r="P434" s="23"/>
      <c r="Q434" s="23"/>
      <c r="R434" s="23"/>
      <c r="S434" s="23"/>
      <c r="T434" s="23"/>
      <c r="U434" s="23"/>
    </row>
    <row r="435" spans="1:21" x14ac:dyDescent="0.2">
      <c r="A435" s="23">
        <v>60</v>
      </c>
      <c r="B435" s="23">
        <v>0</v>
      </c>
      <c r="C435" s="23">
        <v>30.5</v>
      </c>
      <c r="D435" s="23">
        <v>0</v>
      </c>
      <c r="E435" s="23">
        <v>0</v>
      </c>
      <c r="F435" s="23">
        <v>0</v>
      </c>
      <c r="G435" s="23">
        <v>0</v>
      </c>
      <c r="H435" s="23">
        <v>1</v>
      </c>
      <c r="I435" s="23">
        <v>0</v>
      </c>
      <c r="J435" s="23">
        <v>12638.195</v>
      </c>
      <c r="N435" s="23"/>
      <c r="O435" s="23"/>
      <c r="P435" s="23"/>
      <c r="Q435" s="23"/>
      <c r="R435" s="23"/>
      <c r="S435" s="23"/>
      <c r="T435" s="23"/>
      <c r="U435" s="23"/>
    </row>
    <row r="436" spans="1:21" x14ac:dyDescent="0.2">
      <c r="A436" s="23">
        <v>31</v>
      </c>
      <c r="B436" s="23">
        <v>1</v>
      </c>
      <c r="C436" s="23">
        <v>28.594999999999999</v>
      </c>
      <c r="D436" s="23">
        <v>1</v>
      </c>
      <c r="E436" s="23">
        <v>0</v>
      </c>
      <c r="F436" s="23">
        <v>0</v>
      </c>
      <c r="G436" s="23">
        <v>0</v>
      </c>
      <c r="H436" s="23">
        <v>0</v>
      </c>
      <c r="I436" s="23">
        <v>1</v>
      </c>
      <c r="J436" s="23">
        <v>4243.5900499999998</v>
      </c>
      <c r="N436" s="23"/>
      <c r="O436" s="23"/>
      <c r="P436" s="23"/>
      <c r="Q436" s="23"/>
      <c r="R436" s="23"/>
      <c r="S436" s="23"/>
      <c r="T436" s="23"/>
      <c r="U436" s="23"/>
    </row>
    <row r="437" spans="1:21" x14ac:dyDescent="0.2">
      <c r="A437" s="23">
        <v>60</v>
      </c>
      <c r="B437" s="23">
        <v>1</v>
      </c>
      <c r="C437" s="23">
        <v>33.11</v>
      </c>
      <c r="D437" s="23">
        <v>3</v>
      </c>
      <c r="E437" s="23">
        <v>0</v>
      </c>
      <c r="F437" s="23">
        <v>0</v>
      </c>
      <c r="G437" s="23">
        <v>1</v>
      </c>
      <c r="H437" s="23">
        <v>0</v>
      </c>
      <c r="I437" s="23">
        <v>0</v>
      </c>
      <c r="J437" s="23">
        <v>13919.822899999999</v>
      </c>
      <c r="N437" s="23"/>
      <c r="O437" s="23"/>
      <c r="P437" s="23"/>
      <c r="Q437" s="23"/>
      <c r="R437" s="23"/>
      <c r="S437" s="23"/>
      <c r="T437" s="23"/>
      <c r="U437" s="23"/>
    </row>
    <row r="438" spans="1:21" x14ac:dyDescent="0.2">
      <c r="A438" s="23">
        <v>22</v>
      </c>
      <c r="B438" s="23">
        <v>1</v>
      </c>
      <c r="C438" s="23">
        <v>31.73</v>
      </c>
      <c r="D438" s="23">
        <v>0</v>
      </c>
      <c r="E438" s="23">
        <v>0</v>
      </c>
      <c r="F438" s="23">
        <v>1</v>
      </c>
      <c r="G438" s="23">
        <v>0</v>
      </c>
      <c r="H438" s="23">
        <v>0</v>
      </c>
      <c r="I438" s="23">
        <v>0</v>
      </c>
      <c r="J438" s="23">
        <v>2254.7966999999999</v>
      </c>
      <c r="N438" s="23"/>
      <c r="O438" s="23"/>
      <c r="P438" s="23"/>
      <c r="Q438" s="23"/>
      <c r="R438" s="23"/>
      <c r="S438" s="23"/>
      <c r="T438" s="23"/>
      <c r="U438" s="23"/>
    </row>
    <row r="439" spans="1:21" x14ac:dyDescent="0.2">
      <c r="A439" s="23">
        <v>35</v>
      </c>
      <c r="B439" s="23">
        <v>1</v>
      </c>
      <c r="C439" s="23">
        <v>28.9</v>
      </c>
      <c r="D439" s="23">
        <v>3</v>
      </c>
      <c r="E439" s="23">
        <v>0</v>
      </c>
      <c r="F439" s="23">
        <v>0</v>
      </c>
      <c r="G439" s="23">
        <v>0</v>
      </c>
      <c r="H439" s="23">
        <v>1</v>
      </c>
      <c r="I439" s="23">
        <v>0</v>
      </c>
      <c r="J439" s="23">
        <v>5926.8459999999995</v>
      </c>
      <c r="N439" s="23"/>
      <c r="O439" s="23"/>
      <c r="P439" s="23"/>
      <c r="Q439" s="23"/>
      <c r="R439" s="23"/>
      <c r="S439" s="23"/>
      <c r="T439" s="23"/>
      <c r="U439" s="23"/>
    </row>
    <row r="440" spans="1:21" x14ac:dyDescent="0.2">
      <c r="A440" s="23">
        <v>52</v>
      </c>
      <c r="B440" s="23">
        <v>0</v>
      </c>
      <c r="C440" s="23">
        <v>46.75</v>
      </c>
      <c r="D440" s="23">
        <v>5</v>
      </c>
      <c r="E440" s="23">
        <v>0</v>
      </c>
      <c r="F440" s="23">
        <v>0</v>
      </c>
      <c r="G440" s="23">
        <v>1</v>
      </c>
      <c r="H440" s="23">
        <v>0</v>
      </c>
      <c r="I440" s="23">
        <v>0</v>
      </c>
      <c r="J440" s="23">
        <v>12592.5345</v>
      </c>
      <c r="N440" s="23"/>
      <c r="O440" s="23"/>
      <c r="P440" s="23"/>
      <c r="Q440" s="23"/>
      <c r="R440" s="23"/>
      <c r="S440" s="23"/>
      <c r="T440" s="23"/>
      <c r="U440" s="23"/>
    </row>
    <row r="441" spans="1:21" x14ac:dyDescent="0.2">
      <c r="A441" s="23">
        <v>26</v>
      </c>
      <c r="B441" s="23">
        <v>1</v>
      </c>
      <c r="C441" s="23">
        <v>29.45</v>
      </c>
      <c r="D441" s="23">
        <v>0</v>
      </c>
      <c r="E441" s="23">
        <v>0</v>
      </c>
      <c r="F441" s="23">
        <v>1</v>
      </c>
      <c r="G441" s="23">
        <v>0</v>
      </c>
      <c r="H441" s="23">
        <v>0</v>
      </c>
      <c r="I441" s="23">
        <v>0</v>
      </c>
      <c r="J441" s="23">
        <v>2897.3235</v>
      </c>
      <c r="N441" s="23"/>
      <c r="O441" s="23"/>
      <c r="P441" s="23"/>
      <c r="Q441" s="23"/>
      <c r="R441" s="23"/>
      <c r="S441" s="23"/>
      <c r="T441" s="23"/>
      <c r="U441" s="23"/>
    </row>
    <row r="442" spans="1:21" x14ac:dyDescent="0.2">
      <c r="A442" s="23">
        <v>31</v>
      </c>
      <c r="B442" s="23">
        <v>0</v>
      </c>
      <c r="C442" s="23">
        <v>32.68</v>
      </c>
      <c r="D442" s="23">
        <v>1</v>
      </c>
      <c r="E442" s="23">
        <v>0</v>
      </c>
      <c r="F442" s="23">
        <v>0</v>
      </c>
      <c r="G442" s="23">
        <v>0</v>
      </c>
      <c r="H442" s="23">
        <v>0</v>
      </c>
      <c r="I442" s="23">
        <v>1</v>
      </c>
      <c r="J442" s="23">
        <v>4738.2682000000004</v>
      </c>
      <c r="N442" s="23"/>
      <c r="O442" s="23"/>
      <c r="P442" s="23"/>
      <c r="Q442" s="23"/>
      <c r="R442" s="23"/>
      <c r="S442" s="23"/>
      <c r="T442" s="23"/>
      <c r="U442" s="23"/>
    </row>
    <row r="443" spans="1:21" x14ac:dyDescent="0.2">
      <c r="A443" s="23">
        <v>33</v>
      </c>
      <c r="B443" s="23">
        <v>0</v>
      </c>
      <c r="C443" s="23">
        <v>33.5</v>
      </c>
      <c r="D443" s="23">
        <v>0</v>
      </c>
      <c r="E443" s="23">
        <v>1</v>
      </c>
      <c r="F443" s="23">
        <v>0</v>
      </c>
      <c r="G443" s="23">
        <v>0</v>
      </c>
      <c r="H443" s="23">
        <v>1</v>
      </c>
      <c r="I443" s="23">
        <v>0</v>
      </c>
      <c r="J443" s="23">
        <v>37079.372000000003</v>
      </c>
      <c r="N443" s="23"/>
      <c r="O443" s="23"/>
      <c r="P443" s="23"/>
      <c r="Q443" s="23"/>
      <c r="R443" s="23"/>
      <c r="S443" s="23"/>
      <c r="T443" s="23"/>
      <c r="U443" s="23"/>
    </row>
    <row r="444" spans="1:21" x14ac:dyDescent="0.2">
      <c r="A444" s="23">
        <v>18</v>
      </c>
      <c r="B444" s="23">
        <v>1</v>
      </c>
      <c r="C444" s="23">
        <v>43.01</v>
      </c>
      <c r="D444" s="23">
        <v>0</v>
      </c>
      <c r="E444" s="23">
        <v>0</v>
      </c>
      <c r="F444" s="23">
        <v>0</v>
      </c>
      <c r="G444" s="23">
        <v>1</v>
      </c>
      <c r="H444" s="23">
        <v>0</v>
      </c>
      <c r="I444" s="23">
        <v>0</v>
      </c>
      <c r="J444" s="23">
        <v>1149.3959</v>
      </c>
      <c r="N444" s="23"/>
      <c r="O444" s="23"/>
      <c r="P444" s="23"/>
      <c r="Q444" s="23"/>
      <c r="R444" s="23"/>
      <c r="S444" s="23"/>
      <c r="T444" s="23"/>
      <c r="U444" s="23"/>
    </row>
    <row r="445" spans="1:21" x14ac:dyDescent="0.2">
      <c r="A445" s="23">
        <v>59</v>
      </c>
      <c r="B445" s="23">
        <v>0</v>
      </c>
      <c r="C445" s="23">
        <v>36.520000000000003</v>
      </c>
      <c r="D445" s="23">
        <v>1</v>
      </c>
      <c r="E445" s="23">
        <v>0</v>
      </c>
      <c r="F445" s="23">
        <v>0</v>
      </c>
      <c r="G445" s="23">
        <v>1</v>
      </c>
      <c r="H445" s="23">
        <v>0</v>
      </c>
      <c r="I445" s="23">
        <v>0</v>
      </c>
      <c r="J445" s="23">
        <v>28287.897659999999</v>
      </c>
      <c r="N445" s="23"/>
      <c r="O445" s="23"/>
      <c r="P445" s="23"/>
      <c r="Q445" s="23"/>
      <c r="R445" s="23"/>
      <c r="S445" s="23"/>
      <c r="T445" s="23"/>
      <c r="U445" s="23"/>
    </row>
    <row r="446" spans="1:21" x14ac:dyDescent="0.2">
      <c r="A446" s="23">
        <v>56</v>
      </c>
      <c r="B446" s="23">
        <v>1</v>
      </c>
      <c r="C446" s="23">
        <v>26.695</v>
      </c>
      <c r="D446" s="23">
        <v>1</v>
      </c>
      <c r="E446" s="23">
        <v>1</v>
      </c>
      <c r="F446" s="23">
        <v>0</v>
      </c>
      <c r="G446" s="23">
        <v>0</v>
      </c>
      <c r="H446" s="23">
        <v>0</v>
      </c>
      <c r="I446" s="23">
        <v>1</v>
      </c>
      <c r="J446" s="23">
        <v>26109.32905</v>
      </c>
      <c r="N446" s="23"/>
      <c r="O446" s="23"/>
      <c r="P446" s="23"/>
      <c r="Q446" s="23"/>
      <c r="R446" s="23"/>
      <c r="S446" s="23"/>
      <c r="T446" s="23"/>
      <c r="U446" s="23"/>
    </row>
    <row r="447" spans="1:21" x14ac:dyDescent="0.2">
      <c r="A447" s="23">
        <v>45</v>
      </c>
      <c r="B447" s="23">
        <v>0</v>
      </c>
      <c r="C447" s="23">
        <v>33.1</v>
      </c>
      <c r="D447" s="23">
        <v>0</v>
      </c>
      <c r="E447" s="23">
        <v>0</v>
      </c>
      <c r="F447" s="23">
        <v>0</v>
      </c>
      <c r="G447" s="23">
        <v>0</v>
      </c>
      <c r="H447" s="23">
        <v>1</v>
      </c>
      <c r="I447" s="23">
        <v>0</v>
      </c>
      <c r="J447" s="23">
        <v>7345.0839999999998</v>
      </c>
      <c r="N447" s="23"/>
      <c r="O447" s="23"/>
      <c r="P447" s="23"/>
      <c r="Q447" s="23"/>
      <c r="R447" s="23"/>
      <c r="S447" s="23"/>
      <c r="T447" s="23"/>
      <c r="U447" s="23"/>
    </row>
    <row r="448" spans="1:21" x14ac:dyDescent="0.2">
      <c r="A448" s="23">
        <v>60</v>
      </c>
      <c r="B448" s="23">
        <v>1</v>
      </c>
      <c r="C448" s="23">
        <v>29.64</v>
      </c>
      <c r="D448" s="23">
        <v>0</v>
      </c>
      <c r="E448" s="23">
        <v>0</v>
      </c>
      <c r="F448" s="23">
        <v>1</v>
      </c>
      <c r="G448" s="23">
        <v>0</v>
      </c>
      <c r="H448" s="23">
        <v>0</v>
      </c>
      <c r="I448" s="23">
        <v>0</v>
      </c>
      <c r="J448" s="23">
        <v>12730.999599999999</v>
      </c>
      <c r="N448" s="23"/>
      <c r="O448" s="23"/>
      <c r="P448" s="23"/>
      <c r="Q448" s="23"/>
      <c r="R448" s="23"/>
      <c r="S448" s="23"/>
      <c r="T448" s="23"/>
      <c r="U448" s="23"/>
    </row>
    <row r="449" spans="1:21" x14ac:dyDescent="0.2">
      <c r="A449" s="23">
        <v>56</v>
      </c>
      <c r="B449" s="23">
        <v>0</v>
      </c>
      <c r="C449" s="23">
        <v>25.65</v>
      </c>
      <c r="D449" s="23">
        <v>0</v>
      </c>
      <c r="E449" s="23">
        <v>0</v>
      </c>
      <c r="F449" s="23">
        <v>0</v>
      </c>
      <c r="G449" s="23">
        <v>0</v>
      </c>
      <c r="H449" s="23">
        <v>0</v>
      </c>
      <c r="I449" s="23">
        <v>1</v>
      </c>
      <c r="J449" s="23">
        <v>11454.021500000001</v>
      </c>
      <c r="N449" s="23"/>
      <c r="O449" s="23"/>
      <c r="P449" s="23"/>
      <c r="Q449" s="23"/>
      <c r="R449" s="23"/>
      <c r="S449" s="23"/>
      <c r="T449" s="23"/>
      <c r="U449" s="23"/>
    </row>
    <row r="450" spans="1:21" x14ac:dyDescent="0.2">
      <c r="A450" s="23">
        <v>40</v>
      </c>
      <c r="B450" s="23">
        <v>0</v>
      </c>
      <c r="C450" s="23">
        <v>29.6</v>
      </c>
      <c r="D450" s="23">
        <v>0</v>
      </c>
      <c r="E450" s="23">
        <v>0</v>
      </c>
      <c r="F450" s="23">
        <v>0</v>
      </c>
      <c r="G450" s="23">
        <v>0</v>
      </c>
      <c r="H450" s="23">
        <v>1</v>
      </c>
      <c r="I450" s="23">
        <v>0</v>
      </c>
      <c r="J450" s="23">
        <v>5910.9440000000004</v>
      </c>
      <c r="N450" s="23"/>
      <c r="O450" s="23"/>
      <c r="P450" s="23"/>
      <c r="Q450" s="23"/>
      <c r="R450" s="23"/>
      <c r="S450" s="23"/>
      <c r="T450" s="23"/>
      <c r="U450" s="23"/>
    </row>
    <row r="451" spans="1:21" x14ac:dyDescent="0.2">
      <c r="A451" s="23">
        <v>35</v>
      </c>
      <c r="B451" s="23">
        <v>1</v>
      </c>
      <c r="C451" s="23">
        <v>38.6</v>
      </c>
      <c r="D451" s="23">
        <v>1</v>
      </c>
      <c r="E451" s="23">
        <v>0</v>
      </c>
      <c r="F451" s="23">
        <v>0</v>
      </c>
      <c r="G451" s="23">
        <v>0</v>
      </c>
      <c r="H451" s="23">
        <v>1</v>
      </c>
      <c r="I451" s="23">
        <v>0</v>
      </c>
      <c r="J451" s="23">
        <v>4762.3289999999997</v>
      </c>
      <c r="N451" s="23"/>
      <c r="O451" s="23"/>
      <c r="P451" s="23"/>
      <c r="Q451" s="23"/>
      <c r="R451" s="23"/>
      <c r="S451" s="23"/>
      <c r="T451" s="23"/>
      <c r="U451" s="23"/>
    </row>
    <row r="452" spans="1:21" x14ac:dyDescent="0.2">
      <c r="A452" s="23">
        <v>39</v>
      </c>
      <c r="B452" s="23">
        <v>1</v>
      </c>
      <c r="C452" s="23">
        <v>29.6</v>
      </c>
      <c r="D452" s="23">
        <v>4</v>
      </c>
      <c r="E452" s="23">
        <v>0</v>
      </c>
      <c r="F452" s="23">
        <v>0</v>
      </c>
      <c r="G452" s="23">
        <v>0</v>
      </c>
      <c r="H452" s="23">
        <v>1</v>
      </c>
      <c r="I452" s="23">
        <v>0</v>
      </c>
      <c r="J452" s="23">
        <v>7512.2669999999998</v>
      </c>
      <c r="N452" s="23"/>
      <c r="O452" s="23"/>
      <c r="P452" s="23"/>
      <c r="Q452" s="23"/>
      <c r="R452" s="23"/>
      <c r="S452" s="23"/>
      <c r="T452" s="23"/>
      <c r="U452" s="23"/>
    </row>
    <row r="453" spans="1:21" x14ac:dyDescent="0.2">
      <c r="A453" s="23">
        <v>30</v>
      </c>
      <c r="B453" s="23">
        <v>1</v>
      </c>
      <c r="C453" s="23">
        <v>24.13</v>
      </c>
      <c r="D453" s="23">
        <v>1</v>
      </c>
      <c r="E453" s="23">
        <v>0</v>
      </c>
      <c r="F453" s="23">
        <v>0</v>
      </c>
      <c r="G453" s="23">
        <v>0</v>
      </c>
      <c r="H453" s="23">
        <v>0</v>
      </c>
      <c r="I453" s="23">
        <v>1</v>
      </c>
      <c r="J453" s="23">
        <v>4032.2406999999998</v>
      </c>
      <c r="N453" s="23"/>
      <c r="O453" s="23"/>
      <c r="P453" s="23"/>
      <c r="Q453" s="23"/>
      <c r="R453" s="23"/>
      <c r="S453" s="23"/>
      <c r="T453" s="23"/>
      <c r="U453" s="23"/>
    </row>
    <row r="454" spans="1:21" x14ac:dyDescent="0.2">
      <c r="A454" s="23">
        <v>24</v>
      </c>
      <c r="B454" s="23">
        <v>1</v>
      </c>
      <c r="C454" s="23">
        <v>23.4</v>
      </c>
      <c r="D454" s="23">
        <v>0</v>
      </c>
      <c r="E454" s="23">
        <v>0</v>
      </c>
      <c r="F454" s="23">
        <v>0</v>
      </c>
      <c r="G454" s="23">
        <v>0</v>
      </c>
      <c r="H454" s="23">
        <v>1</v>
      </c>
      <c r="I454" s="23">
        <v>0</v>
      </c>
      <c r="J454" s="23">
        <v>1969.614</v>
      </c>
      <c r="N454" s="23"/>
      <c r="O454" s="23"/>
      <c r="P454" s="23"/>
      <c r="Q454" s="23"/>
      <c r="R454" s="23"/>
      <c r="S454" s="23"/>
      <c r="T454" s="23"/>
      <c r="U454" s="23"/>
    </row>
    <row r="455" spans="1:21" x14ac:dyDescent="0.2">
      <c r="A455" s="23">
        <v>20</v>
      </c>
      <c r="B455" s="23">
        <v>1</v>
      </c>
      <c r="C455" s="23">
        <v>29.734999999999999</v>
      </c>
      <c r="D455" s="23">
        <v>0</v>
      </c>
      <c r="E455" s="23">
        <v>0</v>
      </c>
      <c r="F455" s="23">
        <v>0</v>
      </c>
      <c r="G455" s="23">
        <v>0</v>
      </c>
      <c r="H455" s="23">
        <v>0</v>
      </c>
      <c r="I455" s="23">
        <v>1</v>
      </c>
      <c r="J455" s="23">
        <v>1769.5316499999999</v>
      </c>
      <c r="N455" s="23"/>
      <c r="O455" s="23"/>
      <c r="P455" s="23"/>
      <c r="Q455" s="23"/>
      <c r="R455" s="23"/>
      <c r="S455" s="23"/>
      <c r="T455" s="23"/>
      <c r="U455" s="23"/>
    </row>
    <row r="456" spans="1:21" x14ac:dyDescent="0.2">
      <c r="A456" s="23">
        <v>32</v>
      </c>
      <c r="B456" s="23">
        <v>1</v>
      </c>
      <c r="C456" s="23">
        <v>46.53</v>
      </c>
      <c r="D456" s="23">
        <v>2</v>
      </c>
      <c r="E456" s="23">
        <v>0</v>
      </c>
      <c r="F456" s="23">
        <v>0</v>
      </c>
      <c r="G456" s="23">
        <v>1</v>
      </c>
      <c r="H456" s="23">
        <v>0</v>
      </c>
      <c r="I456" s="23">
        <v>0</v>
      </c>
      <c r="J456" s="23">
        <v>4686.3887000000004</v>
      </c>
      <c r="N456" s="23"/>
      <c r="O456" s="23"/>
      <c r="P456" s="23"/>
      <c r="Q456" s="23"/>
      <c r="R456" s="23"/>
      <c r="S456" s="23"/>
      <c r="T456" s="23"/>
      <c r="U456" s="23"/>
    </row>
    <row r="457" spans="1:21" x14ac:dyDescent="0.2">
      <c r="A457" s="23">
        <v>59</v>
      </c>
      <c r="B457" s="23">
        <v>1</v>
      </c>
      <c r="C457" s="23">
        <v>37.4</v>
      </c>
      <c r="D457" s="23">
        <v>0</v>
      </c>
      <c r="E457" s="23">
        <v>0</v>
      </c>
      <c r="F457" s="23">
        <v>0</v>
      </c>
      <c r="G457" s="23">
        <v>0</v>
      </c>
      <c r="H457" s="23">
        <v>1</v>
      </c>
      <c r="I457" s="23">
        <v>0</v>
      </c>
      <c r="J457" s="23">
        <v>21797.000400000001</v>
      </c>
      <c r="N457" s="23"/>
      <c r="O457" s="23"/>
      <c r="P457" s="23"/>
      <c r="Q457" s="23"/>
      <c r="R457" s="23"/>
      <c r="S457" s="23"/>
      <c r="T457" s="23"/>
      <c r="U457" s="23"/>
    </row>
    <row r="458" spans="1:21" x14ac:dyDescent="0.2">
      <c r="A458" s="23">
        <v>55</v>
      </c>
      <c r="B458" s="23">
        <v>0</v>
      </c>
      <c r="C458" s="23">
        <v>30.14</v>
      </c>
      <c r="D458" s="23">
        <v>2</v>
      </c>
      <c r="E458" s="23">
        <v>0</v>
      </c>
      <c r="F458" s="23">
        <v>0</v>
      </c>
      <c r="G458" s="23">
        <v>1</v>
      </c>
      <c r="H458" s="23">
        <v>0</v>
      </c>
      <c r="I458" s="23">
        <v>0</v>
      </c>
      <c r="J458" s="23">
        <v>11881.9696</v>
      </c>
      <c r="N458" s="23"/>
      <c r="O458" s="23"/>
      <c r="P458" s="23"/>
      <c r="Q458" s="23"/>
      <c r="R458" s="23"/>
      <c r="S458" s="23"/>
      <c r="T458" s="23"/>
      <c r="U458" s="23"/>
    </row>
    <row r="459" spans="1:21" x14ac:dyDescent="0.2">
      <c r="A459" s="23">
        <v>57</v>
      </c>
      <c r="B459" s="23">
        <v>0</v>
      </c>
      <c r="C459" s="23">
        <v>30.495000000000001</v>
      </c>
      <c r="D459" s="23">
        <v>0</v>
      </c>
      <c r="E459" s="23">
        <v>0</v>
      </c>
      <c r="F459" s="23">
        <v>0</v>
      </c>
      <c r="G459" s="23">
        <v>0</v>
      </c>
      <c r="H459" s="23">
        <v>0</v>
      </c>
      <c r="I459" s="23">
        <v>1</v>
      </c>
      <c r="J459" s="23">
        <v>11840.77505</v>
      </c>
      <c r="N459" s="23"/>
      <c r="O459" s="23"/>
      <c r="P459" s="23"/>
      <c r="Q459" s="23"/>
      <c r="R459" s="23"/>
      <c r="S459" s="23"/>
      <c r="T459" s="23"/>
      <c r="U459" s="23"/>
    </row>
    <row r="460" spans="1:21" x14ac:dyDescent="0.2">
      <c r="A460" s="23">
        <v>56</v>
      </c>
      <c r="B460" s="23">
        <v>1</v>
      </c>
      <c r="C460" s="23">
        <v>39.6</v>
      </c>
      <c r="D460" s="23">
        <v>0</v>
      </c>
      <c r="E460" s="23">
        <v>0</v>
      </c>
      <c r="F460" s="23">
        <v>0</v>
      </c>
      <c r="G460" s="23">
        <v>0</v>
      </c>
      <c r="H460" s="23">
        <v>1</v>
      </c>
      <c r="I460" s="23">
        <v>0</v>
      </c>
      <c r="J460" s="23">
        <v>10601.412</v>
      </c>
      <c r="N460" s="23"/>
      <c r="O460" s="23"/>
      <c r="P460" s="23"/>
      <c r="Q460" s="23"/>
      <c r="R460" s="23"/>
      <c r="S460" s="23"/>
      <c r="T460" s="23"/>
      <c r="U460" s="23"/>
    </row>
    <row r="461" spans="1:21" x14ac:dyDescent="0.2">
      <c r="A461" s="23">
        <v>40</v>
      </c>
      <c r="B461" s="23">
        <v>0</v>
      </c>
      <c r="C461" s="23">
        <v>33</v>
      </c>
      <c r="D461" s="23">
        <v>3</v>
      </c>
      <c r="E461" s="23">
        <v>0</v>
      </c>
      <c r="F461" s="23">
        <v>0</v>
      </c>
      <c r="G461" s="23">
        <v>1</v>
      </c>
      <c r="H461" s="23">
        <v>0</v>
      </c>
      <c r="I461" s="23">
        <v>0</v>
      </c>
      <c r="J461" s="23">
        <v>7682.67</v>
      </c>
      <c r="N461" s="23"/>
      <c r="O461" s="23"/>
      <c r="P461" s="23"/>
      <c r="Q461" s="23"/>
      <c r="R461" s="23"/>
      <c r="S461" s="23"/>
      <c r="T461" s="23"/>
      <c r="U461" s="23"/>
    </row>
    <row r="462" spans="1:21" x14ac:dyDescent="0.2">
      <c r="A462" s="23">
        <v>49</v>
      </c>
      <c r="B462" s="23">
        <v>0</v>
      </c>
      <c r="C462" s="23">
        <v>36.630000000000003</v>
      </c>
      <c r="D462" s="23">
        <v>3</v>
      </c>
      <c r="E462" s="23">
        <v>0</v>
      </c>
      <c r="F462" s="23">
        <v>0</v>
      </c>
      <c r="G462" s="23">
        <v>1</v>
      </c>
      <c r="H462" s="23">
        <v>0</v>
      </c>
      <c r="I462" s="23">
        <v>0</v>
      </c>
      <c r="J462" s="23">
        <v>10381.4787</v>
      </c>
      <c r="N462" s="23"/>
      <c r="O462" s="23"/>
      <c r="P462" s="23"/>
      <c r="Q462" s="23"/>
      <c r="R462" s="23"/>
      <c r="S462" s="23"/>
      <c r="T462" s="23"/>
      <c r="U462" s="23"/>
    </row>
    <row r="463" spans="1:21" x14ac:dyDescent="0.2">
      <c r="A463" s="23">
        <v>42</v>
      </c>
      <c r="B463" s="23">
        <v>1</v>
      </c>
      <c r="C463" s="23">
        <v>30</v>
      </c>
      <c r="D463" s="23">
        <v>0</v>
      </c>
      <c r="E463" s="23">
        <v>1</v>
      </c>
      <c r="F463" s="23">
        <v>0</v>
      </c>
      <c r="G463" s="23">
        <v>0</v>
      </c>
      <c r="H463" s="23">
        <v>1</v>
      </c>
      <c r="I463" s="23">
        <v>0</v>
      </c>
      <c r="J463" s="23">
        <v>22144.031999999999</v>
      </c>
      <c r="N463" s="23"/>
      <c r="O463" s="23"/>
      <c r="P463" s="23"/>
      <c r="Q463" s="23"/>
      <c r="R463" s="23"/>
      <c r="S463" s="23"/>
      <c r="T463" s="23"/>
      <c r="U463" s="23"/>
    </row>
    <row r="464" spans="1:21" x14ac:dyDescent="0.2">
      <c r="A464" s="23">
        <v>62</v>
      </c>
      <c r="B464" s="23">
        <v>0</v>
      </c>
      <c r="C464" s="23">
        <v>38.094999999999999</v>
      </c>
      <c r="D464" s="23">
        <v>2</v>
      </c>
      <c r="E464" s="23">
        <v>0</v>
      </c>
      <c r="F464" s="23">
        <v>1</v>
      </c>
      <c r="G464" s="23">
        <v>0</v>
      </c>
      <c r="H464" s="23">
        <v>0</v>
      </c>
      <c r="I464" s="23">
        <v>0</v>
      </c>
      <c r="J464" s="23">
        <v>15230.324049999999</v>
      </c>
      <c r="N464" s="23"/>
      <c r="O464" s="23"/>
      <c r="P464" s="23"/>
      <c r="Q464" s="23"/>
      <c r="R464" s="23"/>
      <c r="S464" s="23"/>
      <c r="T464" s="23"/>
      <c r="U464" s="23"/>
    </row>
    <row r="465" spans="1:21" x14ac:dyDescent="0.2">
      <c r="A465" s="23">
        <v>56</v>
      </c>
      <c r="B465" s="23">
        <v>1</v>
      </c>
      <c r="C465" s="23">
        <v>25.934999999999999</v>
      </c>
      <c r="D465" s="23">
        <v>0</v>
      </c>
      <c r="E465" s="23">
        <v>0</v>
      </c>
      <c r="F465" s="23">
        <v>1</v>
      </c>
      <c r="G465" s="23">
        <v>0</v>
      </c>
      <c r="H465" s="23">
        <v>0</v>
      </c>
      <c r="I465" s="23">
        <v>0</v>
      </c>
      <c r="J465" s="23">
        <v>11165.417649999999</v>
      </c>
      <c r="N465" s="23"/>
      <c r="O465" s="23"/>
      <c r="P465" s="23"/>
      <c r="Q465" s="23"/>
      <c r="R465" s="23"/>
      <c r="S465" s="23"/>
      <c r="T465" s="23"/>
      <c r="U465" s="23"/>
    </row>
    <row r="466" spans="1:21" x14ac:dyDescent="0.2">
      <c r="A466" s="23">
        <v>19</v>
      </c>
      <c r="B466" s="23">
        <v>1</v>
      </c>
      <c r="C466" s="23">
        <v>25.175000000000001</v>
      </c>
      <c r="D466" s="23">
        <v>0</v>
      </c>
      <c r="E466" s="23">
        <v>0</v>
      </c>
      <c r="F466" s="23">
        <v>0</v>
      </c>
      <c r="G466" s="23">
        <v>0</v>
      </c>
      <c r="H466" s="23">
        <v>0</v>
      </c>
      <c r="I466" s="23">
        <v>1</v>
      </c>
      <c r="J466" s="23">
        <v>1632.0362500000001</v>
      </c>
      <c r="N466" s="23"/>
      <c r="O466" s="23"/>
      <c r="P466" s="23"/>
      <c r="Q466" s="23"/>
      <c r="R466" s="23"/>
      <c r="S466" s="23"/>
      <c r="T466" s="23"/>
      <c r="U466" s="23"/>
    </row>
    <row r="467" spans="1:21" x14ac:dyDescent="0.2">
      <c r="A467" s="23">
        <v>30</v>
      </c>
      <c r="B467" s="23">
        <v>0</v>
      </c>
      <c r="C467" s="23">
        <v>28.38</v>
      </c>
      <c r="D467" s="23">
        <v>1</v>
      </c>
      <c r="E467" s="23">
        <v>1</v>
      </c>
      <c r="F467" s="23">
        <v>0</v>
      </c>
      <c r="G467" s="23">
        <v>1</v>
      </c>
      <c r="H467" s="23">
        <v>0</v>
      </c>
      <c r="I467" s="23">
        <v>0</v>
      </c>
      <c r="J467" s="23">
        <v>19521.968199999999</v>
      </c>
      <c r="N467" s="23"/>
      <c r="O467" s="23"/>
      <c r="P467" s="23"/>
      <c r="Q467" s="23"/>
      <c r="R467" s="23"/>
      <c r="S467" s="23"/>
      <c r="T467" s="23"/>
      <c r="U467" s="23"/>
    </row>
    <row r="468" spans="1:21" x14ac:dyDescent="0.2">
      <c r="A468" s="23">
        <v>60</v>
      </c>
      <c r="B468" s="23">
        <v>0</v>
      </c>
      <c r="C468" s="23">
        <v>28.7</v>
      </c>
      <c r="D468" s="23">
        <v>1</v>
      </c>
      <c r="E468" s="23">
        <v>0</v>
      </c>
      <c r="F468" s="23">
        <v>0</v>
      </c>
      <c r="G468" s="23">
        <v>0</v>
      </c>
      <c r="H468" s="23">
        <v>1</v>
      </c>
      <c r="I468" s="23">
        <v>0</v>
      </c>
      <c r="J468" s="23">
        <v>13224.692999999999</v>
      </c>
      <c r="N468" s="23"/>
      <c r="O468" s="23"/>
      <c r="P468" s="23"/>
      <c r="Q468" s="23"/>
      <c r="R468" s="23"/>
      <c r="S468" s="23"/>
      <c r="T468" s="23"/>
      <c r="U468" s="23"/>
    </row>
    <row r="469" spans="1:21" x14ac:dyDescent="0.2">
      <c r="A469" s="23">
        <v>56</v>
      </c>
      <c r="B469" s="23">
        <v>0</v>
      </c>
      <c r="C469" s="23">
        <v>33.82</v>
      </c>
      <c r="D469" s="23">
        <v>2</v>
      </c>
      <c r="E469" s="23">
        <v>0</v>
      </c>
      <c r="F469" s="23">
        <v>0</v>
      </c>
      <c r="G469" s="23">
        <v>0</v>
      </c>
      <c r="H469" s="23">
        <v>0</v>
      </c>
      <c r="I469" s="23">
        <v>1</v>
      </c>
      <c r="J469" s="23">
        <v>12643.3778</v>
      </c>
      <c r="N469" s="23"/>
      <c r="O469" s="23"/>
      <c r="P469" s="23"/>
      <c r="Q469" s="23"/>
      <c r="R469" s="23"/>
      <c r="S469" s="23"/>
      <c r="T469" s="23"/>
      <c r="U469" s="23"/>
    </row>
    <row r="470" spans="1:21" x14ac:dyDescent="0.2">
      <c r="A470" s="23">
        <v>28</v>
      </c>
      <c r="B470" s="23">
        <v>0</v>
      </c>
      <c r="C470" s="23">
        <v>24.32</v>
      </c>
      <c r="D470" s="23">
        <v>1</v>
      </c>
      <c r="E470" s="23">
        <v>0</v>
      </c>
      <c r="F470" s="23">
        <v>1</v>
      </c>
      <c r="G470" s="23">
        <v>0</v>
      </c>
      <c r="H470" s="23">
        <v>0</v>
      </c>
      <c r="I470" s="23">
        <v>0</v>
      </c>
      <c r="J470" s="23">
        <v>23288.928400000001</v>
      </c>
      <c r="N470" s="23"/>
      <c r="O470" s="23"/>
      <c r="P470" s="23"/>
      <c r="Q470" s="23"/>
      <c r="R470" s="23"/>
      <c r="S470" s="23"/>
      <c r="T470" s="23"/>
      <c r="U470" s="23"/>
    </row>
    <row r="471" spans="1:21" x14ac:dyDescent="0.2">
      <c r="A471" s="23">
        <v>18</v>
      </c>
      <c r="B471" s="23">
        <v>0</v>
      </c>
      <c r="C471" s="23">
        <v>24.09</v>
      </c>
      <c r="D471" s="23">
        <v>1</v>
      </c>
      <c r="E471" s="23">
        <v>0</v>
      </c>
      <c r="F471" s="23">
        <v>0</v>
      </c>
      <c r="G471" s="23">
        <v>1</v>
      </c>
      <c r="H471" s="23">
        <v>0</v>
      </c>
      <c r="I471" s="23">
        <v>0</v>
      </c>
      <c r="J471" s="23">
        <v>2201.0971</v>
      </c>
      <c r="N471" s="23"/>
      <c r="O471" s="23"/>
      <c r="P471" s="23"/>
      <c r="Q471" s="23"/>
      <c r="R471" s="23"/>
      <c r="S471" s="23"/>
      <c r="T471" s="23"/>
      <c r="U471" s="23"/>
    </row>
    <row r="472" spans="1:21" x14ac:dyDescent="0.2">
      <c r="A472" s="23">
        <v>27</v>
      </c>
      <c r="B472" s="23">
        <v>1</v>
      </c>
      <c r="C472" s="23">
        <v>32.67</v>
      </c>
      <c r="D472" s="23">
        <v>0</v>
      </c>
      <c r="E472" s="23">
        <v>0</v>
      </c>
      <c r="F472" s="23">
        <v>0</v>
      </c>
      <c r="G472" s="23">
        <v>1</v>
      </c>
      <c r="H472" s="23">
        <v>0</v>
      </c>
      <c r="I472" s="23">
        <v>0</v>
      </c>
      <c r="J472" s="23">
        <v>2497.0383000000002</v>
      </c>
      <c r="N472" s="23"/>
      <c r="O472" s="23"/>
      <c r="P472" s="23"/>
      <c r="Q472" s="23"/>
      <c r="R472" s="23"/>
      <c r="S472" s="23"/>
      <c r="T472" s="23"/>
      <c r="U472" s="23"/>
    </row>
    <row r="473" spans="1:21" x14ac:dyDescent="0.2">
      <c r="A473" s="23">
        <v>18</v>
      </c>
      <c r="B473" s="23">
        <v>0</v>
      </c>
      <c r="C473" s="23">
        <v>30.114999999999998</v>
      </c>
      <c r="D473" s="23">
        <v>0</v>
      </c>
      <c r="E473" s="23">
        <v>0</v>
      </c>
      <c r="F473" s="23">
        <v>1</v>
      </c>
      <c r="G473" s="23">
        <v>0</v>
      </c>
      <c r="H473" s="23">
        <v>0</v>
      </c>
      <c r="I473" s="23">
        <v>0</v>
      </c>
      <c r="J473" s="23">
        <v>2203.4718499999999</v>
      </c>
      <c r="N473" s="23"/>
      <c r="O473" s="23"/>
      <c r="P473" s="23"/>
      <c r="Q473" s="23"/>
      <c r="R473" s="23"/>
      <c r="S473" s="23"/>
      <c r="T473" s="23"/>
      <c r="U473" s="23"/>
    </row>
    <row r="474" spans="1:21" x14ac:dyDescent="0.2">
      <c r="A474" s="23">
        <v>19</v>
      </c>
      <c r="B474" s="23">
        <v>0</v>
      </c>
      <c r="C474" s="23">
        <v>29.8</v>
      </c>
      <c r="D474" s="23">
        <v>0</v>
      </c>
      <c r="E474" s="23">
        <v>0</v>
      </c>
      <c r="F474" s="23">
        <v>0</v>
      </c>
      <c r="G474" s="23">
        <v>0</v>
      </c>
      <c r="H474" s="23">
        <v>1</v>
      </c>
      <c r="I474" s="23">
        <v>0</v>
      </c>
      <c r="J474" s="23">
        <v>1744.4649999999999</v>
      </c>
      <c r="N474" s="23"/>
      <c r="O474" s="23"/>
      <c r="P474" s="23"/>
      <c r="Q474" s="23"/>
      <c r="R474" s="23"/>
      <c r="S474" s="23"/>
      <c r="T474" s="23"/>
      <c r="U474" s="23"/>
    </row>
    <row r="475" spans="1:21" x14ac:dyDescent="0.2">
      <c r="A475" s="23">
        <v>47</v>
      </c>
      <c r="B475" s="23">
        <v>0</v>
      </c>
      <c r="C475" s="23">
        <v>33.344999999999999</v>
      </c>
      <c r="D475" s="23">
        <v>0</v>
      </c>
      <c r="E475" s="23">
        <v>0</v>
      </c>
      <c r="F475" s="23">
        <v>1</v>
      </c>
      <c r="G475" s="23">
        <v>0</v>
      </c>
      <c r="H475" s="23">
        <v>0</v>
      </c>
      <c r="I475" s="23">
        <v>0</v>
      </c>
      <c r="J475" s="23">
        <v>20878.78443</v>
      </c>
      <c r="N475" s="23"/>
      <c r="O475" s="23"/>
      <c r="P475" s="23"/>
      <c r="Q475" s="23"/>
      <c r="R475" s="23"/>
      <c r="S475" s="23"/>
      <c r="T475" s="23"/>
      <c r="U475" s="23"/>
    </row>
    <row r="476" spans="1:21" x14ac:dyDescent="0.2">
      <c r="A476" s="23">
        <v>54</v>
      </c>
      <c r="B476" s="23">
        <v>1</v>
      </c>
      <c r="C476" s="23">
        <v>25.1</v>
      </c>
      <c r="D476" s="23">
        <v>3</v>
      </c>
      <c r="E476" s="23">
        <v>1</v>
      </c>
      <c r="F476" s="23">
        <v>0</v>
      </c>
      <c r="G476" s="23">
        <v>0</v>
      </c>
      <c r="H476" s="23">
        <v>1</v>
      </c>
      <c r="I476" s="23">
        <v>0</v>
      </c>
      <c r="J476" s="23">
        <v>25382.296999999999</v>
      </c>
      <c r="N476" s="23"/>
      <c r="O476" s="23"/>
      <c r="P476" s="23"/>
      <c r="Q476" s="23"/>
      <c r="R476" s="23"/>
      <c r="S476" s="23"/>
      <c r="T476" s="23"/>
      <c r="U476" s="23"/>
    </row>
    <row r="477" spans="1:21" x14ac:dyDescent="0.2">
      <c r="A477" s="23">
        <v>61</v>
      </c>
      <c r="B477" s="23">
        <v>1</v>
      </c>
      <c r="C477" s="23">
        <v>28.31</v>
      </c>
      <c r="D477" s="23">
        <v>1</v>
      </c>
      <c r="E477" s="23">
        <v>1</v>
      </c>
      <c r="F477" s="23">
        <v>0</v>
      </c>
      <c r="G477" s="23">
        <v>0</v>
      </c>
      <c r="H477" s="23">
        <v>0</v>
      </c>
      <c r="I477" s="23">
        <v>1</v>
      </c>
      <c r="J477" s="23">
        <v>28868.6639</v>
      </c>
      <c r="N477" s="23"/>
      <c r="O477" s="23"/>
      <c r="P477" s="23"/>
      <c r="Q477" s="23"/>
      <c r="R477" s="23"/>
      <c r="S477" s="23"/>
      <c r="T477" s="23"/>
      <c r="U477" s="23"/>
    </row>
    <row r="478" spans="1:21" x14ac:dyDescent="0.2">
      <c r="A478" s="23">
        <v>24</v>
      </c>
      <c r="B478" s="23">
        <v>1</v>
      </c>
      <c r="C478" s="23">
        <v>28.5</v>
      </c>
      <c r="D478" s="23">
        <v>0</v>
      </c>
      <c r="E478" s="23">
        <v>1</v>
      </c>
      <c r="F478" s="23">
        <v>1</v>
      </c>
      <c r="G478" s="23">
        <v>0</v>
      </c>
      <c r="H478" s="23">
        <v>0</v>
      </c>
      <c r="I478" s="23">
        <v>0</v>
      </c>
      <c r="J478" s="23">
        <v>35147.528480000001</v>
      </c>
      <c r="N478" s="23"/>
      <c r="O478" s="23"/>
      <c r="P478" s="23"/>
      <c r="Q478" s="23"/>
      <c r="R478" s="23"/>
      <c r="S478" s="23"/>
      <c r="T478" s="23"/>
      <c r="U478" s="23"/>
    </row>
    <row r="479" spans="1:21" x14ac:dyDescent="0.2">
      <c r="A479" s="23">
        <v>25</v>
      </c>
      <c r="B479" s="23">
        <v>1</v>
      </c>
      <c r="C479" s="23">
        <v>35.625</v>
      </c>
      <c r="D479" s="23">
        <v>0</v>
      </c>
      <c r="E479" s="23">
        <v>0</v>
      </c>
      <c r="F479" s="23">
        <v>0</v>
      </c>
      <c r="G479" s="23">
        <v>0</v>
      </c>
      <c r="H479" s="23">
        <v>0</v>
      </c>
      <c r="I479" s="23">
        <v>1</v>
      </c>
      <c r="J479" s="23">
        <v>2534.3937500000002</v>
      </c>
      <c r="N479" s="23"/>
      <c r="O479" s="23"/>
      <c r="P479" s="23"/>
      <c r="Q479" s="23"/>
      <c r="R479" s="23"/>
      <c r="S479" s="23"/>
      <c r="T479" s="23"/>
      <c r="U479" s="23"/>
    </row>
    <row r="480" spans="1:21" x14ac:dyDescent="0.2">
      <c r="A480" s="23">
        <v>21</v>
      </c>
      <c r="B480" s="23">
        <v>1</v>
      </c>
      <c r="C480" s="23">
        <v>36.85</v>
      </c>
      <c r="D480" s="23">
        <v>0</v>
      </c>
      <c r="E480" s="23">
        <v>0</v>
      </c>
      <c r="F480" s="23">
        <v>0</v>
      </c>
      <c r="G480" s="23">
        <v>1</v>
      </c>
      <c r="H480" s="23">
        <v>0</v>
      </c>
      <c r="I480" s="23">
        <v>0</v>
      </c>
      <c r="J480" s="23">
        <v>1534.3045</v>
      </c>
      <c r="N480" s="23"/>
      <c r="O480" s="23"/>
      <c r="P480" s="23"/>
      <c r="Q480" s="23"/>
      <c r="R480" s="23"/>
      <c r="S480" s="23"/>
      <c r="T480" s="23"/>
      <c r="U480" s="23"/>
    </row>
    <row r="481" spans="1:21" x14ac:dyDescent="0.2">
      <c r="A481" s="23">
        <v>23</v>
      </c>
      <c r="B481" s="23">
        <v>1</v>
      </c>
      <c r="C481" s="23">
        <v>32.56</v>
      </c>
      <c r="D481" s="23">
        <v>0</v>
      </c>
      <c r="E481" s="23">
        <v>0</v>
      </c>
      <c r="F481" s="23">
        <v>0</v>
      </c>
      <c r="G481" s="23">
        <v>1</v>
      </c>
      <c r="H481" s="23">
        <v>0</v>
      </c>
      <c r="I481" s="23">
        <v>0</v>
      </c>
      <c r="J481" s="23">
        <v>1824.2854</v>
      </c>
      <c r="N481" s="23"/>
      <c r="O481" s="23"/>
      <c r="P481" s="23"/>
      <c r="Q481" s="23"/>
      <c r="R481" s="23"/>
      <c r="S481" s="23"/>
      <c r="T481" s="23"/>
      <c r="U481" s="23"/>
    </row>
    <row r="482" spans="1:21" x14ac:dyDescent="0.2">
      <c r="A482" s="23">
        <v>63</v>
      </c>
      <c r="B482" s="23">
        <v>1</v>
      </c>
      <c r="C482" s="23">
        <v>41.325000000000003</v>
      </c>
      <c r="D482" s="23">
        <v>3</v>
      </c>
      <c r="E482" s="23">
        <v>0</v>
      </c>
      <c r="F482" s="23">
        <v>0</v>
      </c>
      <c r="G482" s="23">
        <v>0</v>
      </c>
      <c r="H482" s="23">
        <v>0</v>
      </c>
      <c r="I482" s="23">
        <v>1</v>
      </c>
      <c r="J482" s="23">
        <v>15555.188749999999</v>
      </c>
      <c r="N482" s="23"/>
      <c r="O482" s="23"/>
      <c r="P482" s="23"/>
      <c r="Q482" s="23"/>
      <c r="R482" s="23"/>
      <c r="S482" s="23"/>
      <c r="T482" s="23"/>
      <c r="U482" s="23"/>
    </row>
    <row r="483" spans="1:21" x14ac:dyDescent="0.2">
      <c r="A483" s="23">
        <v>49</v>
      </c>
      <c r="B483" s="23">
        <v>1</v>
      </c>
      <c r="C483" s="23">
        <v>37.51</v>
      </c>
      <c r="D483" s="23">
        <v>2</v>
      </c>
      <c r="E483" s="23">
        <v>0</v>
      </c>
      <c r="F483" s="23">
        <v>0</v>
      </c>
      <c r="G483" s="23">
        <v>1</v>
      </c>
      <c r="H483" s="23">
        <v>0</v>
      </c>
      <c r="I483" s="23">
        <v>0</v>
      </c>
      <c r="J483" s="23">
        <v>9304.7019</v>
      </c>
      <c r="N483" s="23"/>
      <c r="O483" s="23"/>
      <c r="P483" s="23"/>
      <c r="Q483" s="23"/>
      <c r="R483" s="23"/>
      <c r="S483" s="23"/>
      <c r="T483" s="23"/>
      <c r="U483" s="23"/>
    </row>
    <row r="484" spans="1:21" x14ac:dyDescent="0.2">
      <c r="A484" s="23">
        <v>18</v>
      </c>
      <c r="B484" s="23">
        <v>0</v>
      </c>
      <c r="C484" s="23">
        <v>31.35</v>
      </c>
      <c r="D484" s="23">
        <v>0</v>
      </c>
      <c r="E484" s="23">
        <v>0</v>
      </c>
      <c r="F484" s="23">
        <v>0</v>
      </c>
      <c r="G484" s="23">
        <v>1</v>
      </c>
      <c r="H484" s="23">
        <v>0</v>
      </c>
      <c r="I484" s="23">
        <v>0</v>
      </c>
      <c r="J484" s="23">
        <v>1622.1885</v>
      </c>
      <c r="N484" s="23"/>
      <c r="O484" s="23"/>
      <c r="P484" s="23"/>
      <c r="Q484" s="23"/>
      <c r="R484" s="23"/>
      <c r="S484" s="23"/>
      <c r="T484" s="23"/>
      <c r="U484" s="23"/>
    </row>
    <row r="485" spans="1:21" x14ac:dyDescent="0.2">
      <c r="A485" s="23">
        <v>51</v>
      </c>
      <c r="B485" s="23">
        <v>0</v>
      </c>
      <c r="C485" s="23">
        <v>39.5</v>
      </c>
      <c r="D485" s="23">
        <v>1</v>
      </c>
      <c r="E485" s="23">
        <v>0</v>
      </c>
      <c r="F485" s="23">
        <v>0</v>
      </c>
      <c r="G485" s="23">
        <v>0</v>
      </c>
      <c r="H485" s="23">
        <v>1</v>
      </c>
      <c r="I485" s="23">
        <v>0</v>
      </c>
      <c r="J485" s="23">
        <v>9880.0679999999993</v>
      </c>
      <c r="N485" s="23"/>
      <c r="O485" s="23"/>
      <c r="P485" s="23"/>
      <c r="Q485" s="23"/>
      <c r="R485" s="23"/>
      <c r="S485" s="23"/>
      <c r="T485" s="23"/>
      <c r="U485" s="23"/>
    </row>
    <row r="486" spans="1:21" x14ac:dyDescent="0.2">
      <c r="A486" s="23">
        <v>48</v>
      </c>
      <c r="B486" s="23">
        <v>1</v>
      </c>
      <c r="C486" s="23">
        <v>34.299999999999997</v>
      </c>
      <c r="D486" s="23">
        <v>3</v>
      </c>
      <c r="E486" s="23">
        <v>0</v>
      </c>
      <c r="F486" s="23">
        <v>0</v>
      </c>
      <c r="G486" s="23">
        <v>0</v>
      </c>
      <c r="H486" s="23">
        <v>1</v>
      </c>
      <c r="I486" s="23">
        <v>0</v>
      </c>
      <c r="J486" s="23">
        <v>9563.0290000000005</v>
      </c>
      <c r="N486" s="23"/>
      <c r="O486" s="23"/>
      <c r="P486" s="23"/>
      <c r="Q486" s="23"/>
      <c r="R486" s="23"/>
      <c r="S486" s="23"/>
      <c r="T486" s="23"/>
      <c r="U486" s="23"/>
    </row>
    <row r="487" spans="1:21" x14ac:dyDescent="0.2">
      <c r="A487" s="23">
        <v>31</v>
      </c>
      <c r="B487" s="23">
        <v>0</v>
      </c>
      <c r="C487" s="23">
        <v>31.065000000000001</v>
      </c>
      <c r="D487" s="23">
        <v>0</v>
      </c>
      <c r="E487" s="23">
        <v>0</v>
      </c>
      <c r="F487" s="23">
        <v>1</v>
      </c>
      <c r="G487" s="23">
        <v>0</v>
      </c>
      <c r="H487" s="23">
        <v>0</v>
      </c>
      <c r="I487" s="23">
        <v>0</v>
      </c>
      <c r="J487" s="23">
        <v>4347.0233500000004</v>
      </c>
      <c r="N487" s="23"/>
      <c r="O487" s="23"/>
      <c r="P487" s="23"/>
      <c r="Q487" s="23"/>
      <c r="R487" s="23"/>
      <c r="S487" s="23"/>
      <c r="T487" s="23"/>
      <c r="U487" s="23"/>
    </row>
    <row r="488" spans="1:21" x14ac:dyDescent="0.2">
      <c r="A488" s="23">
        <v>54</v>
      </c>
      <c r="B488" s="23">
        <v>0</v>
      </c>
      <c r="C488" s="23">
        <v>21.47</v>
      </c>
      <c r="D488" s="23">
        <v>3</v>
      </c>
      <c r="E488" s="23">
        <v>0</v>
      </c>
      <c r="F488" s="23">
        <v>0</v>
      </c>
      <c r="G488" s="23">
        <v>0</v>
      </c>
      <c r="H488" s="23">
        <v>0</v>
      </c>
      <c r="I488" s="23">
        <v>1</v>
      </c>
      <c r="J488" s="23">
        <v>12475.3513</v>
      </c>
      <c r="N488" s="23"/>
      <c r="O488" s="23"/>
      <c r="P488" s="23"/>
      <c r="Q488" s="23"/>
      <c r="R488" s="23"/>
      <c r="S488" s="23"/>
      <c r="T488" s="23"/>
      <c r="U488" s="23"/>
    </row>
    <row r="489" spans="1:21" x14ac:dyDescent="0.2">
      <c r="A489" s="23">
        <v>19</v>
      </c>
      <c r="B489" s="23">
        <v>1</v>
      </c>
      <c r="C489" s="23">
        <v>28.7</v>
      </c>
      <c r="D489" s="23">
        <v>0</v>
      </c>
      <c r="E489" s="23">
        <v>0</v>
      </c>
      <c r="F489" s="23">
        <v>0</v>
      </c>
      <c r="G489" s="23">
        <v>0</v>
      </c>
      <c r="H489" s="23">
        <v>1</v>
      </c>
      <c r="I489" s="23">
        <v>0</v>
      </c>
      <c r="J489" s="23">
        <v>1253.9359999999999</v>
      </c>
      <c r="N489" s="23"/>
      <c r="O489" s="23"/>
      <c r="P489" s="23"/>
      <c r="Q489" s="23"/>
      <c r="R489" s="23"/>
      <c r="S489" s="23"/>
      <c r="T489" s="23"/>
      <c r="U489" s="23"/>
    </row>
    <row r="490" spans="1:21" x14ac:dyDescent="0.2">
      <c r="A490" s="23">
        <v>44</v>
      </c>
      <c r="B490" s="23">
        <v>0</v>
      </c>
      <c r="C490" s="23">
        <v>38.06</v>
      </c>
      <c r="D490" s="23">
        <v>0</v>
      </c>
      <c r="E490" s="23">
        <v>1</v>
      </c>
      <c r="F490" s="23">
        <v>0</v>
      </c>
      <c r="G490" s="23">
        <v>1</v>
      </c>
      <c r="H490" s="23">
        <v>0</v>
      </c>
      <c r="I490" s="23">
        <v>0</v>
      </c>
      <c r="J490" s="23">
        <v>48885.135609999998</v>
      </c>
      <c r="N490" s="23"/>
      <c r="O490" s="23"/>
      <c r="P490" s="23"/>
      <c r="Q490" s="23"/>
      <c r="R490" s="23"/>
      <c r="S490" s="23"/>
      <c r="T490" s="23"/>
      <c r="U490" s="23"/>
    </row>
    <row r="491" spans="1:21" x14ac:dyDescent="0.2">
      <c r="A491" s="23">
        <v>53</v>
      </c>
      <c r="B491" s="23">
        <v>1</v>
      </c>
      <c r="C491" s="23">
        <v>31.16</v>
      </c>
      <c r="D491" s="23">
        <v>1</v>
      </c>
      <c r="E491" s="23">
        <v>0</v>
      </c>
      <c r="F491" s="23">
        <v>0</v>
      </c>
      <c r="G491" s="23">
        <v>0</v>
      </c>
      <c r="H491" s="23">
        <v>0</v>
      </c>
      <c r="I491" s="23">
        <v>1</v>
      </c>
      <c r="J491" s="23">
        <v>10461.9794</v>
      </c>
      <c r="N491" s="23"/>
      <c r="O491" s="23"/>
      <c r="P491" s="23"/>
      <c r="Q491" s="23"/>
      <c r="R491" s="23"/>
      <c r="S491" s="23"/>
      <c r="T491" s="23"/>
      <c r="U491" s="23"/>
    </row>
    <row r="492" spans="1:21" x14ac:dyDescent="0.2">
      <c r="A492" s="23">
        <v>19</v>
      </c>
      <c r="B492" s="23">
        <v>0</v>
      </c>
      <c r="C492" s="23">
        <v>32.9</v>
      </c>
      <c r="D492" s="23">
        <v>0</v>
      </c>
      <c r="E492" s="23">
        <v>0</v>
      </c>
      <c r="F492" s="23">
        <v>0</v>
      </c>
      <c r="G492" s="23">
        <v>0</v>
      </c>
      <c r="H492" s="23">
        <v>1</v>
      </c>
      <c r="I492" s="23">
        <v>0</v>
      </c>
      <c r="J492" s="23">
        <v>1748.7739999999999</v>
      </c>
      <c r="N492" s="23"/>
      <c r="O492" s="23"/>
      <c r="P492" s="23"/>
      <c r="Q492" s="23"/>
      <c r="R492" s="23"/>
      <c r="S492" s="23"/>
      <c r="T492" s="23"/>
      <c r="U492" s="23"/>
    </row>
    <row r="493" spans="1:21" x14ac:dyDescent="0.2">
      <c r="A493" s="23">
        <v>61</v>
      </c>
      <c r="B493" s="23">
        <v>0</v>
      </c>
      <c r="C493" s="23">
        <v>25.08</v>
      </c>
      <c r="D493" s="23">
        <v>0</v>
      </c>
      <c r="E493" s="23">
        <v>0</v>
      </c>
      <c r="F493" s="23">
        <v>0</v>
      </c>
      <c r="G493" s="23">
        <v>1</v>
      </c>
      <c r="H493" s="23">
        <v>0</v>
      </c>
      <c r="I493" s="23">
        <v>0</v>
      </c>
      <c r="J493" s="23">
        <v>24513.091260000001</v>
      </c>
      <c r="N493" s="23"/>
      <c r="O493" s="23"/>
      <c r="P493" s="23"/>
      <c r="Q493" s="23"/>
      <c r="R493" s="23"/>
      <c r="S493" s="23"/>
      <c r="T493" s="23"/>
      <c r="U493" s="23"/>
    </row>
    <row r="494" spans="1:21" x14ac:dyDescent="0.2">
      <c r="A494" s="23">
        <v>18</v>
      </c>
      <c r="B494" s="23">
        <v>0</v>
      </c>
      <c r="C494" s="23">
        <v>25.08</v>
      </c>
      <c r="D494" s="23">
        <v>0</v>
      </c>
      <c r="E494" s="23">
        <v>0</v>
      </c>
      <c r="F494" s="23">
        <v>1</v>
      </c>
      <c r="G494" s="23">
        <v>0</v>
      </c>
      <c r="H494" s="23">
        <v>0</v>
      </c>
      <c r="I494" s="23">
        <v>0</v>
      </c>
      <c r="J494" s="23">
        <v>2196.4731999999999</v>
      </c>
      <c r="N494" s="23"/>
      <c r="O494" s="23"/>
      <c r="P494" s="23"/>
      <c r="Q494" s="23"/>
      <c r="R494" s="23"/>
      <c r="S494" s="23"/>
      <c r="T494" s="23"/>
      <c r="U494" s="23"/>
    </row>
    <row r="495" spans="1:21" x14ac:dyDescent="0.2">
      <c r="A495" s="23">
        <v>61</v>
      </c>
      <c r="B495" s="23">
        <v>1</v>
      </c>
      <c r="C495" s="23">
        <v>43.4</v>
      </c>
      <c r="D495" s="23">
        <v>0</v>
      </c>
      <c r="E495" s="23">
        <v>0</v>
      </c>
      <c r="F495" s="23">
        <v>0</v>
      </c>
      <c r="G495" s="23">
        <v>0</v>
      </c>
      <c r="H495" s="23">
        <v>1</v>
      </c>
      <c r="I495" s="23">
        <v>0</v>
      </c>
      <c r="J495" s="23">
        <v>12574.049000000001</v>
      </c>
      <c r="N495" s="23"/>
      <c r="O495" s="23"/>
      <c r="P495" s="23"/>
      <c r="Q495" s="23"/>
      <c r="R495" s="23"/>
      <c r="S495" s="23"/>
      <c r="T495" s="23"/>
      <c r="U495" s="23"/>
    </row>
    <row r="496" spans="1:21" x14ac:dyDescent="0.2">
      <c r="A496" s="23">
        <v>21</v>
      </c>
      <c r="B496" s="23">
        <v>1</v>
      </c>
      <c r="C496" s="23">
        <v>25.7</v>
      </c>
      <c r="D496" s="23">
        <v>4</v>
      </c>
      <c r="E496" s="23">
        <v>1</v>
      </c>
      <c r="F496" s="23">
        <v>0</v>
      </c>
      <c r="G496" s="23">
        <v>0</v>
      </c>
      <c r="H496" s="23">
        <v>1</v>
      </c>
      <c r="I496" s="23">
        <v>0</v>
      </c>
      <c r="J496" s="23">
        <v>17942.106</v>
      </c>
      <c r="N496" s="23"/>
      <c r="O496" s="23"/>
      <c r="P496" s="23"/>
      <c r="Q496" s="23"/>
      <c r="R496" s="23"/>
      <c r="S496" s="23"/>
      <c r="T496" s="23"/>
      <c r="U496" s="23"/>
    </row>
    <row r="497" spans="1:21" x14ac:dyDescent="0.2">
      <c r="A497" s="23">
        <v>20</v>
      </c>
      <c r="B497" s="23">
        <v>1</v>
      </c>
      <c r="C497" s="23">
        <v>27.93</v>
      </c>
      <c r="D497" s="23">
        <v>0</v>
      </c>
      <c r="E497" s="23">
        <v>0</v>
      </c>
      <c r="F497" s="23">
        <v>1</v>
      </c>
      <c r="G497" s="23">
        <v>0</v>
      </c>
      <c r="H497" s="23">
        <v>0</v>
      </c>
      <c r="I497" s="23">
        <v>0</v>
      </c>
      <c r="J497" s="23">
        <v>1967.0227</v>
      </c>
      <c r="N497" s="23"/>
      <c r="O497" s="23"/>
      <c r="P497" s="23"/>
      <c r="Q497" s="23"/>
      <c r="R497" s="23"/>
      <c r="S497" s="23"/>
      <c r="T497" s="23"/>
      <c r="U497" s="23"/>
    </row>
    <row r="498" spans="1:21" x14ac:dyDescent="0.2">
      <c r="A498" s="23">
        <v>31</v>
      </c>
      <c r="B498" s="23">
        <v>0</v>
      </c>
      <c r="C498" s="23">
        <v>23.6</v>
      </c>
      <c r="D498" s="23">
        <v>2</v>
      </c>
      <c r="E498" s="23">
        <v>0</v>
      </c>
      <c r="F498" s="23">
        <v>0</v>
      </c>
      <c r="G498" s="23">
        <v>0</v>
      </c>
      <c r="H498" s="23">
        <v>1</v>
      </c>
      <c r="I498" s="23">
        <v>0</v>
      </c>
      <c r="J498" s="23">
        <v>4931.6469999999999</v>
      </c>
      <c r="N498" s="23"/>
      <c r="O498" s="23"/>
      <c r="P498" s="23"/>
      <c r="Q498" s="23"/>
      <c r="R498" s="23"/>
      <c r="S498" s="23"/>
      <c r="T498" s="23"/>
      <c r="U498" s="23"/>
    </row>
    <row r="499" spans="1:21" x14ac:dyDescent="0.2">
      <c r="A499" s="23">
        <v>45</v>
      </c>
      <c r="B499" s="23">
        <v>1</v>
      </c>
      <c r="C499" s="23">
        <v>28.7</v>
      </c>
      <c r="D499" s="23">
        <v>2</v>
      </c>
      <c r="E499" s="23">
        <v>0</v>
      </c>
      <c r="F499" s="23">
        <v>0</v>
      </c>
      <c r="G499" s="23">
        <v>0</v>
      </c>
      <c r="H499" s="23">
        <v>1</v>
      </c>
      <c r="I499" s="23">
        <v>0</v>
      </c>
      <c r="J499" s="23">
        <v>8027.9679999999998</v>
      </c>
      <c r="N499" s="23"/>
      <c r="O499" s="23"/>
      <c r="P499" s="23"/>
      <c r="Q499" s="23"/>
      <c r="R499" s="23"/>
      <c r="S499" s="23"/>
      <c r="T499" s="23"/>
      <c r="U499" s="23"/>
    </row>
    <row r="500" spans="1:21" x14ac:dyDescent="0.2">
      <c r="A500" s="23">
        <v>44</v>
      </c>
      <c r="B500" s="23">
        <v>0</v>
      </c>
      <c r="C500" s="23">
        <v>23.98</v>
      </c>
      <c r="D500" s="23">
        <v>2</v>
      </c>
      <c r="E500" s="23">
        <v>0</v>
      </c>
      <c r="F500" s="23">
        <v>0</v>
      </c>
      <c r="G500" s="23">
        <v>1</v>
      </c>
      <c r="H500" s="23">
        <v>0</v>
      </c>
      <c r="I500" s="23">
        <v>0</v>
      </c>
      <c r="J500" s="23">
        <v>8211.1002000000008</v>
      </c>
      <c r="N500" s="23"/>
      <c r="O500" s="23"/>
      <c r="P500" s="23"/>
      <c r="Q500" s="23"/>
      <c r="R500" s="23"/>
      <c r="S500" s="23"/>
      <c r="T500" s="23"/>
      <c r="U500" s="23"/>
    </row>
    <row r="501" spans="1:21" x14ac:dyDescent="0.2">
      <c r="A501" s="23">
        <v>62</v>
      </c>
      <c r="B501" s="23">
        <v>0</v>
      </c>
      <c r="C501" s="23">
        <v>39.200000000000003</v>
      </c>
      <c r="D501" s="23">
        <v>0</v>
      </c>
      <c r="E501" s="23">
        <v>0</v>
      </c>
      <c r="F501" s="23">
        <v>0</v>
      </c>
      <c r="G501" s="23">
        <v>0</v>
      </c>
      <c r="H501" s="23">
        <v>1</v>
      </c>
      <c r="I501" s="23">
        <v>0</v>
      </c>
      <c r="J501" s="23">
        <v>13470.86</v>
      </c>
      <c r="N501" s="23"/>
      <c r="O501" s="23"/>
      <c r="P501" s="23"/>
      <c r="Q501" s="23"/>
      <c r="R501" s="23"/>
      <c r="S501" s="23"/>
      <c r="T501" s="23"/>
      <c r="U501" s="23"/>
    </row>
    <row r="502" spans="1:21" x14ac:dyDescent="0.2">
      <c r="A502" s="23">
        <v>29</v>
      </c>
      <c r="B502" s="23">
        <v>1</v>
      </c>
      <c r="C502" s="23">
        <v>34.4</v>
      </c>
      <c r="D502" s="23">
        <v>0</v>
      </c>
      <c r="E502" s="23">
        <v>1</v>
      </c>
      <c r="F502" s="23">
        <v>0</v>
      </c>
      <c r="G502" s="23">
        <v>0</v>
      </c>
      <c r="H502" s="23">
        <v>1</v>
      </c>
      <c r="I502" s="23">
        <v>0</v>
      </c>
      <c r="J502" s="23">
        <v>36197.699000000001</v>
      </c>
      <c r="N502" s="23"/>
      <c r="O502" s="23"/>
      <c r="P502" s="23"/>
      <c r="Q502" s="23"/>
      <c r="R502" s="23"/>
      <c r="S502" s="23"/>
      <c r="T502" s="23"/>
      <c r="U502" s="23"/>
    </row>
    <row r="503" spans="1:21" x14ac:dyDescent="0.2">
      <c r="A503" s="23">
        <v>43</v>
      </c>
      <c r="B503" s="23">
        <v>1</v>
      </c>
      <c r="C503" s="23">
        <v>26.03</v>
      </c>
      <c r="D503" s="23">
        <v>0</v>
      </c>
      <c r="E503" s="23">
        <v>0</v>
      </c>
      <c r="F503" s="23">
        <v>1</v>
      </c>
      <c r="G503" s="23">
        <v>0</v>
      </c>
      <c r="H503" s="23">
        <v>0</v>
      </c>
      <c r="I503" s="23">
        <v>0</v>
      </c>
      <c r="J503" s="23">
        <v>6837.3687</v>
      </c>
      <c r="N503" s="23"/>
      <c r="O503" s="23"/>
      <c r="P503" s="23"/>
      <c r="Q503" s="23"/>
      <c r="R503" s="23"/>
      <c r="S503" s="23"/>
      <c r="T503" s="23"/>
      <c r="U503" s="23"/>
    </row>
    <row r="504" spans="1:21" x14ac:dyDescent="0.2">
      <c r="A504" s="23">
        <v>51</v>
      </c>
      <c r="B504" s="23">
        <v>1</v>
      </c>
      <c r="C504" s="23">
        <v>23.21</v>
      </c>
      <c r="D504" s="23">
        <v>1</v>
      </c>
      <c r="E504" s="23">
        <v>1</v>
      </c>
      <c r="F504" s="23">
        <v>0</v>
      </c>
      <c r="G504" s="23">
        <v>1</v>
      </c>
      <c r="H504" s="23">
        <v>0</v>
      </c>
      <c r="I504" s="23">
        <v>0</v>
      </c>
      <c r="J504" s="23">
        <v>22218.1149</v>
      </c>
      <c r="N504" s="23"/>
      <c r="O504" s="23"/>
      <c r="P504" s="23"/>
      <c r="Q504" s="23"/>
      <c r="R504" s="23"/>
      <c r="S504" s="23"/>
      <c r="T504" s="23"/>
      <c r="U504" s="23"/>
    </row>
    <row r="505" spans="1:21" x14ac:dyDescent="0.2">
      <c r="A505" s="23">
        <v>19</v>
      </c>
      <c r="B505" s="23">
        <v>1</v>
      </c>
      <c r="C505" s="23">
        <v>30.25</v>
      </c>
      <c r="D505" s="23">
        <v>0</v>
      </c>
      <c r="E505" s="23">
        <v>1</v>
      </c>
      <c r="F505" s="23">
        <v>0</v>
      </c>
      <c r="G505" s="23">
        <v>1</v>
      </c>
      <c r="H505" s="23">
        <v>0</v>
      </c>
      <c r="I505" s="23">
        <v>0</v>
      </c>
      <c r="J505" s="23">
        <v>32548.340499999998</v>
      </c>
      <c r="N505" s="23"/>
      <c r="O505" s="23"/>
      <c r="P505" s="23"/>
      <c r="Q505" s="23"/>
      <c r="R505" s="23"/>
      <c r="S505" s="23"/>
      <c r="T505" s="23"/>
      <c r="U505" s="23"/>
    </row>
    <row r="506" spans="1:21" x14ac:dyDescent="0.2">
      <c r="A506" s="23">
        <v>38</v>
      </c>
      <c r="B506" s="23">
        <v>0</v>
      </c>
      <c r="C506" s="23">
        <v>28.93</v>
      </c>
      <c r="D506" s="23">
        <v>1</v>
      </c>
      <c r="E506" s="23">
        <v>0</v>
      </c>
      <c r="F506" s="23">
        <v>0</v>
      </c>
      <c r="G506" s="23">
        <v>1</v>
      </c>
      <c r="H506" s="23">
        <v>0</v>
      </c>
      <c r="I506" s="23">
        <v>0</v>
      </c>
      <c r="J506" s="23">
        <v>5974.3846999999996</v>
      </c>
      <c r="N506" s="23"/>
      <c r="O506" s="23"/>
      <c r="P506" s="23"/>
      <c r="Q506" s="23"/>
      <c r="R506" s="23"/>
      <c r="S506" s="23"/>
      <c r="T506" s="23"/>
      <c r="U506" s="23"/>
    </row>
    <row r="507" spans="1:21" x14ac:dyDescent="0.2">
      <c r="A507" s="23">
        <v>37</v>
      </c>
      <c r="B507" s="23">
        <v>1</v>
      </c>
      <c r="C507" s="23">
        <v>30.875</v>
      </c>
      <c r="D507" s="23">
        <v>3</v>
      </c>
      <c r="E507" s="23">
        <v>0</v>
      </c>
      <c r="F507" s="23">
        <v>0</v>
      </c>
      <c r="G507" s="23">
        <v>0</v>
      </c>
      <c r="H507" s="23">
        <v>0</v>
      </c>
      <c r="I507" s="23">
        <v>1</v>
      </c>
      <c r="J507" s="23">
        <v>6796.8632500000003</v>
      </c>
      <c r="N507" s="23"/>
      <c r="O507" s="23"/>
      <c r="P507" s="23"/>
      <c r="Q507" s="23"/>
      <c r="R507" s="23"/>
      <c r="S507" s="23"/>
      <c r="T507" s="23"/>
      <c r="U507" s="23"/>
    </row>
    <row r="508" spans="1:21" x14ac:dyDescent="0.2">
      <c r="A508" s="23">
        <v>22</v>
      </c>
      <c r="B508" s="23">
        <v>1</v>
      </c>
      <c r="C508" s="23">
        <v>31.35</v>
      </c>
      <c r="D508" s="23">
        <v>1</v>
      </c>
      <c r="E508" s="23">
        <v>0</v>
      </c>
      <c r="F508" s="23">
        <v>0</v>
      </c>
      <c r="G508" s="23">
        <v>0</v>
      </c>
      <c r="H508" s="23">
        <v>0</v>
      </c>
      <c r="I508" s="23">
        <v>1</v>
      </c>
      <c r="J508" s="23">
        <v>2643.2685000000001</v>
      </c>
      <c r="N508" s="23"/>
      <c r="O508" s="23"/>
      <c r="P508" s="23"/>
      <c r="Q508" s="23"/>
      <c r="R508" s="23"/>
      <c r="S508" s="23"/>
      <c r="T508" s="23"/>
      <c r="U508" s="23"/>
    </row>
    <row r="509" spans="1:21" x14ac:dyDescent="0.2">
      <c r="A509" s="23">
        <v>21</v>
      </c>
      <c r="B509" s="23">
        <v>1</v>
      </c>
      <c r="C509" s="23">
        <v>23.75</v>
      </c>
      <c r="D509" s="23">
        <v>2</v>
      </c>
      <c r="E509" s="23">
        <v>0</v>
      </c>
      <c r="F509" s="23">
        <v>0</v>
      </c>
      <c r="G509" s="23">
        <v>0</v>
      </c>
      <c r="H509" s="23">
        <v>0</v>
      </c>
      <c r="I509" s="23">
        <v>1</v>
      </c>
      <c r="J509" s="23">
        <v>3077.0954999999999</v>
      </c>
      <c r="N509" s="23"/>
      <c r="O509" s="23"/>
      <c r="P509" s="23"/>
      <c r="Q509" s="23"/>
      <c r="R509" s="23"/>
      <c r="S509" s="23"/>
      <c r="T509" s="23"/>
      <c r="U509" s="23"/>
    </row>
    <row r="510" spans="1:21" x14ac:dyDescent="0.2">
      <c r="A510" s="23">
        <v>24</v>
      </c>
      <c r="B510" s="23">
        <v>0</v>
      </c>
      <c r="C510" s="23">
        <v>25.27</v>
      </c>
      <c r="D510" s="23">
        <v>0</v>
      </c>
      <c r="E510" s="23">
        <v>0</v>
      </c>
      <c r="F510" s="23">
        <v>1</v>
      </c>
      <c r="G510" s="23">
        <v>0</v>
      </c>
      <c r="H510" s="23">
        <v>0</v>
      </c>
      <c r="I510" s="23">
        <v>0</v>
      </c>
      <c r="J510" s="23">
        <v>3044.2132999999999</v>
      </c>
      <c r="N510" s="23"/>
      <c r="O510" s="23"/>
      <c r="P510" s="23"/>
      <c r="Q510" s="23"/>
      <c r="R510" s="23"/>
      <c r="S510" s="23"/>
      <c r="T510" s="23"/>
      <c r="U510" s="23"/>
    </row>
    <row r="511" spans="1:21" x14ac:dyDescent="0.2">
      <c r="A511" s="23">
        <v>57</v>
      </c>
      <c r="B511" s="23">
        <v>0</v>
      </c>
      <c r="C511" s="23">
        <v>28.7</v>
      </c>
      <c r="D511" s="23">
        <v>0</v>
      </c>
      <c r="E511" s="23">
        <v>0</v>
      </c>
      <c r="F511" s="23">
        <v>0</v>
      </c>
      <c r="G511" s="23">
        <v>0</v>
      </c>
      <c r="H511" s="23">
        <v>1</v>
      </c>
      <c r="I511" s="23">
        <v>0</v>
      </c>
      <c r="J511" s="23">
        <v>11455.28</v>
      </c>
      <c r="N511" s="23"/>
      <c r="O511" s="23"/>
      <c r="P511" s="23"/>
      <c r="Q511" s="23"/>
      <c r="R511" s="23"/>
      <c r="S511" s="23"/>
      <c r="T511" s="23"/>
      <c r="U511" s="23"/>
    </row>
    <row r="512" spans="1:21" x14ac:dyDescent="0.2">
      <c r="A512" s="23">
        <v>56</v>
      </c>
      <c r="B512" s="23">
        <v>1</v>
      </c>
      <c r="C512" s="23">
        <v>32.11</v>
      </c>
      <c r="D512" s="23">
        <v>1</v>
      </c>
      <c r="E512" s="23">
        <v>0</v>
      </c>
      <c r="F512" s="23">
        <v>1</v>
      </c>
      <c r="G512" s="23">
        <v>0</v>
      </c>
      <c r="H512" s="23">
        <v>0</v>
      </c>
      <c r="I512" s="23">
        <v>0</v>
      </c>
      <c r="J512" s="23">
        <v>11763.000899999999</v>
      </c>
      <c r="N512" s="23"/>
      <c r="O512" s="23"/>
      <c r="P512" s="23"/>
      <c r="Q512" s="23"/>
      <c r="R512" s="23"/>
      <c r="S512" s="23"/>
      <c r="T512" s="23"/>
      <c r="U512" s="23"/>
    </row>
    <row r="513" spans="1:21" x14ac:dyDescent="0.2">
      <c r="A513" s="23">
        <v>27</v>
      </c>
      <c r="B513" s="23">
        <v>1</v>
      </c>
      <c r="C513" s="23">
        <v>33.659999999999997</v>
      </c>
      <c r="D513" s="23">
        <v>0</v>
      </c>
      <c r="E513" s="23">
        <v>0</v>
      </c>
      <c r="F513" s="23">
        <v>0</v>
      </c>
      <c r="G513" s="23">
        <v>1</v>
      </c>
      <c r="H513" s="23">
        <v>0</v>
      </c>
      <c r="I513" s="23">
        <v>0</v>
      </c>
      <c r="J513" s="23">
        <v>2498.4144000000001</v>
      </c>
      <c r="N513" s="23"/>
      <c r="O513" s="23"/>
      <c r="P513" s="23"/>
      <c r="Q513" s="23"/>
      <c r="R513" s="23"/>
      <c r="S513" s="23"/>
      <c r="T513" s="23"/>
      <c r="U513" s="23"/>
    </row>
    <row r="514" spans="1:21" x14ac:dyDescent="0.2">
      <c r="A514" s="23">
        <v>51</v>
      </c>
      <c r="B514" s="23">
        <v>1</v>
      </c>
      <c r="C514" s="23">
        <v>22.42</v>
      </c>
      <c r="D514" s="23">
        <v>0</v>
      </c>
      <c r="E514" s="23">
        <v>0</v>
      </c>
      <c r="F514" s="23">
        <v>1</v>
      </c>
      <c r="G514" s="23">
        <v>0</v>
      </c>
      <c r="H514" s="23">
        <v>0</v>
      </c>
      <c r="I514" s="23">
        <v>0</v>
      </c>
      <c r="J514" s="23">
        <v>9361.3268000000007</v>
      </c>
      <c r="N514" s="23"/>
      <c r="O514" s="23"/>
      <c r="P514" s="23"/>
      <c r="Q514" s="23"/>
      <c r="R514" s="23"/>
      <c r="S514" s="23"/>
      <c r="T514" s="23"/>
      <c r="U514" s="23"/>
    </row>
    <row r="515" spans="1:21" x14ac:dyDescent="0.2">
      <c r="A515" s="23">
        <v>19</v>
      </c>
      <c r="B515" s="23">
        <v>1</v>
      </c>
      <c r="C515" s="23">
        <v>30.4</v>
      </c>
      <c r="D515" s="23">
        <v>0</v>
      </c>
      <c r="E515" s="23">
        <v>0</v>
      </c>
      <c r="F515" s="23">
        <v>0</v>
      </c>
      <c r="G515" s="23">
        <v>0</v>
      </c>
      <c r="H515" s="23">
        <v>1</v>
      </c>
      <c r="I515" s="23">
        <v>0</v>
      </c>
      <c r="J515" s="23">
        <v>1256.299</v>
      </c>
      <c r="N515" s="23"/>
      <c r="O515" s="23"/>
      <c r="P515" s="23"/>
      <c r="Q515" s="23"/>
      <c r="R515" s="23"/>
      <c r="S515" s="23"/>
      <c r="T515" s="23"/>
      <c r="U515" s="23"/>
    </row>
    <row r="516" spans="1:21" x14ac:dyDescent="0.2">
      <c r="A516" s="23">
        <v>39</v>
      </c>
      <c r="B516" s="23">
        <v>1</v>
      </c>
      <c r="C516" s="23">
        <v>28.3</v>
      </c>
      <c r="D516" s="23">
        <v>1</v>
      </c>
      <c r="E516" s="23">
        <v>1</v>
      </c>
      <c r="F516" s="23">
        <v>0</v>
      </c>
      <c r="G516" s="23">
        <v>0</v>
      </c>
      <c r="H516" s="23">
        <v>1</v>
      </c>
      <c r="I516" s="23">
        <v>0</v>
      </c>
      <c r="J516" s="23">
        <v>21082.16</v>
      </c>
      <c r="N516" s="23"/>
      <c r="O516" s="23"/>
      <c r="P516" s="23"/>
      <c r="Q516" s="23"/>
      <c r="R516" s="23"/>
      <c r="S516" s="23"/>
      <c r="T516" s="23"/>
      <c r="U516" s="23"/>
    </row>
    <row r="517" spans="1:21" x14ac:dyDescent="0.2">
      <c r="A517" s="23">
        <v>58</v>
      </c>
      <c r="B517" s="23">
        <v>1</v>
      </c>
      <c r="C517" s="23">
        <v>35.700000000000003</v>
      </c>
      <c r="D517" s="23">
        <v>0</v>
      </c>
      <c r="E517" s="23">
        <v>0</v>
      </c>
      <c r="F517" s="23">
        <v>0</v>
      </c>
      <c r="G517" s="23">
        <v>0</v>
      </c>
      <c r="H517" s="23">
        <v>1</v>
      </c>
      <c r="I517" s="23">
        <v>0</v>
      </c>
      <c r="J517" s="23">
        <v>11362.754999999999</v>
      </c>
      <c r="N517" s="23"/>
      <c r="O517" s="23"/>
      <c r="P517" s="23"/>
      <c r="Q517" s="23"/>
      <c r="R517" s="23"/>
      <c r="S517" s="23"/>
      <c r="T517" s="23"/>
      <c r="U517" s="23"/>
    </row>
    <row r="518" spans="1:21" x14ac:dyDescent="0.2">
      <c r="A518" s="23">
        <v>20</v>
      </c>
      <c r="B518" s="23">
        <v>1</v>
      </c>
      <c r="C518" s="23">
        <v>35.31</v>
      </c>
      <c r="D518" s="23">
        <v>1</v>
      </c>
      <c r="E518" s="23">
        <v>0</v>
      </c>
      <c r="F518" s="23">
        <v>0</v>
      </c>
      <c r="G518" s="23">
        <v>1</v>
      </c>
      <c r="H518" s="23">
        <v>0</v>
      </c>
      <c r="I518" s="23">
        <v>0</v>
      </c>
      <c r="J518" s="23">
        <v>27724.28875</v>
      </c>
      <c r="N518" s="23"/>
      <c r="O518" s="23"/>
      <c r="P518" s="23"/>
      <c r="Q518" s="23"/>
      <c r="R518" s="23"/>
      <c r="S518" s="23"/>
      <c r="T518" s="23"/>
      <c r="U518" s="23"/>
    </row>
    <row r="519" spans="1:21" x14ac:dyDescent="0.2">
      <c r="A519" s="23">
        <v>45</v>
      </c>
      <c r="B519" s="23">
        <v>1</v>
      </c>
      <c r="C519" s="23">
        <v>30.495000000000001</v>
      </c>
      <c r="D519" s="23">
        <v>2</v>
      </c>
      <c r="E519" s="23">
        <v>0</v>
      </c>
      <c r="F519" s="23">
        <v>0</v>
      </c>
      <c r="G519" s="23">
        <v>0</v>
      </c>
      <c r="H519" s="23">
        <v>0</v>
      </c>
      <c r="I519" s="23">
        <v>1</v>
      </c>
      <c r="J519" s="23">
        <v>8413.4630500000003</v>
      </c>
      <c r="N519" s="23"/>
      <c r="O519" s="23"/>
      <c r="P519" s="23"/>
      <c r="Q519" s="23"/>
      <c r="R519" s="23"/>
      <c r="S519" s="23"/>
      <c r="T519" s="23"/>
      <c r="U519" s="23"/>
    </row>
    <row r="520" spans="1:21" x14ac:dyDescent="0.2">
      <c r="A520" s="23">
        <v>35</v>
      </c>
      <c r="B520" s="23">
        <v>0</v>
      </c>
      <c r="C520" s="23">
        <v>31</v>
      </c>
      <c r="D520" s="23">
        <v>1</v>
      </c>
      <c r="E520" s="23">
        <v>0</v>
      </c>
      <c r="F520" s="23">
        <v>0</v>
      </c>
      <c r="G520" s="23">
        <v>0</v>
      </c>
      <c r="H520" s="23">
        <v>1</v>
      </c>
      <c r="I520" s="23">
        <v>0</v>
      </c>
      <c r="J520" s="23">
        <v>5240.7650000000003</v>
      </c>
      <c r="N520" s="23"/>
      <c r="O520" s="23"/>
      <c r="P520" s="23"/>
      <c r="Q520" s="23"/>
      <c r="R520" s="23"/>
      <c r="S520" s="23"/>
      <c r="T520" s="23"/>
      <c r="U520" s="23"/>
    </row>
    <row r="521" spans="1:21" x14ac:dyDescent="0.2">
      <c r="A521" s="23">
        <v>31</v>
      </c>
      <c r="B521" s="23">
        <v>1</v>
      </c>
      <c r="C521" s="23">
        <v>30.875</v>
      </c>
      <c r="D521" s="23">
        <v>0</v>
      </c>
      <c r="E521" s="23">
        <v>0</v>
      </c>
      <c r="F521" s="23">
        <v>1</v>
      </c>
      <c r="G521" s="23">
        <v>0</v>
      </c>
      <c r="H521" s="23">
        <v>0</v>
      </c>
      <c r="I521" s="23">
        <v>0</v>
      </c>
      <c r="J521" s="23">
        <v>3857.7592500000001</v>
      </c>
      <c r="N521" s="23"/>
      <c r="O521" s="23"/>
      <c r="P521" s="23"/>
      <c r="Q521" s="23"/>
      <c r="R521" s="23"/>
      <c r="S521" s="23"/>
      <c r="T521" s="23"/>
      <c r="U521" s="23"/>
    </row>
    <row r="522" spans="1:21" x14ac:dyDescent="0.2">
      <c r="A522" s="23">
        <v>50</v>
      </c>
      <c r="B522" s="23">
        <v>0</v>
      </c>
      <c r="C522" s="23">
        <v>27.36</v>
      </c>
      <c r="D522" s="23">
        <v>0</v>
      </c>
      <c r="E522" s="23">
        <v>0</v>
      </c>
      <c r="F522" s="23">
        <v>1</v>
      </c>
      <c r="G522" s="23">
        <v>0</v>
      </c>
      <c r="H522" s="23">
        <v>0</v>
      </c>
      <c r="I522" s="23">
        <v>0</v>
      </c>
      <c r="J522" s="23">
        <v>25656.575260000001</v>
      </c>
      <c r="N522" s="23"/>
      <c r="O522" s="23"/>
      <c r="P522" s="23"/>
      <c r="Q522" s="23"/>
      <c r="R522" s="23"/>
      <c r="S522" s="23"/>
      <c r="T522" s="23"/>
      <c r="U522" s="23"/>
    </row>
    <row r="523" spans="1:21" x14ac:dyDescent="0.2">
      <c r="A523" s="23">
        <v>32</v>
      </c>
      <c r="B523" s="23">
        <v>0</v>
      </c>
      <c r="C523" s="23">
        <v>44.22</v>
      </c>
      <c r="D523" s="23">
        <v>0</v>
      </c>
      <c r="E523" s="23">
        <v>0</v>
      </c>
      <c r="F523" s="23">
        <v>0</v>
      </c>
      <c r="G523" s="23">
        <v>1</v>
      </c>
      <c r="H523" s="23">
        <v>0</v>
      </c>
      <c r="I523" s="23">
        <v>0</v>
      </c>
      <c r="J523" s="23">
        <v>3994.1777999999999</v>
      </c>
      <c r="N523" s="23"/>
      <c r="O523" s="23"/>
      <c r="P523" s="23"/>
      <c r="Q523" s="23"/>
      <c r="R523" s="23"/>
      <c r="S523" s="23"/>
      <c r="T523" s="23"/>
      <c r="U523" s="23"/>
    </row>
    <row r="524" spans="1:21" x14ac:dyDescent="0.2">
      <c r="A524" s="23">
        <v>51</v>
      </c>
      <c r="B524" s="23">
        <v>0</v>
      </c>
      <c r="C524" s="23">
        <v>33.914999999999999</v>
      </c>
      <c r="D524" s="23">
        <v>0</v>
      </c>
      <c r="E524" s="23">
        <v>0</v>
      </c>
      <c r="F524" s="23">
        <v>1</v>
      </c>
      <c r="G524" s="23">
        <v>0</v>
      </c>
      <c r="H524" s="23">
        <v>0</v>
      </c>
      <c r="I524" s="23">
        <v>0</v>
      </c>
      <c r="J524" s="23">
        <v>9866.3048500000004</v>
      </c>
      <c r="N524" s="23"/>
      <c r="O524" s="23"/>
      <c r="P524" s="23"/>
      <c r="Q524" s="23"/>
      <c r="R524" s="23"/>
      <c r="S524" s="23"/>
      <c r="T524" s="23"/>
      <c r="U524" s="23"/>
    </row>
    <row r="525" spans="1:21" x14ac:dyDescent="0.2">
      <c r="A525" s="23">
        <v>38</v>
      </c>
      <c r="B525" s="23">
        <v>0</v>
      </c>
      <c r="C525" s="23">
        <v>37.729999999999997</v>
      </c>
      <c r="D525" s="23">
        <v>0</v>
      </c>
      <c r="E525" s="23">
        <v>0</v>
      </c>
      <c r="F525" s="23">
        <v>0</v>
      </c>
      <c r="G525" s="23">
        <v>1</v>
      </c>
      <c r="H525" s="23">
        <v>0</v>
      </c>
      <c r="I525" s="23">
        <v>0</v>
      </c>
      <c r="J525" s="23">
        <v>5397.6166999999996</v>
      </c>
      <c r="N525" s="23"/>
      <c r="O525" s="23"/>
      <c r="P525" s="23"/>
      <c r="Q525" s="23"/>
      <c r="R525" s="23"/>
      <c r="S525" s="23"/>
      <c r="T525" s="23"/>
      <c r="U525" s="23"/>
    </row>
    <row r="526" spans="1:21" x14ac:dyDescent="0.2">
      <c r="A526" s="23">
        <v>42</v>
      </c>
      <c r="B526" s="23">
        <v>1</v>
      </c>
      <c r="C526" s="23">
        <v>26.07</v>
      </c>
      <c r="D526" s="23">
        <v>1</v>
      </c>
      <c r="E526" s="23">
        <v>1</v>
      </c>
      <c r="F526" s="23">
        <v>0</v>
      </c>
      <c r="G526" s="23">
        <v>1</v>
      </c>
      <c r="H526" s="23">
        <v>0</v>
      </c>
      <c r="I526" s="23">
        <v>0</v>
      </c>
      <c r="J526" s="23">
        <v>38245.593269999998</v>
      </c>
      <c r="N526" s="23"/>
      <c r="O526" s="23"/>
      <c r="P526" s="23"/>
      <c r="Q526" s="23"/>
      <c r="R526" s="23"/>
      <c r="S526" s="23"/>
      <c r="T526" s="23"/>
      <c r="U526" s="23"/>
    </row>
    <row r="527" spans="1:21" x14ac:dyDescent="0.2">
      <c r="A527" s="23">
        <v>18</v>
      </c>
      <c r="B527" s="23">
        <v>0</v>
      </c>
      <c r="C527" s="23">
        <v>33.880000000000003</v>
      </c>
      <c r="D527" s="23">
        <v>0</v>
      </c>
      <c r="E527" s="23">
        <v>0</v>
      </c>
      <c r="F527" s="23">
        <v>0</v>
      </c>
      <c r="G527" s="23">
        <v>1</v>
      </c>
      <c r="H527" s="23">
        <v>0</v>
      </c>
      <c r="I527" s="23">
        <v>0</v>
      </c>
      <c r="J527" s="23">
        <v>11482.63485</v>
      </c>
      <c r="N527" s="23"/>
      <c r="O527" s="23"/>
      <c r="P527" s="23"/>
      <c r="Q527" s="23"/>
      <c r="R527" s="23"/>
      <c r="S527" s="23"/>
      <c r="T527" s="23"/>
      <c r="U527" s="23"/>
    </row>
    <row r="528" spans="1:21" x14ac:dyDescent="0.2">
      <c r="A528" s="23">
        <v>19</v>
      </c>
      <c r="B528" s="23">
        <v>0</v>
      </c>
      <c r="C528" s="23">
        <v>30.59</v>
      </c>
      <c r="D528" s="23">
        <v>2</v>
      </c>
      <c r="E528" s="23">
        <v>0</v>
      </c>
      <c r="F528" s="23">
        <v>0</v>
      </c>
      <c r="G528" s="23">
        <v>0</v>
      </c>
      <c r="H528" s="23">
        <v>0</v>
      </c>
      <c r="I528" s="23">
        <v>1</v>
      </c>
      <c r="J528" s="23">
        <v>24059.680189999999</v>
      </c>
      <c r="N528" s="23"/>
      <c r="O528" s="23"/>
      <c r="P528" s="23"/>
      <c r="Q528" s="23"/>
      <c r="R528" s="23"/>
      <c r="S528" s="23"/>
      <c r="T528" s="23"/>
      <c r="U528" s="23"/>
    </row>
    <row r="529" spans="1:21" x14ac:dyDescent="0.2">
      <c r="A529" s="23">
        <v>51</v>
      </c>
      <c r="B529" s="23">
        <v>0</v>
      </c>
      <c r="C529" s="23">
        <v>25.8</v>
      </c>
      <c r="D529" s="23">
        <v>1</v>
      </c>
      <c r="E529" s="23">
        <v>0</v>
      </c>
      <c r="F529" s="23">
        <v>0</v>
      </c>
      <c r="G529" s="23">
        <v>0</v>
      </c>
      <c r="H529" s="23">
        <v>1</v>
      </c>
      <c r="I529" s="23">
        <v>0</v>
      </c>
      <c r="J529" s="23">
        <v>9861.0249999999996</v>
      </c>
      <c r="N529" s="23"/>
      <c r="O529" s="23"/>
      <c r="P529" s="23"/>
      <c r="Q529" s="23"/>
      <c r="R529" s="23"/>
      <c r="S529" s="23"/>
      <c r="T529" s="23"/>
      <c r="U529" s="23"/>
    </row>
    <row r="530" spans="1:21" x14ac:dyDescent="0.2">
      <c r="A530" s="23">
        <v>46</v>
      </c>
      <c r="B530" s="23">
        <v>1</v>
      </c>
      <c r="C530" s="23">
        <v>39.424999999999997</v>
      </c>
      <c r="D530" s="23">
        <v>1</v>
      </c>
      <c r="E530" s="23">
        <v>0</v>
      </c>
      <c r="F530" s="23">
        <v>1</v>
      </c>
      <c r="G530" s="23">
        <v>0</v>
      </c>
      <c r="H530" s="23">
        <v>0</v>
      </c>
      <c r="I530" s="23">
        <v>0</v>
      </c>
      <c r="J530" s="23">
        <v>8342.9087500000005</v>
      </c>
      <c r="N530" s="23"/>
      <c r="O530" s="23"/>
      <c r="P530" s="23"/>
      <c r="Q530" s="23"/>
      <c r="R530" s="23"/>
      <c r="S530" s="23"/>
      <c r="T530" s="23"/>
      <c r="U530" s="23"/>
    </row>
    <row r="531" spans="1:21" x14ac:dyDescent="0.2">
      <c r="A531" s="23">
        <v>18</v>
      </c>
      <c r="B531" s="23">
        <v>1</v>
      </c>
      <c r="C531" s="23">
        <v>25.46</v>
      </c>
      <c r="D531" s="23">
        <v>0</v>
      </c>
      <c r="E531" s="23">
        <v>0</v>
      </c>
      <c r="F531" s="23">
        <v>1</v>
      </c>
      <c r="G531" s="23">
        <v>0</v>
      </c>
      <c r="H531" s="23">
        <v>0</v>
      </c>
      <c r="I531" s="23">
        <v>0</v>
      </c>
      <c r="J531" s="23">
        <v>1708.0014000000001</v>
      </c>
      <c r="N531" s="23"/>
      <c r="O531" s="23"/>
      <c r="P531" s="23"/>
      <c r="Q531" s="23"/>
      <c r="R531" s="23"/>
      <c r="S531" s="23"/>
      <c r="T531" s="23"/>
      <c r="U531" s="23"/>
    </row>
    <row r="532" spans="1:21" x14ac:dyDescent="0.2">
      <c r="A532" s="23">
        <v>57</v>
      </c>
      <c r="B532" s="23">
        <v>1</v>
      </c>
      <c r="C532" s="23">
        <v>42.13</v>
      </c>
      <c r="D532" s="23">
        <v>1</v>
      </c>
      <c r="E532" s="23">
        <v>1</v>
      </c>
      <c r="F532" s="23">
        <v>0</v>
      </c>
      <c r="G532" s="23">
        <v>1</v>
      </c>
      <c r="H532" s="23">
        <v>0</v>
      </c>
      <c r="I532" s="23">
        <v>0</v>
      </c>
      <c r="J532" s="23">
        <v>48675.517699999997</v>
      </c>
      <c r="N532" s="23"/>
      <c r="O532" s="23"/>
      <c r="P532" s="23"/>
      <c r="Q532" s="23"/>
      <c r="R532" s="23"/>
      <c r="S532" s="23"/>
      <c r="T532" s="23"/>
      <c r="U532" s="23"/>
    </row>
    <row r="533" spans="1:21" x14ac:dyDescent="0.2">
      <c r="A533" s="23">
        <v>62</v>
      </c>
      <c r="B533" s="23">
        <v>0</v>
      </c>
      <c r="C533" s="23">
        <v>31.73</v>
      </c>
      <c r="D533" s="23">
        <v>0</v>
      </c>
      <c r="E533" s="23">
        <v>0</v>
      </c>
      <c r="F533" s="23">
        <v>1</v>
      </c>
      <c r="G533" s="23">
        <v>0</v>
      </c>
      <c r="H533" s="23">
        <v>0</v>
      </c>
      <c r="I533" s="23">
        <v>0</v>
      </c>
      <c r="J533" s="23">
        <v>14043.476699999999</v>
      </c>
      <c r="N533" s="23"/>
      <c r="O533" s="23"/>
      <c r="P533" s="23"/>
      <c r="Q533" s="23"/>
      <c r="R533" s="23"/>
      <c r="S533" s="23"/>
      <c r="T533" s="23"/>
      <c r="U533" s="23"/>
    </row>
    <row r="534" spans="1:21" x14ac:dyDescent="0.2">
      <c r="A534" s="23">
        <v>59</v>
      </c>
      <c r="B534" s="23">
        <v>1</v>
      </c>
      <c r="C534" s="23">
        <v>29.7</v>
      </c>
      <c r="D534" s="23">
        <v>2</v>
      </c>
      <c r="E534" s="23">
        <v>0</v>
      </c>
      <c r="F534" s="23">
        <v>0</v>
      </c>
      <c r="G534" s="23">
        <v>1</v>
      </c>
      <c r="H534" s="23">
        <v>0</v>
      </c>
      <c r="I534" s="23">
        <v>0</v>
      </c>
      <c r="J534" s="23">
        <v>12925.886</v>
      </c>
      <c r="N534" s="23"/>
      <c r="O534" s="23"/>
      <c r="P534" s="23"/>
      <c r="Q534" s="23"/>
      <c r="R534" s="23"/>
      <c r="S534" s="23"/>
      <c r="T534" s="23"/>
      <c r="U534" s="23"/>
    </row>
    <row r="535" spans="1:21" x14ac:dyDescent="0.2">
      <c r="A535" s="23">
        <v>37</v>
      </c>
      <c r="B535" s="23">
        <v>1</v>
      </c>
      <c r="C535" s="23">
        <v>36.19</v>
      </c>
      <c r="D535" s="23">
        <v>0</v>
      </c>
      <c r="E535" s="23">
        <v>0</v>
      </c>
      <c r="F535" s="23">
        <v>0</v>
      </c>
      <c r="G535" s="23">
        <v>1</v>
      </c>
      <c r="H535" s="23">
        <v>0</v>
      </c>
      <c r="I535" s="23">
        <v>0</v>
      </c>
      <c r="J535" s="23">
        <v>19214.705529999999</v>
      </c>
      <c r="N535" s="23"/>
      <c r="O535" s="23"/>
      <c r="P535" s="23"/>
      <c r="Q535" s="23"/>
      <c r="R535" s="23"/>
      <c r="S535" s="23"/>
      <c r="T535" s="23"/>
      <c r="U535" s="23"/>
    </row>
    <row r="536" spans="1:21" x14ac:dyDescent="0.2">
      <c r="A536" s="23">
        <v>64</v>
      </c>
      <c r="B536" s="23">
        <v>1</v>
      </c>
      <c r="C536" s="23">
        <v>40.479999999999997</v>
      </c>
      <c r="D536" s="23">
        <v>0</v>
      </c>
      <c r="E536" s="23">
        <v>0</v>
      </c>
      <c r="F536" s="23">
        <v>0</v>
      </c>
      <c r="G536" s="23">
        <v>1</v>
      </c>
      <c r="H536" s="23">
        <v>0</v>
      </c>
      <c r="I536" s="23">
        <v>0</v>
      </c>
      <c r="J536" s="23">
        <v>13831.1152</v>
      </c>
      <c r="N536" s="23"/>
      <c r="O536" s="23"/>
      <c r="P536" s="23"/>
      <c r="Q536" s="23"/>
      <c r="R536" s="23"/>
      <c r="S536" s="23"/>
      <c r="T536" s="23"/>
      <c r="U536" s="23"/>
    </row>
    <row r="537" spans="1:21" x14ac:dyDescent="0.2">
      <c r="A537" s="23">
        <v>38</v>
      </c>
      <c r="B537" s="23">
        <v>1</v>
      </c>
      <c r="C537" s="23">
        <v>28.024999999999999</v>
      </c>
      <c r="D537" s="23">
        <v>1</v>
      </c>
      <c r="E537" s="23">
        <v>0</v>
      </c>
      <c r="F537" s="23">
        <v>1</v>
      </c>
      <c r="G537" s="23">
        <v>0</v>
      </c>
      <c r="H537" s="23">
        <v>0</v>
      </c>
      <c r="I537" s="23">
        <v>0</v>
      </c>
      <c r="J537" s="23">
        <v>6067.1267500000004</v>
      </c>
      <c r="N537" s="23"/>
      <c r="O537" s="23"/>
      <c r="P537" s="23"/>
      <c r="Q537" s="23"/>
      <c r="R537" s="23"/>
      <c r="S537" s="23"/>
      <c r="T537" s="23"/>
      <c r="U537" s="23"/>
    </row>
    <row r="538" spans="1:21" x14ac:dyDescent="0.2">
      <c r="A538" s="23">
        <v>33</v>
      </c>
      <c r="B538" s="23">
        <v>0</v>
      </c>
      <c r="C538" s="23">
        <v>38.9</v>
      </c>
      <c r="D538" s="23">
        <v>3</v>
      </c>
      <c r="E538" s="23">
        <v>0</v>
      </c>
      <c r="F538" s="23">
        <v>0</v>
      </c>
      <c r="G538" s="23">
        <v>0</v>
      </c>
      <c r="H538" s="23">
        <v>1</v>
      </c>
      <c r="I538" s="23">
        <v>0</v>
      </c>
      <c r="J538" s="23">
        <v>5972.3779999999997</v>
      </c>
      <c r="N538" s="23"/>
      <c r="O538" s="23"/>
      <c r="P538" s="23"/>
      <c r="Q538" s="23"/>
      <c r="R538" s="23"/>
      <c r="S538" s="23"/>
      <c r="T538" s="23"/>
      <c r="U538" s="23"/>
    </row>
    <row r="539" spans="1:21" x14ac:dyDescent="0.2">
      <c r="A539" s="23">
        <v>46</v>
      </c>
      <c r="B539" s="23">
        <v>0</v>
      </c>
      <c r="C539" s="23">
        <v>30.2</v>
      </c>
      <c r="D539" s="23">
        <v>2</v>
      </c>
      <c r="E539" s="23">
        <v>0</v>
      </c>
      <c r="F539" s="23">
        <v>0</v>
      </c>
      <c r="G539" s="23">
        <v>0</v>
      </c>
      <c r="H539" s="23">
        <v>1</v>
      </c>
      <c r="I539" s="23">
        <v>0</v>
      </c>
      <c r="J539" s="23">
        <v>8825.0859999999993</v>
      </c>
      <c r="N539" s="23"/>
      <c r="O539" s="23"/>
      <c r="P539" s="23"/>
      <c r="Q539" s="23"/>
      <c r="R539" s="23"/>
      <c r="S539" s="23"/>
      <c r="T539" s="23"/>
      <c r="U539" s="23"/>
    </row>
    <row r="540" spans="1:21" x14ac:dyDescent="0.2">
      <c r="A540" s="23">
        <v>46</v>
      </c>
      <c r="B540" s="23">
        <v>0</v>
      </c>
      <c r="C540" s="23">
        <v>28.05</v>
      </c>
      <c r="D540" s="23">
        <v>1</v>
      </c>
      <c r="E540" s="23">
        <v>0</v>
      </c>
      <c r="F540" s="23">
        <v>0</v>
      </c>
      <c r="G540" s="23">
        <v>1</v>
      </c>
      <c r="H540" s="23">
        <v>0</v>
      </c>
      <c r="I540" s="23">
        <v>0</v>
      </c>
      <c r="J540" s="23">
        <v>8233.0974999999999</v>
      </c>
      <c r="N540" s="23"/>
      <c r="O540" s="23"/>
      <c r="P540" s="23"/>
      <c r="Q540" s="23"/>
      <c r="R540" s="23"/>
      <c r="S540" s="23"/>
      <c r="T540" s="23"/>
      <c r="U540" s="23"/>
    </row>
    <row r="541" spans="1:21" x14ac:dyDescent="0.2">
      <c r="A541" s="23">
        <v>53</v>
      </c>
      <c r="B541" s="23">
        <v>1</v>
      </c>
      <c r="C541" s="23">
        <v>31.35</v>
      </c>
      <c r="D541" s="23">
        <v>0</v>
      </c>
      <c r="E541" s="23">
        <v>0</v>
      </c>
      <c r="F541" s="23">
        <v>0</v>
      </c>
      <c r="G541" s="23">
        <v>1</v>
      </c>
      <c r="H541" s="23">
        <v>0</v>
      </c>
      <c r="I541" s="23">
        <v>0</v>
      </c>
      <c r="J541" s="23">
        <v>27346.04207</v>
      </c>
      <c r="N541" s="23"/>
      <c r="O541" s="23"/>
      <c r="P541" s="23"/>
      <c r="Q541" s="23"/>
      <c r="R541" s="23"/>
      <c r="S541" s="23"/>
      <c r="T541" s="23"/>
      <c r="U541" s="23"/>
    </row>
    <row r="542" spans="1:21" x14ac:dyDescent="0.2">
      <c r="A542" s="23">
        <v>34</v>
      </c>
      <c r="B542" s="23">
        <v>0</v>
      </c>
      <c r="C542" s="23">
        <v>38</v>
      </c>
      <c r="D542" s="23">
        <v>3</v>
      </c>
      <c r="E542" s="23">
        <v>0</v>
      </c>
      <c r="F542" s="23">
        <v>0</v>
      </c>
      <c r="G542" s="23">
        <v>0</v>
      </c>
      <c r="H542" s="23">
        <v>1</v>
      </c>
      <c r="I542" s="23">
        <v>0</v>
      </c>
      <c r="J542" s="23">
        <v>6196.4480000000003</v>
      </c>
      <c r="N542" s="23"/>
      <c r="O542" s="23"/>
      <c r="P542" s="23"/>
      <c r="Q542" s="23"/>
      <c r="R542" s="23"/>
      <c r="S542" s="23"/>
      <c r="T542" s="23"/>
      <c r="U542" s="23"/>
    </row>
    <row r="543" spans="1:21" x14ac:dyDescent="0.2">
      <c r="A543" s="23">
        <v>20</v>
      </c>
      <c r="B543" s="23">
        <v>0</v>
      </c>
      <c r="C543" s="23">
        <v>31.79</v>
      </c>
      <c r="D543" s="23">
        <v>2</v>
      </c>
      <c r="E543" s="23">
        <v>0</v>
      </c>
      <c r="F543" s="23">
        <v>0</v>
      </c>
      <c r="G543" s="23">
        <v>1</v>
      </c>
      <c r="H543" s="23">
        <v>0</v>
      </c>
      <c r="I543" s="23">
        <v>0</v>
      </c>
      <c r="J543" s="23">
        <v>3056.3881000000001</v>
      </c>
      <c r="N543" s="23"/>
      <c r="O543" s="23"/>
      <c r="P543" s="23"/>
      <c r="Q543" s="23"/>
      <c r="R543" s="23"/>
      <c r="S543" s="23"/>
      <c r="T543" s="23"/>
      <c r="U543" s="23"/>
    </row>
    <row r="544" spans="1:21" x14ac:dyDescent="0.2">
      <c r="A544" s="23">
        <v>63</v>
      </c>
      <c r="B544" s="23">
        <v>0</v>
      </c>
      <c r="C544" s="23">
        <v>36.299999999999997</v>
      </c>
      <c r="D544" s="23">
        <v>0</v>
      </c>
      <c r="E544" s="23">
        <v>0</v>
      </c>
      <c r="F544" s="23">
        <v>0</v>
      </c>
      <c r="G544" s="23">
        <v>1</v>
      </c>
      <c r="H544" s="23">
        <v>0</v>
      </c>
      <c r="I544" s="23">
        <v>0</v>
      </c>
      <c r="J544" s="23">
        <v>13887.204</v>
      </c>
      <c r="N544" s="23"/>
      <c r="O544" s="23"/>
      <c r="P544" s="23"/>
      <c r="Q544" s="23"/>
      <c r="R544" s="23"/>
      <c r="S544" s="23"/>
      <c r="T544" s="23"/>
      <c r="U544" s="23"/>
    </row>
    <row r="545" spans="1:21" x14ac:dyDescent="0.2">
      <c r="A545" s="23">
        <v>54</v>
      </c>
      <c r="B545" s="23">
        <v>0</v>
      </c>
      <c r="C545" s="23">
        <v>47.41</v>
      </c>
      <c r="D545" s="23">
        <v>0</v>
      </c>
      <c r="E545" s="23">
        <v>1</v>
      </c>
      <c r="F545" s="23">
        <v>0</v>
      </c>
      <c r="G545" s="23">
        <v>1</v>
      </c>
      <c r="H545" s="23">
        <v>0</v>
      </c>
      <c r="I545" s="23">
        <v>0</v>
      </c>
      <c r="J545" s="23">
        <v>63770.428010000003</v>
      </c>
      <c r="N545" s="23"/>
      <c r="O545" s="23"/>
      <c r="P545" s="23"/>
      <c r="Q545" s="23"/>
      <c r="R545" s="23"/>
      <c r="S545" s="23"/>
      <c r="T545" s="23"/>
      <c r="U545" s="23"/>
    </row>
    <row r="546" spans="1:21" x14ac:dyDescent="0.2">
      <c r="A546" s="23">
        <v>54</v>
      </c>
      <c r="B546" s="23">
        <v>1</v>
      </c>
      <c r="C546" s="23">
        <v>30.21</v>
      </c>
      <c r="D546" s="23">
        <v>0</v>
      </c>
      <c r="E546" s="23">
        <v>0</v>
      </c>
      <c r="F546" s="23">
        <v>0</v>
      </c>
      <c r="G546" s="23">
        <v>0</v>
      </c>
      <c r="H546" s="23">
        <v>0</v>
      </c>
      <c r="I546" s="23">
        <v>1</v>
      </c>
      <c r="J546" s="23">
        <v>10231.499900000001</v>
      </c>
      <c r="N546" s="23"/>
      <c r="O546" s="23"/>
      <c r="P546" s="23"/>
      <c r="Q546" s="23"/>
      <c r="R546" s="23"/>
      <c r="S546" s="23"/>
      <c r="T546" s="23"/>
      <c r="U546" s="23"/>
    </row>
    <row r="547" spans="1:21" x14ac:dyDescent="0.2">
      <c r="A547" s="23">
        <v>49</v>
      </c>
      <c r="B547" s="23">
        <v>1</v>
      </c>
      <c r="C547" s="23">
        <v>25.84</v>
      </c>
      <c r="D547" s="23">
        <v>2</v>
      </c>
      <c r="E547" s="23">
        <v>1</v>
      </c>
      <c r="F547" s="23">
        <v>0</v>
      </c>
      <c r="G547" s="23">
        <v>0</v>
      </c>
      <c r="H547" s="23">
        <v>0</v>
      </c>
      <c r="I547" s="23">
        <v>1</v>
      </c>
      <c r="J547" s="23">
        <v>23807.240600000001</v>
      </c>
      <c r="N547" s="23"/>
      <c r="O547" s="23"/>
      <c r="P547" s="23"/>
      <c r="Q547" s="23"/>
      <c r="R547" s="23"/>
      <c r="S547" s="23"/>
      <c r="T547" s="23"/>
      <c r="U547" s="23"/>
    </row>
    <row r="548" spans="1:21" x14ac:dyDescent="0.2">
      <c r="A548" s="23">
        <v>28</v>
      </c>
      <c r="B548" s="23">
        <v>1</v>
      </c>
      <c r="C548" s="23">
        <v>35.435000000000002</v>
      </c>
      <c r="D548" s="23">
        <v>0</v>
      </c>
      <c r="E548" s="23">
        <v>0</v>
      </c>
      <c r="F548" s="23">
        <v>1</v>
      </c>
      <c r="G548" s="23">
        <v>0</v>
      </c>
      <c r="H548" s="23">
        <v>0</v>
      </c>
      <c r="I548" s="23">
        <v>0</v>
      </c>
      <c r="J548" s="23">
        <v>3268.84665</v>
      </c>
      <c r="N548" s="23"/>
      <c r="O548" s="23"/>
      <c r="P548" s="23"/>
      <c r="Q548" s="23"/>
      <c r="R548" s="23"/>
      <c r="S548" s="23"/>
      <c r="T548" s="23"/>
      <c r="U548" s="23"/>
    </row>
    <row r="549" spans="1:21" x14ac:dyDescent="0.2">
      <c r="A549" s="23">
        <v>54</v>
      </c>
      <c r="B549" s="23">
        <v>0</v>
      </c>
      <c r="C549" s="23">
        <v>46.7</v>
      </c>
      <c r="D549" s="23">
        <v>2</v>
      </c>
      <c r="E549" s="23">
        <v>0</v>
      </c>
      <c r="F549" s="23">
        <v>0</v>
      </c>
      <c r="G549" s="23">
        <v>0</v>
      </c>
      <c r="H549" s="23">
        <v>1</v>
      </c>
      <c r="I549" s="23">
        <v>0</v>
      </c>
      <c r="J549" s="23">
        <v>11538.421</v>
      </c>
      <c r="N549" s="23"/>
      <c r="O549" s="23"/>
      <c r="P549" s="23"/>
      <c r="Q549" s="23"/>
      <c r="R549" s="23"/>
      <c r="S549" s="23"/>
      <c r="T549" s="23"/>
      <c r="U549" s="23"/>
    </row>
    <row r="550" spans="1:21" x14ac:dyDescent="0.2">
      <c r="A550" s="23">
        <v>25</v>
      </c>
      <c r="B550" s="23">
        <v>0</v>
      </c>
      <c r="C550" s="23">
        <v>28.594999999999999</v>
      </c>
      <c r="D550" s="23">
        <v>0</v>
      </c>
      <c r="E550" s="23">
        <v>0</v>
      </c>
      <c r="F550" s="23">
        <v>1</v>
      </c>
      <c r="G550" s="23">
        <v>0</v>
      </c>
      <c r="H550" s="23">
        <v>0</v>
      </c>
      <c r="I550" s="23">
        <v>0</v>
      </c>
      <c r="J550" s="23">
        <v>3213.6220499999999</v>
      </c>
      <c r="N550" s="23"/>
      <c r="O550" s="23"/>
      <c r="P550" s="23"/>
      <c r="Q550" s="23"/>
      <c r="R550" s="23"/>
      <c r="S550" s="23"/>
      <c r="T550" s="23"/>
      <c r="U550" s="23"/>
    </row>
    <row r="551" spans="1:21" x14ac:dyDescent="0.2">
      <c r="A551" s="23">
        <v>43</v>
      </c>
      <c r="B551" s="23">
        <v>0</v>
      </c>
      <c r="C551" s="23">
        <v>46.2</v>
      </c>
      <c r="D551" s="23">
        <v>0</v>
      </c>
      <c r="E551" s="23">
        <v>1</v>
      </c>
      <c r="F551" s="23">
        <v>0</v>
      </c>
      <c r="G551" s="23">
        <v>1</v>
      </c>
      <c r="H551" s="23">
        <v>0</v>
      </c>
      <c r="I551" s="23">
        <v>0</v>
      </c>
      <c r="J551" s="23">
        <v>45863.205000000002</v>
      </c>
      <c r="N551" s="23"/>
      <c r="O551" s="23"/>
      <c r="P551" s="23"/>
      <c r="Q551" s="23"/>
      <c r="R551" s="23"/>
      <c r="S551" s="23"/>
      <c r="T551" s="23"/>
      <c r="U551" s="23"/>
    </row>
    <row r="552" spans="1:21" x14ac:dyDescent="0.2">
      <c r="A552" s="23">
        <v>63</v>
      </c>
      <c r="B552" s="23">
        <v>1</v>
      </c>
      <c r="C552" s="23">
        <v>30.8</v>
      </c>
      <c r="D552" s="23">
        <v>0</v>
      </c>
      <c r="E552" s="23">
        <v>0</v>
      </c>
      <c r="F552" s="23">
        <v>0</v>
      </c>
      <c r="G552" s="23">
        <v>0</v>
      </c>
      <c r="H552" s="23">
        <v>1</v>
      </c>
      <c r="I552" s="23">
        <v>0</v>
      </c>
      <c r="J552" s="23">
        <v>13390.558999999999</v>
      </c>
      <c r="N552" s="23"/>
      <c r="O552" s="23"/>
      <c r="P552" s="23"/>
      <c r="Q552" s="23"/>
      <c r="R552" s="23"/>
      <c r="S552" s="23"/>
      <c r="T552" s="23"/>
      <c r="U552" s="23"/>
    </row>
    <row r="553" spans="1:21" x14ac:dyDescent="0.2">
      <c r="A553" s="23">
        <v>32</v>
      </c>
      <c r="B553" s="23">
        <v>0</v>
      </c>
      <c r="C553" s="23">
        <v>28.93</v>
      </c>
      <c r="D553" s="23">
        <v>0</v>
      </c>
      <c r="E553" s="23">
        <v>0</v>
      </c>
      <c r="F553" s="23">
        <v>0</v>
      </c>
      <c r="G553" s="23">
        <v>1</v>
      </c>
      <c r="H553" s="23">
        <v>0</v>
      </c>
      <c r="I553" s="23">
        <v>0</v>
      </c>
      <c r="J553" s="23">
        <v>3972.9247</v>
      </c>
      <c r="N553" s="23"/>
      <c r="O553" s="23"/>
      <c r="P553" s="23"/>
      <c r="Q553" s="23"/>
      <c r="R553" s="23"/>
      <c r="S553" s="23"/>
      <c r="T553" s="23"/>
      <c r="U553" s="23"/>
    </row>
    <row r="554" spans="1:21" x14ac:dyDescent="0.2">
      <c r="A554" s="23">
        <v>62</v>
      </c>
      <c r="B554" s="23">
        <v>1</v>
      </c>
      <c r="C554" s="23">
        <v>21.4</v>
      </c>
      <c r="D554" s="23">
        <v>0</v>
      </c>
      <c r="E554" s="23">
        <v>0</v>
      </c>
      <c r="F554" s="23">
        <v>0</v>
      </c>
      <c r="G554" s="23">
        <v>0</v>
      </c>
      <c r="H554" s="23">
        <v>1</v>
      </c>
      <c r="I554" s="23">
        <v>0</v>
      </c>
      <c r="J554" s="23">
        <v>12957.118</v>
      </c>
      <c r="N554" s="23"/>
      <c r="O554" s="23"/>
      <c r="P554" s="23"/>
      <c r="Q554" s="23"/>
      <c r="R554" s="23"/>
      <c r="S554" s="23"/>
      <c r="T554" s="23"/>
      <c r="U554" s="23"/>
    </row>
    <row r="555" spans="1:21" x14ac:dyDescent="0.2">
      <c r="A555" s="23">
        <v>52</v>
      </c>
      <c r="B555" s="23">
        <v>0</v>
      </c>
      <c r="C555" s="23">
        <v>31.73</v>
      </c>
      <c r="D555" s="23">
        <v>2</v>
      </c>
      <c r="E555" s="23">
        <v>0</v>
      </c>
      <c r="F555" s="23">
        <v>0</v>
      </c>
      <c r="G555" s="23">
        <v>0</v>
      </c>
      <c r="H555" s="23">
        <v>0</v>
      </c>
      <c r="I555" s="23">
        <v>1</v>
      </c>
      <c r="J555" s="23">
        <v>11187.6567</v>
      </c>
      <c r="N555" s="23"/>
      <c r="O555" s="23"/>
      <c r="P555" s="23"/>
      <c r="Q555" s="23"/>
      <c r="R555" s="23"/>
      <c r="S555" s="23"/>
      <c r="T555" s="23"/>
      <c r="U555" s="23"/>
    </row>
    <row r="556" spans="1:21" x14ac:dyDescent="0.2">
      <c r="A556" s="23">
        <v>25</v>
      </c>
      <c r="B556" s="23">
        <v>0</v>
      </c>
      <c r="C556" s="23">
        <v>41.325000000000003</v>
      </c>
      <c r="D556" s="23">
        <v>0</v>
      </c>
      <c r="E556" s="23">
        <v>0</v>
      </c>
      <c r="F556" s="23">
        <v>1</v>
      </c>
      <c r="G556" s="23">
        <v>0</v>
      </c>
      <c r="H556" s="23">
        <v>0</v>
      </c>
      <c r="I556" s="23">
        <v>0</v>
      </c>
      <c r="J556" s="23">
        <v>17878.900679999999</v>
      </c>
      <c r="N556" s="23"/>
      <c r="O556" s="23"/>
      <c r="P556" s="23"/>
      <c r="Q556" s="23"/>
      <c r="R556" s="23"/>
      <c r="S556" s="23"/>
      <c r="T556" s="23"/>
      <c r="U556" s="23"/>
    </row>
    <row r="557" spans="1:21" x14ac:dyDescent="0.2">
      <c r="A557" s="23">
        <v>28</v>
      </c>
      <c r="B557" s="23">
        <v>1</v>
      </c>
      <c r="C557" s="23">
        <v>23.8</v>
      </c>
      <c r="D557" s="23">
        <v>2</v>
      </c>
      <c r="E557" s="23">
        <v>0</v>
      </c>
      <c r="F557" s="23">
        <v>0</v>
      </c>
      <c r="G557" s="23">
        <v>0</v>
      </c>
      <c r="H557" s="23">
        <v>1</v>
      </c>
      <c r="I557" s="23">
        <v>0</v>
      </c>
      <c r="J557" s="23">
        <v>3847.674</v>
      </c>
      <c r="N557" s="23"/>
      <c r="O557" s="23"/>
      <c r="P557" s="23"/>
      <c r="Q557" s="23"/>
      <c r="R557" s="23"/>
      <c r="S557" s="23"/>
      <c r="T557" s="23"/>
      <c r="U557" s="23"/>
    </row>
    <row r="558" spans="1:21" x14ac:dyDescent="0.2">
      <c r="A558" s="23">
        <v>46</v>
      </c>
      <c r="B558" s="23">
        <v>1</v>
      </c>
      <c r="C558" s="23">
        <v>33.44</v>
      </c>
      <c r="D558" s="23">
        <v>1</v>
      </c>
      <c r="E558" s="23">
        <v>0</v>
      </c>
      <c r="F558" s="23">
        <v>1</v>
      </c>
      <c r="G558" s="23">
        <v>0</v>
      </c>
      <c r="H558" s="23">
        <v>0</v>
      </c>
      <c r="I558" s="23">
        <v>0</v>
      </c>
      <c r="J558" s="23">
        <v>8334.5895999999993</v>
      </c>
      <c r="N558" s="23"/>
      <c r="O558" s="23"/>
      <c r="P558" s="23"/>
      <c r="Q558" s="23"/>
      <c r="R558" s="23"/>
      <c r="S558" s="23"/>
      <c r="T558" s="23"/>
      <c r="U558" s="23"/>
    </row>
    <row r="559" spans="1:21" x14ac:dyDescent="0.2">
      <c r="A559" s="23">
        <v>34</v>
      </c>
      <c r="B559" s="23">
        <v>1</v>
      </c>
      <c r="C559" s="23">
        <v>34.21</v>
      </c>
      <c r="D559" s="23">
        <v>0</v>
      </c>
      <c r="E559" s="23">
        <v>0</v>
      </c>
      <c r="F559" s="23">
        <v>0</v>
      </c>
      <c r="G559" s="23">
        <v>1</v>
      </c>
      <c r="H559" s="23">
        <v>0</v>
      </c>
      <c r="I559" s="23">
        <v>0</v>
      </c>
      <c r="J559" s="23">
        <v>3935.1799000000001</v>
      </c>
      <c r="N559" s="23"/>
      <c r="O559" s="23"/>
      <c r="P559" s="23"/>
      <c r="Q559" s="23"/>
      <c r="R559" s="23"/>
      <c r="S559" s="23"/>
      <c r="T559" s="23"/>
      <c r="U559" s="23"/>
    </row>
    <row r="560" spans="1:21" x14ac:dyDescent="0.2">
      <c r="A560" s="23">
        <v>35</v>
      </c>
      <c r="B560" s="23">
        <v>0</v>
      </c>
      <c r="C560" s="23">
        <v>34.104999999999997</v>
      </c>
      <c r="D560" s="23">
        <v>3</v>
      </c>
      <c r="E560" s="23">
        <v>1</v>
      </c>
      <c r="F560" s="23">
        <v>0</v>
      </c>
      <c r="G560" s="23">
        <v>0</v>
      </c>
      <c r="H560" s="23">
        <v>0</v>
      </c>
      <c r="I560" s="23">
        <v>1</v>
      </c>
      <c r="J560" s="23">
        <v>39983.425949999997</v>
      </c>
      <c r="N560" s="23"/>
      <c r="O560" s="23"/>
      <c r="P560" s="23"/>
      <c r="Q560" s="23"/>
      <c r="R560" s="23"/>
      <c r="S560" s="23"/>
      <c r="T560" s="23"/>
      <c r="U560" s="23"/>
    </row>
    <row r="561" spans="1:21" x14ac:dyDescent="0.2">
      <c r="A561" s="23">
        <v>19</v>
      </c>
      <c r="B561" s="23">
        <v>1</v>
      </c>
      <c r="C561" s="23">
        <v>35.53</v>
      </c>
      <c r="D561" s="23">
        <v>0</v>
      </c>
      <c r="E561" s="23">
        <v>0</v>
      </c>
      <c r="F561" s="23">
        <v>0</v>
      </c>
      <c r="G561" s="23">
        <v>0</v>
      </c>
      <c r="H561" s="23">
        <v>0</v>
      </c>
      <c r="I561" s="23">
        <v>1</v>
      </c>
      <c r="J561" s="23">
        <v>1646.4296999999999</v>
      </c>
      <c r="N561" s="23"/>
      <c r="O561" s="23"/>
      <c r="P561" s="23"/>
      <c r="Q561" s="23"/>
      <c r="R561" s="23"/>
      <c r="S561" s="23"/>
      <c r="T561" s="23"/>
      <c r="U561" s="23"/>
    </row>
    <row r="562" spans="1:21" x14ac:dyDescent="0.2">
      <c r="A562" s="23">
        <v>46</v>
      </c>
      <c r="B562" s="23">
        <v>0</v>
      </c>
      <c r="C562" s="23">
        <v>19.95</v>
      </c>
      <c r="D562" s="23">
        <v>2</v>
      </c>
      <c r="E562" s="23">
        <v>0</v>
      </c>
      <c r="F562" s="23">
        <v>0</v>
      </c>
      <c r="G562" s="23">
        <v>0</v>
      </c>
      <c r="H562" s="23">
        <v>0</v>
      </c>
      <c r="I562" s="23">
        <v>1</v>
      </c>
      <c r="J562" s="23">
        <v>9193.8384999999998</v>
      </c>
      <c r="N562" s="23"/>
      <c r="O562" s="23"/>
      <c r="P562" s="23"/>
      <c r="Q562" s="23"/>
      <c r="R562" s="23"/>
      <c r="S562" s="23"/>
      <c r="T562" s="23"/>
      <c r="U562" s="23"/>
    </row>
    <row r="563" spans="1:21" x14ac:dyDescent="0.2">
      <c r="A563" s="23">
        <v>54</v>
      </c>
      <c r="B563" s="23">
        <v>0</v>
      </c>
      <c r="C563" s="23">
        <v>32.68</v>
      </c>
      <c r="D563" s="23">
        <v>0</v>
      </c>
      <c r="E563" s="23">
        <v>0</v>
      </c>
      <c r="F563" s="23">
        <v>1</v>
      </c>
      <c r="G563" s="23">
        <v>0</v>
      </c>
      <c r="H563" s="23">
        <v>0</v>
      </c>
      <c r="I563" s="23">
        <v>0</v>
      </c>
      <c r="J563" s="23">
        <v>10923.933199999999</v>
      </c>
      <c r="N563" s="23"/>
      <c r="O563" s="23"/>
      <c r="P563" s="23"/>
      <c r="Q563" s="23"/>
      <c r="R563" s="23"/>
      <c r="S563" s="23"/>
      <c r="T563" s="23"/>
      <c r="U563" s="23"/>
    </row>
    <row r="564" spans="1:21" x14ac:dyDescent="0.2">
      <c r="A564" s="23">
        <v>27</v>
      </c>
      <c r="B564" s="23">
        <v>1</v>
      </c>
      <c r="C564" s="23">
        <v>30.5</v>
      </c>
      <c r="D564" s="23">
        <v>0</v>
      </c>
      <c r="E564" s="23">
        <v>0</v>
      </c>
      <c r="F564" s="23">
        <v>0</v>
      </c>
      <c r="G564" s="23">
        <v>0</v>
      </c>
      <c r="H564" s="23">
        <v>1</v>
      </c>
      <c r="I564" s="23">
        <v>0</v>
      </c>
      <c r="J564" s="23">
        <v>2494.0219999999999</v>
      </c>
      <c r="N564" s="23"/>
      <c r="O564" s="23"/>
      <c r="P564" s="23"/>
      <c r="Q564" s="23"/>
      <c r="R564" s="23"/>
      <c r="S564" s="23"/>
      <c r="T564" s="23"/>
      <c r="U564" s="23"/>
    </row>
    <row r="565" spans="1:21" x14ac:dyDescent="0.2">
      <c r="A565" s="23">
        <v>50</v>
      </c>
      <c r="B565" s="23">
        <v>1</v>
      </c>
      <c r="C565" s="23">
        <v>44.77</v>
      </c>
      <c r="D565" s="23">
        <v>1</v>
      </c>
      <c r="E565" s="23">
        <v>0</v>
      </c>
      <c r="F565" s="23">
        <v>0</v>
      </c>
      <c r="G565" s="23">
        <v>1</v>
      </c>
      <c r="H565" s="23">
        <v>0</v>
      </c>
      <c r="I565" s="23">
        <v>0</v>
      </c>
      <c r="J565" s="23">
        <v>9058.7302999999993</v>
      </c>
      <c r="N565" s="23"/>
      <c r="O565" s="23"/>
      <c r="P565" s="23"/>
      <c r="Q565" s="23"/>
      <c r="R565" s="23"/>
      <c r="S565" s="23"/>
      <c r="T565" s="23"/>
      <c r="U565" s="23"/>
    </row>
    <row r="566" spans="1:21" x14ac:dyDescent="0.2">
      <c r="A566" s="23">
        <v>18</v>
      </c>
      <c r="B566" s="23">
        <v>0</v>
      </c>
      <c r="C566" s="23">
        <v>32.119999999999997</v>
      </c>
      <c r="D566" s="23">
        <v>2</v>
      </c>
      <c r="E566" s="23">
        <v>0</v>
      </c>
      <c r="F566" s="23">
        <v>0</v>
      </c>
      <c r="G566" s="23">
        <v>1</v>
      </c>
      <c r="H566" s="23">
        <v>0</v>
      </c>
      <c r="I566" s="23">
        <v>0</v>
      </c>
      <c r="J566" s="23">
        <v>2801.2588000000001</v>
      </c>
      <c r="N566" s="23"/>
      <c r="O566" s="23"/>
      <c r="P566" s="23"/>
      <c r="Q566" s="23"/>
      <c r="R566" s="23"/>
      <c r="S566" s="23"/>
      <c r="T566" s="23"/>
      <c r="U566" s="23"/>
    </row>
    <row r="567" spans="1:21" x14ac:dyDescent="0.2">
      <c r="A567" s="23">
        <v>19</v>
      </c>
      <c r="B567" s="23">
        <v>0</v>
      </c>
      <c r="C567" s="23">
        <v>30.495000000000001</v>
      </c>
      <c r="D567" s="23">
        <v>0</v>
      </c>
      <c r="E567" s="23">
        <v>0</v>
      </c>
      <c r="F567" s="23">
        <v>0</v>
      </c>
      <c r="G567" s="23">
        <v>0</v>
      </c>
      <c r="H567" s="23">
        <v>0</v>
      </c>
      <c r="I567" s="23">
        <v>1</v>
      </c>
      <c r="J567" s="23">
        <v>2128.4310500000001</v>
      </c>
      <c r="N567" s="23"/>
      <c r="O567" s="23"/>
      <c r="P567" s="23"/>
      <c r="Q567" s="23"/>
      <c r="R567" s="23"/>
      <c r="S567" s="23"/>
      <c r="T567" s="23"/>
      <c r="U567" s="23"/>
    </row>
    <row r="568" spans="1:21" x14ac:dyDescent="0.2">
      <c r="A568" s="23">
        <v>38</v>
      </c>
      <c r="B568" s="23">
        <v>0</v>
      </c>
      <c r="C568" s="23">
        <v>40.564999999999998</v>
      </c>
      <c r="D568" s="23">
        <v>1</v>
      </c>
      <c r="E568" s="23">
        <v>0</v>
      </c>
      <c r="F568" s="23">
        <v>0</v>
      </c>
      <c r="G568" s="23">
        <v>0</v>
      </c>
      <c r="H568" s="23">
        <v>0</v>
      </c>
      <c r="I568" s="23">
        <v>1</v>
      </c>
      <c r="J568" s="23">
        <v>6373.55735</v>
      </c>
      <c r="N568" s="23"/>
      <c r="O568" s="23"/>
      <c r="P568" s="23"/>
      <c r="Q568" s="23"/>
      <c r="R568" s="23"/>
      <c r="S568" s="23"/>
      <c r="T568" s="23"/>
      <c r="U568" s="23"/>
    </row>
    <row r="569" spans="1:21" x14ac:dyDescent="0.2">
      <c r="A569" s="23">
        <v>41</v>
      </c>
      <c r="B569" s="23">
        <v>1</v>
      </c>
      <c r="C569" s="23">
        <v>30.59</v>
      </c>
      <c r="D569" s="23">
        <v>2</v>
      </c>
      <c r="E569" s="23">
        <v>0</v>
      </c>
      <c r="F569" s="23">
        <v>0</v>
      </c>
      <c r="G569" s="23">
        <v>0</v>
      </c>
      <c r="H569" s="23">
        <v>0</v>
      </c>
      <c r="I569" s="23">
        <v>1</v>
      </c>
      <c r="J569" s="23">
        <v>7256.7231000000002</v>
      </c>
      <c r="N569" s="23"/>
      <c r="O569" s="23"/>
      <c r="P569" s="23"/>
      <c r="Q569" s="23"/>
      <c r="R569" s="23"/>
      <c r="S569" s="23"/>
      <c r="T569" s="23"/>
      <c r="U569" s="23"/>
    </row>
    <row r="570" spans="1:21" x14ac:dyDescent="0.2">
      <c r="A570" s="23">
        <v>49</v>
      </c>
      <c r="B570" s="23">
        <v>0</v>
      </c>
      <c r="C570" s="23">
        <v>31.9</v>
      </c>
      <c r="D570" s="23">
        <v>5</v>
      </c>
      <c r="E570" s="23">
        <v>0</v>
      </c>
      <c r="F570" s="23">
        <v>0</v>
      </c>
      <c r="G570" s="23">
        <v>0</v>
      </c>
      <c r="H570" s="23">
        <v>1</v>
      </c>
      <c r="I570" s="23">
        <v>0</v>
      </c>
      <c r="J570" s="23">
        <v>11552.904</v>
      </c>
      <c r="N570" s="23"/>
      <c r="O570" s="23"/>
      <c r="P570" s="23"/>
      <c r="Q570" s="23"/>
      <c r="R570" s="23"/>
      <c r="S570" s="23"/>
      <c r="T570" s="23"/>
      <c r="U570" s="23"/>
    </row>
    <row r="571" spans="1:21" x14ac:dyDescent="0.2">
      <c r="A571" s="23">
        <v>48</v>
      </c>
      <c r="B571" s="23">
        <v>1</v>
      </c>
      <c r="C571" s="23">
        <v>40.564999999999998</v>
      </c>
      <c r="D571" s="23">
        <v>2</v>
      </c>
      <c r="E571" s="23">
        <v>1</v>
      </c>
      <c r="F571" s="23">
        <v>0</v>
      </c>
      <c r="G571" s="23">
        <v>0</v>
      </c>
      <c r="H571" s="23">
        <v>0</v>
      </c>
      <c r="I571" s="23">
        <v>1</v>
      </c>
      <c r="J571" s="23">
        <v>45702.022349999999</v>
      </c>
      <c r="N571" s="23"/>
      <c r="O571" s="23"/>
      <c r="P571" s="23"/>
      <c r="Q571" s="23"/>
      <c r="R571" s="23"/>
      <c r="S571" s="23"/>
      <c r="T571" s="23"/>
      <c r="U571" s="23"/>
    </row>
    <row r="572" spans="1:21" x14ac:dyDescent="0.2">
      <c r="A572" s="23">
        <v>31</v>
      </c>
      <c r="B572" s="23">
        <v>0</v>
      </c>
      <c r="C572" s="23">
        <v>29.1</v>
      </c>
      <c r="D572" s="23">
        <v>0</v>
      </c>
      <c r="E572" s="23">
        <v>0</v>
      </c>
      <c r="F572" s="23">
        <v>0</v>
      </c>
      <c r="G572" s="23">
        <v>0</v>
      </c>
      <c r="H572" s="23">
        <v>1</v>
      </c>
      <c r="I572" s="23">
        <v>0</v>
      </c>
      <c r="J572" s="23">
        <v>3761.2919999999999</v>
      </c>
      <c r="N572" s="23"/>
      <c r="O572" s="23"/>
      <c r="P572" s="23"/>
      <c r="Q572" s="23"/>
      <c r="R572" s="23"/>
      <c r="S572" s="23"/>
      <c r="T572" s="23"/>
      <c r="U572" s="23"/>
    </row>
    <row r="573" spans="1:21" x14ac:dyDescent="0.2">
      <c r="A573" s="23">
        <v>18</v>
      </c>
      <c r="B573" s="23">
        <v>0</v>
      </c>
      <c r="C573" s="23">
        <v>37.29</v>
      </c>
      <c r="D573" s="23">
        <v>1</v>
      </c>
      <c r="E573" s="23">
        <v>0</v>
      </c>
      <c r="F573" s="23">
        <v>0</v>
      </c>
      <c r="G573" s="23">
        <v>1</v>
      </c>
      <c r="H573" s="23">
        <v>0</v>
      </c>
      <c r="I573" s="23">
        <v>0</v>
      </c>
      <c r="J573" s="23">
        <v>2219.4450999999999</v>
      </c>
      <c r="N573" s="23"/>
      <c r="O573" s="23"/>
      <c r="P573" s="23"/>
      <c r="Q573" s="23"/>
      <c r="R573" s="23"/>
      <c r="S573" s="23"/>
      <c r="T573" s="23"/>
      <c r="U573" s="23"/>
    </row>
    <row r="574" spans="1:21" x14ac:dyDescent="0.2">
      <c r="A574" s="23">
        <v>30</v>
      </c>
      <c r="B574" s="23">
        <v>0</v>
      </c>
      <c r="C574" s="23">
        <v>43.12</v>
      </c>
      <c r="D574" s="23">
        <v>2</v>
      </c>
      <c r="E574" s="23">
        <v>0</v>
      </c>
      <c r="F574" s="23">
        <v>0</v>
      </c>
      <c r="G574" s="23">
        <v>1</v>
      </c>
      <c r="H574" s="23">
        <v>0</v>
      </c>
      <c r="I574" s="23">
        <v>0</v>
      </c>
      <c r="J574" s="23">
        <v>4753.6368000000002</v>
      </c>
      <c r="N574" s="23"/>
      <c r="O574" s="23"/>
      <c r="P574" s="23"/>
      <c r="Q574" s="23"/>
      <c r="R574" s="23"/>
      <c r="S574" s="23"/>
      <c r="T574" s="23"/>
      <c r="U574" s="23"/>
    </row>
    <row r="575" spans="1:21" x14ac:dyDescent="0.2">
      <c r="A575" s="23">
        <v>62</v>
      </c>
      <c r="B575" s="23">
        <v>0</v>
      </c>
      <c r="C575" s="23">
        <v>36.86</v>
      </c>
      <c r="D575" s="23">
        <v>1</v>
      </c>
      <c r="E575" s="23">
        <v>0</v>
      </c>
      <c r="F575" s="23">
        <v>1</v>
      </c>
      <c r="G575" s="23">
        <v>0</v>
      </c>
      <c r="H575" s="23">
        <v>0</v>
      </c>
      <c r="I575" s="23">
        <v>0</v>
      </c>
      <c r="J575" s="23">
        <v>31620.001059999999</v>
      </c>
      <c r="N575" s="23"/>
      <c r="O575" s="23"/>
      <c r="P575" s="23"/>
      <c r="Q575" s="23"/>
      <c r="R575" s="23"/>
      <c r="S575" s="23"/>
      <c r="T575" s="23"/>
      <c r="U575" s="23"/>
    </row>
    <row r="576" spans="1:21" x14ac:dyDescent="0.2">
      <c r="A576" s="23">
        <v>57</v>
      </c>
      <c r="B576" s="23">
        <v>0</v>
      </c>
      <c r="C576" s="23">
        <v>34.295000000000002</v>
      </c>
      <c r="D576" s="23">
        <v>2</v>
      </c>
      <c r="E576" s="23">
        <v>0</v>
      </c>
      <c r="F576" s="23">
        <v>1</v>
      </c>
      <c r="G576" s="23">
        <v>0</v>
      </c>
      <c r="H576" s="23">
        <v>0</v>
      </c>
      <c r="I576" s="23">
        <v>0</v>
      </c>
      <c r="J576" s="23">
        <v>13224.057049999999</v>
      </c>
      <c r="N576" s="23"/>
      <c r="O576" s="23"/>
      <c r="P576" s="23"/>
      <c r="Q576" s="23"/>
      <c r="R576" s="23"/>
      <c r="S576" s="23"/>
      <c r="T576" s="23"/>
      <c r="U576" s="23"/>
    </row>
    <row r="577" spans="1:21" x14ac:dyDescent="0.2">
      <c r="A577" s="23">
        <v>58</v>
      </c>
      <c r="B577" s="23">
        <v>0</v>
      </c>
      <c r="C577" s="23">
        <v>27.17</v>
      </c>
      <c r="D577" s="23">
        <v>0</v>
      </c>
      <c r="E577" s="23">
        <v>0</v>
      </c>
      <c r="F577" s="23">
        <v>0</v>
      </c>
      <c r="G577" s="23">
        <v>0</v>
      </c>
      <c r="H577" s="23">
        <v>0</v>
      </c>
      <c r="I577" s="23">
        <v>1</v>
      </c>
      <c r="J577" s="23">
        <v>12222.898300000001</v>
      </c>
      <c r="N577" s="23"/>
      <c r="O577" s="23"/>
      <c r="P577" s="23"/>
      <c r="Q577" s="23"/>
      <c r="R577" s="23"/>
      <c r="S577" s="23"/>
      <c r="T577" s="23"/>
      <c r="U577" s="23"/>
    </row>
    <row r="578" spans="1:21" x14ac:dyDescent="0.2">
      <c r="A578" s="23">
        <v>22</v>
      </c>
      <c r="B578" s="23">
        <v>1</v>
      </c>
      <c r="C578" s="23">
        <v>26.84</v>
      </c>
      <c r="D578" s="23">
        <v>0</v>
      </c>
      <c r="E578" s="23">
        <v>0</v>
      </c>
      <c r="F578" s="23">
        <v>0</v>
      </c>
      <c r="G578" s="23">
        <v>1</v>
      </c>
      <c r="H578" s="23">
        <v>0</v>
      </c>
      <c r="I578" s="23">
        <v>0</v>
      </c>
      <c r="J578" s="23">
        <v>1664.9996000000001</v>
      </c>
      <c r="N578" s="23"/>
      <c r="O578" s="23"/>
      <c r="P578" s="23"/>
      <c r="Q578" s="23"/>
      <c r="R578" s="23"/>
      <c r="S578" s="23"/>
      <c r="T578" s="23"/>
      <c r="U578" s="23"/>
    </row>
    <row r="579" spans="1:21" x14ac:dyDescent="0.2">
      <c r="A579" s="23">
        <v>31</v>
      </c>
      <c r="B579" s="23">
        <v>0</v>
      </c>
      <c r="C579" s="23">
        <v>38.094999999999999</v>
      </c>
      <c r="D579" s="23">
        <v>1</v>
      </c>
      <c r="E579" s="23">
        <v>1</v>
      </c>
      <c r="F579" s="23">
        <v>1</v>
      </c>
      <c r="G579" s="23">
        <v>0</v>
      </c>
      <c r="H579" s="23">
        <v>0</v>
      </c>
      <c r="I579" s="23">
        <v>0</v>
      </c>
      <c r="J579" s="23">
        <v>58571.074480000003</v>
      </c>
      <c r="N579" s="23"/>
      <c r="O579" s="23"/>
      <c r="P579" s="23"/>
      <c r="Q579" s="23"/>
      <c r="R579" s="23"/>
      <c r="S579" s="23"/>
      <c r="T579" s="23"/>
      <c r="U579" s="23"/>
    </row>
    <row r="580" spans="1:21" x14ac:dyDescent="0.2">
      <c r="A580" s="23">
        <v>52</v>
      </c>
      <c r="B580" s="23">
        <v>1</v>
      </c>
      <c r="C580" s="23">
        <v>30.2</v>
      </c>
      <c r="D580" s="23">
        <v>1</v>
      </c>
      <c r="E580" s="23">
        <v>0</v>
      </c>
      <c r="F580" s="23">
        <v>0</v>
      </c>
      <c r="G580" s="23">
        <v>0</v>
      </c>
      <c r="H580" s="23">
        <v>1</v>
      </c>
      <c r="I580" s="23">
        <v>0</v>
      </c>
      <c r="J580" s="23">
        <v>9724.5300000000007</v>
      </c>
      <c r="N580" s="23"/>
      <c r="O580" s="23"/>
      <c r="P580" s="23"/>
      <c r="Q580" s="23"/>
      <c r="R580" s="23"/>
      <c r="S580" s="23"/>
      <c r="T580" s="23"/>
      <c r="U580" s="23"/>
    </row>
    <row r="581" spans="1:21" x14ac:dyDescent="0.2">
      <c r="A581" s="23">
        <v>25</v>
      </c>
      <c r="B581" s="23">
        <v>0</v>
      </c>
      <c r="C581" s="23">
        <v>23.465</v>
      </c>
      <c r="D581" s="23">
        <v>0</v>
      </c>
      <c r="E581" s="23">
        <v>0</v>
      </c>
      <c r="F581" s="23">
        <v>1</v>
      </c>
      <c r="G581" s="23">
        <v>0</v>
      </c>
      <c r="H581" s="23">
        <v>0</v>
      </c>
      <c r="I581" s="23">
        <v>0</v>
      </c>
      <c r="J581" s="23">
        <v>3206.4913499999998</v>
      </c>
      <c r="N581" s="23"/>
      <c r="O581" s="23"/>
      <c r="P581" s="23"/>
      <c r="Q581" s="23"/>
      <c r="R581" s="23"/>
      <c r="S581" s="23"/>
      <c r="T581" s="23"/>
      <c r="U581" s="23"/>
    </row>
    <row r="582" spans="1:21" x14ac:dyDescent="0.2">
      <c r="A582" s="23">
        <v>59</v>
      </c>
      <c r="B582" s="23">
        <v>1</v>
      </c>
      <c r="C582" s="23">
        <v>25.46</v>
      </c>
      <c r="D582" s="23">
        <v>1</v>
      </c>
      <c r="E582" s="23">
        <v>0</v>
      </c>
      <c r="F582" s="23">
        <v>1</v>
      </c>
      <c r="G582" s="23">
        <v>0</v>
      </c>
      <c r="H582" s="23">
        <v>0</v>
      </c>
      <c r="I582" s="23">
        <v>0</v>
      </c>
      <c r="J582" s="23">
        <v>12913.992399999999</v>
      </c>
      <c r="N582" s="23"/>
      <c r="O582" s="23"/>
      <c r="P582" s="23"/>
      <c r="Q582" s="23"/>
      <c r="R582" s="23"/>
      <c r="S582" s="23"/>
      <c r="T582" s="23"/>
      <c r="U582" s="23"/>
    </row>
    <row r="583" spans="1:21" x14ac:dyDescent="0.2">
      <c r="A583" s="23">
        <v>19</v>
      </c>
      <c r="B583" s="23">
        <v>1</v>
      </c>
      <c r="C583" s="23">
        <v>30.59</v>
      </c>
      <c r="D583" s="23">
        <v>0</v>
      </c>
      <c r="E583" s="23">
        <v>0</v>
      </c>
      <c r="F583" s="23">
        <v>0</v>
      </c>
      <c r="G583" s="23">
        <v>0</v>
      </c>
      <c r="H583" s="23">
        <v>0</v>
      </c>
      <c r="I583" s="23">
        <v>1</v>
      </c>
      <c r="J583" s="23">
        <v>1639.5631000000001</v>
      </c>
      <c r="N583" s="23"/>
      <c r="O583" s="23"/>
      <c r="P583" s="23"/>
      <c r="Q583" s="23"/>
      <c r="R583" s="23"/>
      <c r="S583" s="23"/>
      <c r="T583" s="23"/>
      <c r="U583" s="23"/>
    </row>
    <row r="584" spans="1:21" x14ac:dyDescent="0.2">
      <c r="A584" s="23">
        <v>39</v>
      </c>
      <c r="B584" s="23">
        <v>1</v>
      </c>
      <c r="C584" s="23">
        <v>45.43</v>
      </c>
      <c r="D584" s="23">
        <v>2</v>
      </c>
      <c r="E584" s="23">
        <v>0</v>
      </c>
      <c r="F584" s="23">
        <v>0</v>
      </c>
      <c r="G584" s="23">
        <v>1</v>
      </c>
      <c r="H584" s="23">
        <v>0</v>
      </c>
      <c r="I584" s="23">
        <v>0</v>
      </c>
      <c r="J584" s="23">
        <v>6356.2707</v>
      </c>
      <c r="N584" s="23"/>
      <c r="O584" s="23"/>
      <c r="P584" s="23"/>
      <c r="Q584" s="23"/>
      <c r="R584" s="23"/>
      <c r="S584" s="23"/>
      <c r="T584" s="23"/>
      <c r="U584" s="23"/>
    </row>
    <row r="585" spans="1:21" x14ac:dyDescent="0.2">
      <c r="A585" s="23">
        <v>32</v>
      </c>
      <c r="B585" s="23">
        <v>0</v>
      </c>
      <c r="C585" s="23">
        <v>23.65</v>
      </c>
      <c r="D585" s="23">
        <v>1</v>
      </c>
      <c r="E585" s="23">
        <v>0</v>
      </c>
      <c r="F585" s="23">
        <v>0</v>
      </c>
      <c r="G585" s="23">
        <v>1</v>
      </c>
      <c r="H585" s="23">
        <v>0</v>
      </c>
      <c r="I585" s="23">
        <v>0</v>
      </c>
      <c r="J585" s="23">
        <v>17626.239509999999</v>
      </c>
      <c r="N585" s="23"/>
      <c r="O585" s="23"/>
      <c r="P585" s="23"/>
      <c r="Q585" s="23"/>
      <c r="R585" s="23"/>
      <c r="S585" s="23"/>
      <c r="T585" s="23"/>
      <c r="U585" s="23"/>
    </row>
    <row r="586" spans="1:21" x14ac:dyDescent="0.2">
      <c r="A586" s="23">
        <v>19</v>
      </c>
      <c r="B586" s="23">
        <v>1</v>
      </c>
      <c r="C586" s="23">
        <v>20.7</v>
      </c>
      <c r="D586" s="23">
        <v>0</v>
      </c>
      <c r="E586" s="23">
        <v>0</v>
      </c>
      <c r="F586" s="23">
        <v>0</v>
      </c>
      <c r="G586" s="23">
        <v>0</v>
      </c>
      <c r="H586" s="23">
        <v>1</v>
      </c>
      <c r="I586" s="23">
        <v>0</v>
      </c>
      <c r="J586" s="23">
        <v>1242.816</v>
      </c>
      <c r="N586" s="23"/>
      <c r="O586" s="23"/>
      <c r="P586" s="23"/>
      <c r="Q586" s="23"/>
      <c r="R586" s="23"/>
      <c r="S586" s="23"/>
      <c r="T586" s="23"/>
      <c r="U586" s="23"/>
    </row>
    <row r="587" spans="1:21" x14ac:dyDescent="0.2">
      <c r="A587" s="23">
        <v>33</v>
      </c>
      <c r="B587" s="23">
        <v>0</v>
      </c>
      <c r="C587" s="23">
        <v>28.27</v>
      </c>
      <c r="D587" s="23">
        <v>1</v>
      </c>
      <c r="E587" s="23">
        <v>0</v>
      </c>
      <c r="F587" s="23">
        <v>0</v>
      </c>
      <c r="G587" s="23">
        <v>1</v>
      </c>
      <c r="H587" s="23">
        <v>0</v>
      </c>
      <c r="I587" s="23">
        <v>0</v>
      </c>
      <c r="J587" s="23">
        <v>4779.6022999999996</v>
      </c>
      <c r="N587" s="23"/>
      <c r="O587" s="23"/>
      <c r="P587" s="23"/>
      <c r="Q587" s="23"/>
      <c r="R587" s="23"/>
      <c r="S587" s="23"/>
      <c r="T587" s="23"/>
      <c r="U587" s="23"/>
    </row>
    <row r="588" spans="1:21" x14ac:dyDescent="0.2">
      <c r="A588" s="23">
        <v>21</v>
      </c>
      <c r="B588" s="23">
        <v>1</v>
      </c>
      <c r="C588" s="23">
        <v>20.234999999999999</v>
      </c>
      <c r="D588" s="23">
        <v>3</v>
      </c>
      <c r="E588" s="23">
        <v>0</v>
      </c>
      <c r="F588" s="23">
        <v>1</v>
      </c>
      <c r="G588" s="23">
        <v>0</v>
      </c>
      <c r="H588" s="23">
        <v>0</v>
      </c>
      <c r="I588" s="23">
        <v>0</v>
      </c>
      <c r="J588" s="23">
        <v>3861.2096499999998</v>
      </c>
      <c r="N588" s="23"/>
      <c r="O588" s="23"/>
      <c r="P588" s="23"/>
      <c r="Q588" s="23"/>
      <c r="R588" s="23"/>
      <c r="S588" s="23"/>
      <c r="T588" s="23"/>
      <c r="U588" s="23"/>
    </row>
    <row r="589" spans="1:21" x14ac:dyDescent="0.2">
      <c r="A589" s="23">
        <v>34</v>
      </c>
      <c r="B589" s="23">
        <v>0</v>
      </c>
      <c r="C589" s="23">
        <v>30.21</v>
      </c>
      <c r="D589" s="23">
        <v>1</v>
      </c>
      <c r="E589" s="23">
        <v>1</v>
      </c>
      <c r="F589" s="23">
        <v>0</v>
      </c>
      <c r="G589" s="23">
        <v>0</v>
      </c>
      <c r="H589" s="23">
        <v>0</v>
      </c>
      <c r="I589" s="23">
        <v>1</v>
      </c>
      <c r="J589" s="23">
        <v>43943.876100000001</v>
      </c>
      <c r="N589" s="23"/>
      <c r="O589" s="23"/>
      <c r="P589" s="23"/>
      <c r="Q589" s="23"/>
      <c r="R589" s="23"/>
      <c r="S589" s="23"/>
      <c r="T589" s="23"/>
      <c r="U589" s="23"/>
    </row>
    <row r="590" spans="1:21" x14ac:dyDescent="0.2">
      <c r="A590" s="23">
        <v>61</v>
      </c>
      <c r="B590" s="23">
        <v>0</v>
      </c>
      <c r="C590" s="23">
        <v>35.909999999999997</v>
      </c>
      <c r="D590" s="23">
        <v>0</v>
      </c>
      <c r="E590" s="23">
        <v>0</v>
      </c>
      <c r="F590" s="23">
        <v>1</v>
      </c>
      <c r="G590" s="23">
        <v>0</v>
      </c>
      <c r="H590" s="23">
        <v>0</v>
      </c>
      <c r="I590" s="23">
        <v>0</v>
      </c>
      <c r="J590" s="23">
        <v>13635.6379</v>
      </c>
      <c r="N590" s="23"/>
      <c r="O590" s="23"/>
      <c r="P590" s="23"/>
      <c r="Q590" s="23"/>
      <c r="R590" s="23"/>
      <c r="S590" s="23"/>
      <c r="T590" s="23"/>
      <c r="U590" s="23"/>
    </row>
    <row r="591" spans="1:21" x14ac:dyDescent="0.2">
      <c r="A591" s="23">
        <v>38</v>
      </c>
      <c r="B591" s="23">
        <v>0</v>
      </c>
      <c r="C591" s="23">
        <v>30.69</v>
      </c>
      <c r="D591" s="23">
        <v>1</v>
      </c>
      <c r="E591" s="23">
        <v>0</v>
      </c>
      <c r="F591" s="23">
        <v>0</v>
      </c>
      <c r="G591" s="23">
        <v>1</v>
      </c>
      <c r="H591" s="23">
        <v>0</v>
      </c>
      <c r="I591" s="23">
        <v>0</v>
      </c>
      <c r="J591" s="23">
        <v>5976.8311000000003</v>
      </c>
      <c r="N591" s="23"/>
      <c r="O591" s="23"/>
      <c r="P591" s="23"/>
      <c r="Q591" s="23"/>
      <c r="R591" s="23"/>
      <c r="S591" s="23"/>
      <c r="T591" s="23"/>
      <c r="U591" s="23"/>
    </row>
    <row r="592" spans="1:21" x14ac:dyDescent="0.2">
      <c r="A592" s="23">
        <v>58</v>
      </c>
      <c r="B592" s="23">
        <v>0</v>
      </c>
      <c r="C592" s="23">
        <v>29</v>
      </c>
      <c r="D592" s="23">
        <v>0</v>
      </c>
      <c r="E592" s="23">
        <v>0</v>
      </c>
      <c r="F592" s="23">
        <v>0</v>
      </c>
      <c r="G592" s="23">
        <v>0</v>
      </c>
      <c r="H592" s="23">
        <v>1</v>
      </c>
      <c r="I592" s="23">
        <v>0</v>
      </c>
      <c r="J592" s="23">
        <v>11842.441999999999</v>
      </c>
      <c r="N592" s="23"/>
      <c r="O592" s="23"/>
      <c r="P592" s="23"/>
      <c r="Q592" s="23"/>
      <c r="R592" s="23"/>
      <c r="S592" s="23"/>
      <c r="T592" s="23"/>
      <c r="U592" s="23"/>
    </row>
    <row r="593" spans="1:21" x14ac:dyDescent="0.2">
      <c r="A593" s="23">
        <v>47</v>
      </c>
      <c r="B593" s="23">
        <v>1</v>
      </c>
      <c r="C593" s="23">
        <v>19.57</v>
      </c>
      <c r="D593" s="23">
        <v>1</v>
      </c>
      <c r="E593" s="23">
        <v>0</v>
      </c>
      <c r="F593" s="23">
        <v>0</v>
      </c>
      <c r="G593" s="23">
        <v>0</v>
      </c>
      <c r="H593" s="23">
        <v>0</v>
      </c>
      <c r="I593" s="23">
        <v>1</v>
      </c>
      <c r="J593" s="23">
        <v>8428.0692999999992</v>
      </c>
      <c r="N593" s="23"/>
      <c r="O593" s="23"/>
      <c r="P593" s="23"/>
      <c r="Q593" s="23"/>
      <c r="R593" s="23"/>
      <c r="S593" s="23"/>
      <c r="T593" s="23"/>
      <c r="U593" s="23"/>
    </row>
    <row r="594" spans="1:21" x14ac:dyDescent="0.2">
      <c r="A594" s="23">
        <v>20</v>
      </c>
      <c r="B594" s="23">
        <v>1</v>
      </c>
      <c r="C594" s="23">
        <v>31.13</v>
      </c>
      <c r="D594" s="23">
        <v>2</v>
      </c>
      <c r="E594" s="23">
        <v>0</v>
      </c>
      <c r="F594" s="23">
        <v>0</v>
      </c>
      <c r="G594" s="23">
        <v>1</v>
      </c>
      <c r="H594" s="23">
        <v>0</v>
      </c>
      <c r="I594" s="23">
        <v>0</v>
      </c>
      <c r="J594" s="23">
        <v>2566.4706999999999</v>
      </c>
      <c r="N594" s="23"/>
      <c r="O594" s="23"/>
      <c r="P594" s="23"/>
      <c r="Q594" s="23"/>
      <c r="R594" s="23"/>
      <c r="S594" s="23"/>
      <c r="T594" s="23"/>
      <c r="U594" s="23"/>
    </row>
    <row r="595" spans="1:21" x14ac:dyDescent="0.2">
      <c r="A595" s="23">
        <v>21</v>
      </c>
      <c r="B595" s="23">
        <v>0</v>
      </c>
      <c r="C595" s="23">
        <v>21.85</v>
      </c>
      <c r="D595" s="23">
        <v>1</v>
      </c>
      <c r="E595" s="23">
        <v>1</v>
      </c>
      <c r="F595" s="23">
        <v>1</v>
      </c>
      <c r="G595" s="23">
        <v>0</v>
      </c>
      <c r="H595" s="23">
        <v>0</v>
      </c>
      <c r="I595" s="23">
        <v>0</v>
      </c>
      <c r="J595" s="23">
        <v>15359.104499999999</v>
      </c>
      <c r="N595" s="23"/>
      <c r="O595" s="23"/>
      <c r="P595" s="23"/>
      <c r="Q595" s="23"/>
      <c r="R595" s="23"/>
      <c r="S595" s="23"/>
      <c r="T595" s="23"/>
      <c r="U595" s="23"/>
    </row>
    <row r="596" spans="1:21" x14ac:dyDescent="0.2">
      <c r="A596" s="23">
        <v>41</v>
      </c>
      <c r="B596" s="23">
        <v>1</v>
      </c>
      <c r="C596" s="23">
        <v>40.26</v>
      </c>
      <c r="D596" s="23">
        <v>0</v>
      </c>
      <c r="E596" s="23">
        <v>0</v>
      </c>
      <c r="F596" s="23">
        <v>0</v>
      </c>
      <c r="G596" s="23">
        <v>1</v>
      </c>
      <c r="H596" s="23">
        <v>0</v>
      </c>
      <c r="I596" s="23">
        <v>0</v>
      </c>
      <c r="J596" s="23">
        <v>5709.1643999999997</v>
      </c>
      <c r="N596" s="23"/>
      <c r="O596" s="23"/>
      <c r="P596" s="23"/>
      <c r="Q596" s="23"/>
      <c r="R596" s="23"/>
      <c r="S596" s="23"/>
      <c r="T596" s="23"/>
      <c r="U596" s="23"/>
    </row>
    <row r="597" spans="1:21" x14ac:dyDescent="0.2">
      <c r="A597" s="23">
        <v>46</v>
      </c>
      <c r="B597" s="23">
        <v>0</v>
      </c>
      <c r="C597" s="23">
        <v>33.725000000000001</v>
      </c>
      <c r="D597" s="23">
        <v>1</v>
      </c>
      <c r="E597" s="23">
        <v>0</v>
      </c>
      <c r="F597" s="23">
        <v>1</v>
      </c>
      <c r="G597" s="23">
        <v>0</v>
      </c>
      <c r="H597" s="23">
        <v>0</v>
      </c>
      <c r="I597" s="23">
        <v>0</v>
      </c>
      <c r="J597" s="23">
        <v>8823.9857499999998</v>
      </c>
      <c r="N597" s="23"/>
      <c r="O597" s="23"/>
      <c r="P597" s="23"/>
      <c r="Q597" s="23"/>
      <c r="R597" s="23"/>
      <c r="S597" s="23"/>
      <c r="T597" s="23"/>
      <c r="U597" s="23"/>
    </row>
    <row r="598" spans="1:21" x14ac:dyDescent="0.2">
      <c r="A598" s="23">
        <v>42</v>
      </c>
      <c r="B598" s="23">
        <v>0</v>
      </c>
      <c r="C598" s="23">
        <v>29.48</v>
      </c>
      <c r="D598" s="23">
        <v>2</v>
      </c>
      <c r="E598" s="23">
        <v>0</v>
      </c>
      <c r="F598" s="23">
        <v>0</v>
      </c>
      <c r="G598" s="23">
        <v>1</v>
      </c>
      <c r="H598" s="23">
        <v>0</v>
      </c>
      <c r="I598" s="23">
        <v>0</v>
      </c>
      <c r="J598" s="23">
        <v>7640.3091999999997</v>
      </c>
      <c r="N598" s="23"/>
      <c r="O598" s="23"/>
      <c r="P598" s="23"/>
      <c r="Q598" s="23"/>
      <c r="R598" s="23"/>
      <c r="S598" s="23"/>
      <c r="T598" s="23"/>
      <c r="U598" s="23"/>
    </row>
    <row r="599" spans="1:21" x14ac:dyDescent="0.2">
      <c r="A599" s="23">
        <v>34</v>
      </c>
      <c r="B599" s="23">
        <v>0</v>
      </c>
      <c r="C599" s="23">
        <v>33.25</v>
      </c>
      <c r="D599" s="23">
        <v>1</v>
      </c>
      <c r="E599" s="23">
        <v>0</v>
      </c>
      <c r="F599" s="23">
        <v>1</v>
      </c>
      <c r="G599" s="23">
        <v>0</v>
      </c>
      <c r="H599" s="23">
        <v>0</v>
      </c>
      <c r="I599" s="23">
        <v>0</v>
      </c>
      <c r="J599" s="23">
        <v>5594.8455000000004</v>
      </c>
      <c r="N599" s="23"/>
      <c r="O599" s="23"/>
      <c r="P599" s="23"/>
      <c r="Q599" s="23"/>
      <c r="R599" s="23"/>
      <c r="S599" s="23"/>
      <c r="T599" s="23"/>
      <c r="U599" s="23"/>
    </row>
    <row r="600" spans="1:21" x14ac:dyDescent="0.2">
      <c r="A600" s="23">
        <v>43</v>
      </c>
      <c r="B600" s="23">
        <v>1</v>
      </c>
      <c r="C600" s="23">
        <v>32.6</v>
      </c>
      <c r="D600" s="23">
        <v>2</v>
      </c>
      <c r="E600" s="23">
        <v>0</v>
      </c>
      <c r="F600" s="23">
        <v>0</v>
      </c>
      <c r="G600" s="23">
        <v>0</v>
      </c>
      <c r="H600" s="23">
        <v>1</v>
      </c>
      <c r="I600" s="23">
        <v>0</v>
      </c>
      <c r="J600" s="23">
        <v>7441.5010000000002</v>
      </c>
      <c r="N600" s="23"/>
      <c r="O600" s="23"/>
      <c r="P600" s="23"/>
      <c r="Q600" s="23"/>
      <c r="R600" s="23"/>
      <c r="S600" s="23"/>
      <c r="T600" s="23"/>
      <c r="U600" s="23"/>
    </row>
    <row r="601" spans="1:21" x14ac:dyDescent="0.2">
      <c r="A601" s="23">
        <v>52</v>
      </c>
      <c r="B601" s="23">
        <v>0</v>
      </c>
      <c r="C601" s="23">
        <v>37.524999999999999</v>
      </c>
      <c r="D601" s="23">
        <v>2</v>
      </c>
      <c r="E601" s="23">
        <v>0</v>
      </c>
      <c r="F601" s="23">
        <v>0</v>
      </c>
      <c r="G601" s="23">
        <v>0</v>
      </c>
      <c r="H601" s="23">
        <v>0</v>
      </c>
      <c r="I601" s="23">
        <v>1</v>
      </c>
      <c r="J601" s="23">
        <v>33471.971890000001</v>
      </c>
      <c r="N601" s="23"/>
      <c r="O601" s="23"/>
      <c r="P601" s="23"/>
      <c r="Q601" s="23"/>
      <c r="R601" s="23"/>
      <c r="S601" s="23"/>
      <c r="T601" s="23"/>
      <c r="U601" s="23"/>
    </row>
    <row r="602" spans="1:21" x14ac:dyDescent="0.2">
      <c r="A602" s="23">
        <v>18</v>
      </c>
      <c r="B602" s="23">
        <v>0</v>
      </c>
      <c r="C602" s="23">
        <v>39.159999999999997</v>
      </c>
      <c r="D602" s="23">
        <v>0</v>
      </c>
      <c r="E602" s="23">
        <v>0</v>
      </c>
      <c r="F602" s="23">
        <v>0</v>
      </c>
      <c r="G602" s="23">
        <v>1</v>
      </c>
      <c r="H602" s="23">
        <v>0</v>
      </c>
      <c r="I602" s="23">
        <v>0</v>
      </c>
      <c r="J602" s="23">
        <v>1633.0444</v>
      </c>
      <c r="N602" s="23"/>
      <c r="O602" s="23"/>
      <c r="P602" s="23"/>
      <c r="Q602" s="23"/>
      <c r="R602" s="23"/>
      <c r="S602" s="23"/>
      <c r="T602" s="23"/>
      <c r="U602" s="23"/>
    </row>
    <row r="603" spans="1:21" x14ac:dyDescent="0.2">
      <c r="A603" s="23">
        <v>51</v>
      </c>
      <c r="B603" s="23">
        <v>1</v>
      </c>
      <c r="C603" s="23">
        <v>31.635000000000002</v>
      </c>
      <c r="D603" s="23">
        <v>0</v>
      </c>
      <c r="E603" s="23">
        <v>0</v>
      </c>
      <c r="F603" s="23">
        <v>0</v>
      </c>
      <c r="G603" s="23">
        <v>0</v>
      </c>
      <c r="H603" s="23">
        <v>0</v>
      </c>
      <c r="I603" s="23">
        <v>1</v>
      </c>
      <c r="J603" s="23">
        <v>9174.1356500000002</v>
      </c>
      <c r="N603" s="23"/>
      <c r="O603" s="23"/>
      <c r="P603" s="23"/>
      <c r="Q603" s="23"/>
      <c r="R603" s="23"/>
      <c r="S603" s="23"/>
      <c r="T603" s="23"/>
      <c r="U603" s="23"/>
    </row>
    <row r="604" spans="1:21" x14ac:dyDescent="0.2">
      <c r="A604" s="23">
        <v>56</v>
      </c>
      <c r="B604" s="23">
        <v>0</v>
      </c>
      <c r="C604" s="23">
        <v>25.3</v>
      </c>
      <c r="D604" s="23">
        <v>0</v>
      </c>
      <c r="E604" s="23">
        <v>0</v>
      </c>
      <c r="F604" s="23">
        <v>0</v>
      </c>
      <c r="G604" s="23">
        <v>0</v>
      </c>
      <c r="H604" s="23">
        <v>1</v>
      </c>
      <c r="I604" s="23">
        <v>0</v>
      </c>
      <c r="J604" s="23">
        <v>11070.535</v>
      </c>
      <c r="N604" s="23"/>
      <c r="O604" s="23"/>
      <c r="P604" s="23"/>
      <c r="Q604" s="23"/>
      <c r="R604" s="23"/>
      <c r="S604" s="23"/>
      <c r="T604" s="23"/>
      <c r="U604" s="23"/>
    </row>
    <row r="605" spans="1:21" x14ac:dyDescent="0.2">
      <c r="A605" s="23">
        <v>64</v>
      </c>
      <c r="B605" s="23">
        <v>0</v>
      </c>
      <c r="C605" s="23">
        <v>39.049999999999997</v>
      </c>
      <c r="D605" s="23">
        <v>3</v>
      </c>
      <c r="E605" s="23">
        <v>0</v>
      </c>
      <c r="F605" s="23">
        <v>0</v>
      </c>
      <c r="G605" s="23">
        <v>1</v>
      </c>
      <c r="H605" s="23">
        <v>0</v>
      </c>
      <c r="I605" s="23">
        <v>0</v>
      </c>
      <c r="J605" s="23">
        <v>16085.127500000001</v>
      </c>
      <c r="N605" s="23"/>
      <c r="O605" s="23"/>
      <c r="P605" s="23"/>
      <c r="Q605" s="23"/>
      <c r="R605" s="23"/>
      <c r="S605" s="23"/>
      <c r="T605" s="23"/>
      <c r="U605" s="23"/>
    </row>
    <row r="606" spans="1:21" x14ac:dyDescent="0.2">
      <c r="A606" s="23">
        <v>19</v>
      </c>
      <c r="B606" s="23">
        <v>0</v>
      </c>
      <c r="C606" s="23">
        <v>28.31</v>
      </c>
      <c r="D606" s="23">
        <v>0</v>
      </c>
      <c r="E606" s="23">
        <v>1</v>
      </c>
      <c r="F606" s="23">
        <v>0</v>
      </c>
      <c r="G606" s="23">
        <v>0</v>
      </c>
      <c r="H606" s="23">
        <v>0</v>
      </c>
      <c r="I606" s="23">
        <v>1</v>
      </c>
      <c r="J606" s="23">
        <v>17468.983899999999</v>
      </c>
      <c r="N606" s="23"/>
      <c r="O606" s="23"/>
      <c r="P606" s="23"/>
      <c r="Q606" s="23"/>
      <c r="R606" s="23"/>
      <c r="S606" s="23"/>
      <c r="T606" s="23"/>
      <c r="U606" s="23"/>
    </row>
    <row r="607" spans="1:21" x14ac:dyDescent="0.2">
      <c r="A607" s="23">
        <v>51</v>
      </c>
      <c r="B607" s="23">
        <v>0</v>
      </c>
      <c r="C607" s="23">
        <v>34.1</v>
      </c>
      <c r="D607" s="23">
        <v>0</v>
      </c>
      <c r="E607" s="23">
        <v>0</v>
      </c>
      <c r="F607" s="23">
        <v>0</v>
      </c>
      <c r="G607" s="23">
        <v>1</v>
      </c>
      <c r="H607" s="23">
        <v>0</v>
      </c>
      <c r="I607" s="23">
        <v>0</v>
      </c>
      <c r="J607" s="23">
        <v>9283.5619999999999</v>
      </c>
      <c r="N607" s="23"/>
      <c r="O607" s="23"/>
      <c r="P607" s="23"/>
      <c r="Q607" s="23"/>
      <c r="R607" s="23"/>
      <c r="S607" s="23"/>
      <c r="T607" s="23"/>
      <c r="U607" s="23"/>
    </row>
    <row r="608" spans="1:21" x14ac:dyDescent="0.2">
      <c r="A608" s="23">
        <v>27</v>
      </c>
      <c r="B608" s="23">
        <v>0</v>
      </c>
      <c r="C608" s="23">
        <v>25.175000000000001</v>
      </c>
      <c r="D608" s="23">
        <v>0</v>
      </c>
      <c r="E608" s="23">
        <v>0</v>
      </c>
      <c r="F608" s="23">
        <v>1</v>
      </c>
      <c r="G608" s="23">
        <v>0</v>
      </c>
      <c r="H608" s="23">
        <v>0</v>
      </c>
      <c r="I608" s="23">
        <v>0</v>
      </c>
      <c r="J608" s="23">
        <v>3558.6202499999999</v>
      </c>
      <c r="N608" s="23"/>
      <c r="O608" s="23"/>
      <c r="P608" s="23"/>
      <c r="Q608" s="23"/>
      <c r="R608" s="23"/>
      <c r="S608" s="23"/>
      <c r="T608" s="23"/>
      <c r="U608" s="23"/>
    </row>
    <row r="609" spans="1:21" x14ac:dyDescent="0.2">
      <c r="A609" s="23">
        <v>59</v>
      </c>
      <c r="B609" s="23">
        <v>0</v>
      </c>
      <c r="C609" s="23">
        <v>23.655000000000001</v>
      </c>
      <c r="D609" s="23">
        <v>0</v>
      </c>
      <c r="E609" s="23">
        <v>1</v>
      </c>
      <c r="F609" s="23">
        <v>0</v>
      </c>
      <c r="G609" s="23">
        <v>0</v>
      </c>
      <c r="H609" s="23">
        <v>0</v>
      </c>
      <c r="I609" s="23">
        <v>1</v>
      </c>
      <c r="J609" s="23">
        <v>25678.778450000002</v>
      </c>
      <c r="N609" s="23"/>
      <c r="O609" s="23"/>
      <c r="P609" s="23"/>
      <c r="Q609" s="23"/>
      <c r="R609" s="23"/>
      <c r="S609" s="23"/>
      <c r="T609" s="23"/>
      <c r="U609" s="23"/>
    </row>
    <row r="610" spans="1:21" x14ac:dyDescent="0.2">
      <c r="A610" s="23">
        <v>28</v>
      </c>
      <c r="B610" s="23">
        <v>1</v>
      </c>
      <c r="C610" s="23">
        <v>26.98</v>
      </c>
      <c r="D610" s="23">
        <v>2</v>
      </c>
      <c r="E610" s="23">
        <v>0</v>
      </c>
      <c r="F610" s="23">
        <v>1</v>
      </c>
      <c r="G610" s="23">
        <v>0</v>
      </c>
      <c r="H610" s="23">
        <v>0</v>
      </c>
      <c r="I610" s="23">
        <v>0</v>
      </c>
      <c r="J610" s="23">
        <v>4435.0941999999995</v>
      </c>
      <c r="N610" s="23"/>
      <c r="O610" s="23"/>
      <c r="P610" s="23"/>
      <c r="Q610" s="23"/>
      <c r="R610" s="23"/>
      <c r="S610" s="23"/>
      <c r="T610" s="23"/>
      <c r="U610" s="23"/>
    </row>
    <row r="611" spans="1:21" x14ac:dyDescent="0.2">
      <c r="A611" s="23">
        <v>30</v>
      </c>
      <c r="B611" s="23">
        <v>1</v>
      </c>
      <c r="C611" s="23">
        <v>37.799999999999997</v>
      </c>
      <c r="D611" s="23">
        <v>2</v>
      </c>
      <c r="E611" s="23">
        <v>1</v>
      </c>
      <c r="F611" s="23">
        <v>0</v>
      </c>
      <c r="G611" s="23">
        <v>0</v>
      </c>
      <c r="H611" s="23">
        <v>1</v>
      </c>
      <c r="I611" s="23">
        <v>0</v>
      </c>
      <c r="J611" s="23">
        <v>39241.442000000003</v>
      </c>
      <c r="N611" s="23"/>
      <c r="O611" s="23"/>
      <c r="P611" s="23"/>
      <c r="Q611" s="23"/>
      <c r="R611" s="23"/>
      <c r="S611" s="23"/>
      <c r="T611" s="23"/>
      <c r="U611" s="23"/>
    </row>
    <row r="612" spans="1:21" x14ac:dyDescent="0.2">
      <c r="A612" s="23">
        <v>47</v>
      </c>
      <c r="B612" s="23">
        <v>0</v>
      </c>
      <c r="C612" s="23">
        <v>29.37</v>
      </c>
      <c r="D612" s="23">
        <v>1</v>
      </c>
      <c r="E612" s="23">
        <v>0</v>
      </c>
      <c r="F612" s="23">
        <v>0</v>
      </c>
      <c r="G612" s="23">
        <v>1</v>
      </c>
      <c r="H612" s="23">
        <v>0</v>
      </c>
      <c r="I612" s="23">
        <v>0</v>
      </c>
      <c r="J612" s="23">
        <v>8547.6913000000004</v>
      </c>
      <c r="N612" s="23"/>
      <c r="O612" s="23"/>
      <c r="P612" s="23"/>
      <c r="Q612" s="23"/>
      <c r="R612" s="23"/>
      <c r="S612" s="23"/>
      <c r="T612" s="23"/>
      <c r="U612" s="23"/>
    </row>
    <row r="613" spans="1:21" x14ac:dyDescent="0.2">
      <c r="A613" s="23">
        <v>38</v>
      </c>
      <c r="B613" s="23">
        <v>0</v>
      </c>
      <c r="C613" s="23">
        <v>34.799999999999997</v>
      </c>
      <c r="D613" s="23">
        <v>2</v>
      </c>
      <c r="E613" s="23">
        <v>0</v>
      </c>
      <c r="F613" s="23">
        <v>0</v>
      </c>
      <c r="G613" s="23">
        <v>0</v>
      </c>
      <c r="H613" s="23">
        <v>1</v>
      </c>
      <c r="I613" s="23">
        <v>0</v>
      </c>
      <c r="J613" s="23">
        <v>6571.5439999999999</v>
      </c>
      <c r="N613" s="23"/>
      <c r="O613" s="23"/>
      <c r="P613" s="23"/>
      <c r="Q613" s="23"/>
      <c r="R613" s="23"/>
      <c r="S613" s="23"/>
      <c r="T613" s="23"/>
      <c r="U613" s="23"/>
    </row>
    <row r="614" spans="1:21" x14ac:dyDescent="0.2">
      <c r="A614" s="23">
        <v>18</v>
      </c>
      <c r="B614" s="23">
        <v>0</v>
      </c>
      <c r="C614" s="23">
        <v>33.155000000000001</v>
      </c>
      <c r="D614" s="23">
        <v>0</v>
      </c>
      <c r="E614" s="23">
        <v>0</v>
      </c>
      <c r="F614" s="23">
        <v>1</v>
      </c>
      <c r="G614" s="23">
        <v>0</v>
      </c>
      <c r="H614" s="23">
        <v>0</v>
      </c>
      <c r="I614" s="23">
        <v>0</v>
      </c>
      <c r="J614" s="23">
        <v>2207.6974500000001</v>
      </c>
      <c r="N614" s="23"/>
      <c r="O614" s="23"/>
      <c r="P614" s="23"/>
      <c r="Q614" s="23"/>
      <c r="R614" s="23"/>
      <c r="S614" s="23"/>
      <c r="T614" s="23"/>
      <c r="U614" s="23"/>
    </row>
    <row r="615" spans="1:21" x14ac:dyDescent="0.2">
      <c r="A615" s="23">
        <v>34</v>
      </c>
      <c r="B615" s="23">
        <v>0</v>
      </c>
      <c r="C615" s="23">
        <v>19</v>
      </c>
      <c r="D615" s="23">
        <v>3</v>
      </c>
      <c r="E615" s="23">
        <v>0</v>
      </c>
      <c r="F615" s="23">
        <v>1</v>
      </c>
      <c r="G615" s="23">
        <v>0</v>
      </c>
      <c r="H615" s="23">
        <v>0</v>
      </c>
      <c r="I615" s="23">
        <v>0</v>
      </c>
      <c r="J615" s="23">
        <v>6753.0379999999996</v>
      </c>
      <c r="N615" s="23"/>
      <c r="O615" s="23"/>
      <c r="P615" s="23"/>
      <c r="Q615" s="23"/>
      <c r="R615" s="23"/>
      <c r="S615" s="23"/>
      <c r="T615" s="23"/>
      <c r="U615" s="23"/>
    </row>
    <row r="616" spans="1:21" x14ac:dyDescent="0.2">
      <c r="A616" s="23">
        <v>20</v>
      </c>
      <c r="B616" s="23">
        <v>0</v>
      </c>
      <c r="C616" s="23">
        <v>33</v>
      </c>
      <c r="D616" s="23">
        <v>0</v>
      </c>
      <c r="E616" s="23">
        <v>0</v>
      </c>
      <c r="F616" s="23">
        <v>0</v>
      </c>
      <c r="G616" s="23">
        <v>1</v>
      </c>
      <c r="H616" s="23">
        <v>0</v>
      </c>
      <c r="I616" s="23">
        <v>0</v>
      </c>
      <c r="J616" s="23">
        <v>1880.07</v>
      </c>
      <c r="N616" s="23"/>
      <c r="O616" s="23"/>
      <c r="P616" s="23"/>
      <c r="Q616" s="23"/>
      <c r="R616" s="23"/>
      <c r="S616" s="23"/>
      <c r="T616" s="23"/>
      <c r="U616" s="23"/>
    </row>
    <row r="617" spans="1:21" x14ac:dyDescent="0.2">
      <c r="A617" s="23">
        <v>47</v>
      </c>
      <c r="B617" s="23">
        <v>0</v>
      </c>
      <c r="C617" s="23">
        <v>36.630000000000003</v>
      </c>
      <c r="D617" s="23">
        <v>1</v>
      </c>
      <c r="E617" s="23">
        <v>1</v>
      </c>
      <c r="F617" s="23">
        <v>0</v>
      </c>
      <c r="G617" s="23">
        <v>1</v>
      </c>
      <c r="H617" s="23">
        <v>0</v>
      </c>
      <c r="I617" s="23">
        <v>0</v>
      </c>
      <c r="J617" s="23">
        <v>42969.852700000003</v>
      </c>
      <c r="N617" s="23"/>
      <c r="O617" s="23"/>
      <c r="P617" s="23"/>
      <c r="Q617" s="23"/>
      <c r="R617" s="23"/>
      <c r="S617" s="23"/>
      <c r="T617" s="23"/>
      <c r="U617" s="23"/>
    </row>
    <row r="618" spans="1:21" x14ac:dyDescent="0.2">
      <c r="A618" s="23">
        <v>56</v>
      </c>
      <c r="B618" s="23">
        <v>0</v>
      </c>
      <c r="C618" s="23">
        <v>28.594999999999999</v>
      </c>
      <c r="D618" s="23">
        <v>0</v>
      </c>
      <c r="E618" s="23">
        <v>0</v>
      </c>
      <c r="F618" s="23">
        <v>1</v>
      </c>
      <c r="G618" s="23">
        <v>0</v>
      </c>
      <c r="H618" s="23">
        <v>0</v>
      </c>
      <c r="I618" s="23">
        <v>0</v>
      </c>
      <c r="J618" s="23">
        <v>11658.11505</v>
      </c>
      <c r="N618" s="23"/>
      <c r="O618" s="23"/>
      <c r="P618" s="23"/>
      <c r="Q618" s="23"/>
      <c r="R618" s="23"/>
      <c r="S618" s="23"/>
      <c r="T618" s="23"/>
      <c r="U618" s="23"/>
    </row>
    <row r="619" spans="1:21" x14ac:dyDescent="0.2">
      <c r="A619" s="23">
        <v>49</v>
      </c>
      <c r="B619" s="23">
        <v>1</v>
      </c>
      <c r="C619" s="23">
        <v>25.6</v>
      </c>
      <c r="D619" s="23">
        <v>2</v>
      </c>
      <c r="E619" s="23">
        <v>1</v>
      </c>
      <c r="F619" s="23">
        <v>0</v>
      </c>
      <c r="G619" s="23">
        <v>0</v>
      </c>
      <c r="H619" s="23">
        <v>1</v>
      </c>
      <c r="I619" s="23">
        <v>0</v>
      </c>
      <c r="J619" s="23">
        <v>23306.546999999999</v>
      </c>
      <c r="N619" s="23"/>
      <c r="O619" s="23"/>
      <c r="P619" s="23"/>
      <c r="Q619" s="23"/>
      <c r="R619" s="23"/>
      <c r="S619" s="23"/>
      <c r="T619" s="23"/>
      <c r="U619" s="23"/>
    </row>
    <row r="620" spans="1:21" x14ac:dyDescent="0.2">
      <c r="A620" s="23">
        <v>19</v>
      </c>
      <c r="B620" s="23">
        <v>0</v>
      </c>
      <c r="C620" s="23">
        <v>33.11</v>
      </c>
      <c r="D620" s="23">
        <v>0</v>
      </c>
      <c r="E620" s="23">
        <v>1</v>
      </c>
      <c r="F620" s="23">
        <v>0</v>
      </c>
      <c r="G620" s="23">
        <v>1</v>
      </c>
      <c r="H620" s="23">
        <v>0</v>
      </c>
      <c r="I620" s="23">
        <v>0</v>
      </c>
      <c r="J620" s="23">
        <v>34439.855900000002</v>
      </c>
      <c r="N620" s="23"/>
      <c r="O620" s="23"/>
      <c r="P620" s="23"/>
      <c r="Q620" s="23"/>
      <c r="R620" s="23"/>
      <c r="S620" s="23"/>
      <c r="T620" s="23"/>
      <c r="U620" s="23"/>
    </row>
    <row r="621" spans="1:21" x14ac:dyDescent="0.2">
      <c r="A621" s="23">
        <v>55</v>
      </c>
      <c r="B621" s="23">
        <v>0</v>
      </c>
      <c r="C621" s="23">
        <v>37.1</v>
      </c>
      <c r="D621" s="23">
        <v>0</v>
      </c>
      <c r="E621" s="23">
        <v>0</v>
      </c>
      <c r="F621" s="23">
        <v>0</v>
      </c>
      <c r="G621" s="23">
        <v>0</v>
      </c>
      <c r="H621" s="23">
        <v>1</v>
      </c>
      <c r="I621" s="23">
        <v>0</v>
      </c>
      <c r="J621" s="23">
        <v>10713.644</v>
      </c>
      <c r="N621" s="23"/>
      <c r="O621" s="23"/>
      <c r="P621" s="23"/>
      <c r="Q621" s="23"/>
      <c r="R621" s="23"/>
      <c r="S621" s="23"/>
      <c r="T621" s="23"/>
      <c r="U621" s="23"/>
    </row>
    <row r="622" spans="1:21" x14ac:dyDescent="0.2">
      <c r="A622" s="23">
        <v>30</v>
      </c>
      <c r="B622" s="23">
        <v>1</v>
      </c>
      <c r="C622" s="23">
        <v>31.4</v>
      </c>
      <c r="D622" s="23">
        <v>1</v>
      </c>
      <c r="E622" s="23">
        <v>0</v>
      </c>
      <c r="F622" s="23">
        <v>0</v>
      </c>
      <c r="G622" s="23">
        <v>0</v>
      </c>
      <c r="H622" s="23">
        <v>1</v>
      </c>
      <c r="I622" s="23">
        <v>0</v>
      </c>
      <c r="J622" s="23">
        <v>3659.346</v>
      </c>
      <c r="N622" s="23"/>
      <c r="O622" s="23"/>
      <c r="P622" s="23"/>
      <c r="Q622" s="23"/>
      <c r="R622" s="23"/>
      <c r="S622" s="23"/>
      <c r="T622" s="23"/>
      <c r="U622" s="23"/>
    </row>
    <row r="623" spans="1:21" x14ac:dyDescent="0.2">
      <c r="A623" s="23">
        <v>37</v>
      </c>
      <c r="B623" s="23">
        <v>1</v>
      </c>
      <c r="C623" s="23">
        <v>34.1</v>
      </c>
      <c r="D623" s="23">
        <v>4</v>
      </c>
      <c r="E623" s="23">
        <v>1</v>
      </c>
      <c r="F623" s="23">
        <v>0</v>
      </c>
      <c r="G623" s="23">
        <v>0</v>
      </c>
      <c r="H623" s="23">
        <v>1</v>
      </c>
      <c r="I623" s="23">
        <v>0</v>
      </c>
      <c r="J623" s="23">
        <v>40182.245999999999</v>
      </c>
      <c r="N623" s="23"/>
      <c r="O623" s="23"/>
      <c r="P623" s="23"/>
      <c r="Q623" s="23"/>
      <c r="R623" s="23"/>
      <c r="S623" s="23"/>
      <c r="T623" s="23"/>
      <c r="U623" s="23"/>
    </row>
    <row r="624" spans="1:21" x14ac:dyDescent="0.2">
      <c r="A624" s="23">
        <v>49</v>
      </c>
      <c r="B624" s="23">
        <v>0</v>
      </c>
      <c r="C624" s="23">
        <v>21.3</v>
      </c>
      <c r="D624" s="23">
        <v>1</v>
      </c>
      <c r="E624" s="23">
        <v>0</v>
      </c>
      <c r="F624" s="23">
        <v>0</v>
      </c>
      <c r="G624" s="23">
        <v>0</v>
      </c>
      <c r="H624" s="23">
        <v>1</v>
      </c>
      <c r="I624" s="23">
        <v>0</v>
      </c>
      <c r="J624" s="23">
        <v>9182.17</v>
      </c>
      <c r="N624" s="23"/>
      <c r="O624" s="23"/>
      <c r="P624" s="23"/>
      <c r="Q624" s="23"/>
      <c r="R624" s="23"/>
      <c r="S624" s="23"/>
      <c r="T624" s="23"/>
      <c r="U624" s="23"/>
    </row>
    <row r="625" spans="1:21" x14ac:dyDescent="0.2">
      <c r="A625" s="23">
        <v>18</v>
      </c>
      <c r="B625" s="23">
        <v>1</v>
      </c>
      <c r="C625" s="23">
        <v>33.534999999999997</v>
      </c>
      <c r="D625" s="23">
        <v>0</v>
      </c>
      <c r="E625" s="23">
        <v>1</v>
      </c>
      <c r="F625" s="23">
        <v>1</v>
      </c>
      <c r="G625" s="23">
        <v>0</v>
      </c>
      <c r="H625" s="23">
        <v>0</v>
      </c>
      <c r="I625" s="23">
        <v>0</v>
      </c>
      <c r="J625" s="23">
        <v>34617.840649999998</v>
      </c>
      <c r="N625" s="23"/>
      <c r="O625" s="23"/>
      <c r="P625" s="23"/>
      <c r="Q625" s="23"/>
      <c r="R625" s="23"/>
      <c r="S625" s="23"/>
      <c r="T625" s="23"/>
      <c r="U625" s="23"/>
    </row>
    <row r="626" spans="1:21" x14ac:dyDescent="0.2">
      <c r="A626" s="23">
        <v>59</v>
      </c>
      <c r="B626" s="23">
        <v>1</v>
      </c>
      <c r="C626" s="23">
        <v>28.785</v>
      </c>
      <c r="D626" s="23">
        <v>0</v>
      </c>
      <c r="E626" s="23">
        <v>0</v>
      </c>
      <c r="F626" s="23">
        <v>0</v>
      </c>
      <c r="G626" s="23">
        <v>0</v>
      </c>
      <c r="H626" s="23">
        <v>0</v>
      </c>
      <c r="I626" s="23">
        <v>1</v>
      </c>
      <c r="J626" s="23">
        <v>12129.614149999999</v>
      </c>
      <c r="N626" s="23"/>
      <c r="O626" s="23"/>
      <c r="P626" s="23"/>
      <c r="Q626" s="23"/>
      <c r="R626" s="23"/>
      <c r="S626" s="23"/>
      <c r="T626" s="23"/>
      <c r="U626" s="23"/>
    </row>
    <row r="627" spans="1:21" x14ac:dyDescent="0.2">
      <c r="A627" s="23">
        <v>29</v>
      </c>
      <c r="B627" s="23">
        <v>0</v>
      </c>
      <c r="C627" s="23">
        <v>26.03</v>
      </c>
      <c r="D627" s="23">
        <v>0</v>
      </c>
      <c r="E627" s="23">
        <v>0</v>
      </c>
      <c r="F627" s="23">
        <v>0</v>
      </c>
      <c r="G627" s="23">
        <v>0</v>
      </c>
      <c r="H627" s="23">
        <v>0</v>
      </c>
      <c r="I627" s="23">
        <v>1</v>
      </c>
      <c r="J627" s="23">
        <v>3736.4647</v>
      </c>
      <c r="N627" s="23"/>
      <c r="O627" s="23"/>
      <c r="P627" s="23"/>
      <c r="Q627" s="23"/>
      <c r="R627" s="23"/>
      <c r="S627" s="23"/>
      <c r="T627" s="23"/>
      <c r="U627" s="23"/>
    </row>
    <row r="628" spans="1:21" x14ac:dyDescent="0.2">
      <c r="A628" s="23">
        <v>36</v>
      </c>
      <c r="B628" s="23">
        <v>1</v>
      </c>
      <c r="C628" s="23">
        <v>28.88</v>
      </c>
      <c r="D628" s="23">
        <v>3</v>
      </c>
      <c r="E628" s="23">
        <v>0</v>
      </c>
      <c r="F628" s="23">
        <v>1</v>
      </c>
      <c r="G628" s="23">
        <v>0</v>
      </c>
      <c r="H628" s="23">
        <v>0</v>
      </c>
      <c r="I628" s="23">
        <v>0</v>
      </c>
      <c r="J628" s="23">
        <v>6748.5911999999998</v>
      </c>
      <c r="N628" s="23"/>
      <c r="O628" s="23"/>
      <c r="P628" s="23"/>
      <c r="Q628" s="23"/>
      <c r="R628" s="23"/>
      <c r="S628" s="23"/>
      <c r="T628" s="23"/>
      <c r="U628" s="23"/>
    </row>
    <row r="629" spans="1:21" x14ac:dyDescent="0.2">
      <c r="A629" s="23">
        <v>33</v>
      </c>
      <c r="B629" s="23">
        <v>1</v>
      </c>
      <c r="C629" s="23">
        <v>42.46</v>
      </c>
      <c r="D629" s="23">
        <v>1</v>
      </c>
      <c r="E629" s="23">
        <v>0</v>
      </c>
      <c r="F629" s="23">
        <v>0</v>
      </c>
      <c r="G629" s="23">
        <v>1</v>
      </c>
      <c r="H629" s="23">
        <v>0</v>
      </c>
      <c r="I629" s="23">
        <v>0</v>
      </c>
      <c r="J629" s="23">
        <v>11326.71487</v>
      </c>
      <c r="N629" s="23"/>
      <c r="O629" s="23"/>
      <c r="P629" s="23"/>
      <c r="Q629" s="23"/>
      <c r="R629" s="23"/>
      <c r="S629" s="23"/>
      <c r="T629" s="23"/>
      <c r="U629" s="23"/>
    </row>
    <row r="630" spans="1:21" x14ac:dyDescent="0.2">
      <c r="A630" s="23">
        <v>58</v>
      </c>
      <c r="B630" s="23">
        <v>1</v>
      </c>
      <c r="C630" s="23">
        <v>38</v>
      </c>
      <c r="D630" s="23">
        <v>0</v>
      </c>
      <c r="E630" s="23">
        <v>0</v>
      </c>
      <c r="F630" s="23">
        <v>0</v>
      </c>
      <c r="G630" s="23">
        <v>0</v>
      </c>
      <c r="H630" s="23">
        <v>1</v>
      </c>
      <c r="I630" s="23">
        <v>0</v>
      </c>
      <c r="J630" s="23">
        <v>11365.951999999999</v>
      </c>
      <c r="N630" s="23"/>
      <c r="O630" s="23"/>
      <c r="P630" s="23"/>
      <c r="Q630" s="23"/>
      <c r="R630" s="23"/>
      <c r="S630" s="23"/>
      <c r="T630" s="23"/>
      <c r="U630" s="23"/>
    </row>
    <row r="631" spans="1:21" x14ac:dyDescent="0.2">
      <c r="A631" s="23">
        <v>44</v>
      </c>
      <c r="B631" s="23">
        <v>0</v>
      </c>
      <c r="C631" s="23">
        <v>38.950000000000003</v>
      </c>
      <c r="D631" s="23">
        <v>0</v>
      </c>
      <c r="E631" s="23">
        <v>1</v>
      </c>
      <c r="F631" s="23">
        <v>0</v>
      </c>
      <c r="G631" s="23">
        <v>0</v>
      </c>
      <c r="H631" s="23">
        <v>0</v>
      </c>
      <c r="I631" s="23">
        <v>1</v>
      </c>
      <c r="J631" s="23">
        <v>42983.458500000001</v>
      </c>
      <c r="N631" s="23"/>
      <c r="O631" s="23"/>
      <c r="P631" s="23"/>
      <c r="Q631" s="23"/>
      <c r="R631" s="23"/>
      <c r="S631" s="23"/>
      <c r="T631" s="23"/>
      <c r="U631" s="23"/>
    </row>
    <row r="632" spans="1:21" x14ac:dyDescent="0.2">
      <c r="A632" s="23">
        <v>53</v>
      </c>
      <c r="B632" s="23">
        <v>1</v>
      </c>
      <c r="C632" s="23">
        <v>36.1</v>
      </c>
      <c r="D632" s="23">
        <v>1</v>
      </c>
      <c r="E632" s="23">
        <v>0</v>
      </c>
      <c r="F632" s="23">
        <v>0</v>
      </c>
      <c r="G632" s="23">
        <v>0</v>
      </c>
      <c r="H632" s="23">
        <v>1</v>
      </c>
      <c r="I632" s="23">
        <v>0</v>
      </c>
      <c r="J632" s="23">
        <v>10085.846</v>
      </c>
      <c r="N632" s="23"/>
      <c r="O632" s="23"/>
      <c r="P632" s="23"/>
      <c r="Q632" s="23"/>
      <c r="R632" s="23"/>
      <c r="S632" s="23"/>
      <c r="T632" s="23"/>
      <c r="U632" s="23"/>
    </row>
    <row r="633" spans="1:21" x14ac:dyDescent="0.2">
      <c r="A633" s="23">
        <v>24</v>
      </c>
      <c r="B633" s="23">
        <v>1</v>
      </c>
      <c r="C633" s="23">
        <v>29.3</v>
      </c>
      <c r="D633" s="23">
        <v>0</v>
      </c>
      <c r="E633" s="23">
        <v>0</v>
      </c>
      <c r="F633" s="23">
        <v>0</v>
      </c>
      <c r="G633" s="23">
        <v>0</v>
      </c>
      <c r="H633" s="23">
        <v>1</v>
      </c>
      <c r="I633" s="23">
        <v>0</v>
      </c>
      <c r="J633" s="23">
        <v>1977.8150000000001</v>
      </c>
      <c r="N633" s="23"/>
      <c r="O633" s="23"/>
      <c r="P633" s="23"/>
      <c r="Q633" s="23"/>
      <c r="R633" s="23"/>
      <c r="S633" s="23"/>
      <c r="T633" s="23"/>
      <c r="U633" s="23"/>
    </row>
    <row r="634" spans="1:21" x14ac:dyDescent="0.2">
      <c r="A634" s="23">
        <v>29</v>
      </c>
      <c r="B634" s="23">
        <v>0</v>
      </c>
      <c r="C634" s="23">
        <v>35.53</v>
      </c>
      <c r="D634" s="23">
        <v>0</v>
      </c>
      <c r="E634" s="23">
        <v>0</v>
      </c>
      <c r="F634" s="23">
        <v>0</v>
      </c>
      <c r="G634" s="23">
        <v>1</v>
      </c>
      <c r="H634" s="23">
        <v>0</v>
      </c>
      <c r="I634" s="23">
        <v>0</v>
      </c>
      <c r="J634" s="23">
        <v>3366.6696999999999</v>
      </c>
      <c r="N634" s="23"/>
      <c r="O634" s="23"/>
      <c r="P634" s="23"/>
      <c r="Q634" s="23"/>
      <c r="R634" s="23"/>
      <c r="S634" s="23"/>
      <c r="T634" s="23"/>
      <c r="U634" s="23"/>
    </row>
    <row r="635" spans="1:21" x14ac:dyDescent="0.2">
      <c r="A635" s="23">
        <v>40</v>
      </c>
      <c r="B635" s="23">
        <v>1</v>
      </c>
      <c r="C635" s="23">
        <v>22.704999999999998</v>
      </c>
      <c r="D635" s="23">
        <v>2</v>
      </c>
      <c r="E635" s="23">
        <v>0</v>
      </c>
      <c r="F635" s="23">
        <v>1</v>
      </c>
      <c r="G635" s="23">
        <v>0</v>
      </c>
      <c r="H635" s="23">
        <v>0</v>
      </c>
      <c r="I635" s="23">
        <v>0</v>
      </c>
      <c r="J635" s="23">
        <v>7173.35995</v>
      </c>
      <c r="N635" s="23"/>
      <c r="O635" s="23"/>
      <c r="P635" s="23"/>
      <c r="Q635" s="23"/>
      <c r="R635" s="23"/>
      <c r="S635" s="23"/>
      <c r="T635" s="23"/>
      <c r="U635" s="23"/>
    </row>
    <row r="636" spans="1:21" x14ac:dyDescent="0.2">
      <c r="A636" s="23">
        <v>51</v>
      </c>
      <c r="B636" s="23">
        <v>1</v>
      </c>
      <c r="C636" s="23">
        <v>39.700000000000003</v>
      </c>
      <c r="D636" s="23">
        <v>1</v>
      </c>
      <c r="E636" s="23">
        <v>0</v>
      </c>
      <c r="F636" s="23">
        <v>0</v>
      </c>
      <c r="G636" s="23">
        <v>0</v>
      </c>
      <c r="H636" s="23">
        <v>1</v>
      </c>
      <c r="I636" s="23">
        <v>0</v>
      </c>
      <c r="J636" s="23">
        <v>9391.3459999999995</v>
      </c>
      <c r="N636" s="23"/>
      <c r="O636" s="23"/>
      <c r="P636" s="23"/>
      <c r="Q636" s="23"/>
      <c r="R636" s="23"/>
      <c r="S636" s="23"/>
      <c r="T636" s="23"/>
      <c r="U636" s="23"/>
    </row>
    <row r="637" spans="1:21" x14ac:dyDescent="0.2">
      <c r="A637" s="23">
        <v>64</v>
      </c>
      <c r="B637" s="23">
        <v>1</v>
      </c>
      <c r="C637" s="23">
        <v>38.19</v>
      </c>
      <c r="D637" s="23">
        <v>0</v>
      </c>
      <c r="E637" s="23">
        <v>0</v>
      </c>
      <c r="F637" s="23">
        <v>1</v>
      </c>
      <c r="G637" s="23">
        <v>0</v>
      </c>
      <c r="H637" s="23">
        <v>0</v>
      </c>
      <c r="I637" s="23">
        <v>0</v>
      </c>
      <c r="J637" s="23">
        <v>14410.9321</v>
      </c>
      <c r="N637" s="23"/>
      <c r="O637" s="23"/>
      <c r="P637" s="23"/>
      <c r="Q637" s="23"/>
      <c r="R637" s="23"/>
      <c r="S637" s="23"/>
      <c r="T637" s="23"/>
      <c r="U637" s="23"/>
    </row>
    <row r="638" spans="1:21" x14ac:dyDescent="0.2">
      <c r="A638" s="23">
        <v>19</v>
      </c>
      <c r="B638" s="23">
        <v>0</v>
      </c>
      <c r="C638" s="23">
        <v>24.51</v>
      </c>
      <c r="D638" s="23">
        <v>1</v>
      </c>
      <c r="E638" s="23">
        <v>0</v>
      </c>
      <c r="F638" s="23">
        <v>0</v>
      </c>
      <c r="G638" s="23">
        <v>0</v>
      </c>
      <c r="H638" s="23">
        <v>0</v>
      </c>
      <c r="I638" s="23">
        <v>1</v>
      </c>
      <c r="J638" s="23">
        <v>2709.1118999999999</v>
      </c>
      <c r="N638" s="23"/>
      <c r="O638" s="23"/>
      <c r="P638" s="23"/>
      <c r="Q638" s="23"/>
      <c r="R638" s="23"/>
      <c r="S638" s="23"/>
      <c r="T638" s="23"/>
      <c r="U638" s="23"/>
    </row>
    <row r="639" spans="1:21" x14ac:dyDescent="0.2">
      <c r="A639" s="23">
        <v>35</v>
      </c>
      <c r="B639" s="23">
        <v>0</v>
      </c>
      <c r="C639" s="23">
        <v>38.094999999999999</v>
      </c>
      <c r="D639" s="23">
        <v>2</v>
      </c>
      <c r="E639" s="23">
        <v>0</v>
      </c>
      <c r="F639" s="23">
        <v>1</v>
      </c>
      <c r="G639" s="23">
        <v>0</v>
      </c>
      <c r="H639" s="23">
        <v>0</v>
      </c>
      <c r="I639" s="23">
        <v>0</v>
      </c>
      <c r="J639" s="23">
        <v>24915.046259999999</v>
      </c>
      <c r="N639" s="23"/>
      <c r="O639" s="23"/>
      <c r="P639" s="23"/>
      <c r="Q639" s="23"/>
      <c r="R639" s="23"/>
      <c r="S639" s="23"/>
      <c r="T639" s="23"/>
      <c r="U639" s="23"/>
    </row>
    <row r="640" spans="1:21" x14ac:dyDescent="0.2">
      <c r="A640" s="23">
        <v>39</v>
      </c>
      <c r="B640" s="23">
        <v>1</v>
      </c>
      <c r="C640" s="23">
        <v>26.41</v>
      </c>
      <c r="D640" s="23">
        <v>0</v>
      </c>
      <c r="E640" s="23">
        <v>1</v>
      </c>
      <c r="F640" s="23">
        <v>1</v>
      </c>
      <c r="G640" s="23">
        <v>0</v>
      </c>
      <c r="H640" s="23">
        <v>0</v>
      </c>
      <c r="I640" s="23">
        <v>0</v>
      </c>
      <c r="J640" s="23">
        <v>20149.322899999999</v>
      </c>
      <c r="N640" s="23"/>
      <c r="O640" s="23"/>
      <c r="P640" s="23"/>
      <c r="Q640" s="23"/>
      <c r="R640" s="23"/>
      <c r="S640" s="23"/>
      <c r="T640" s="23"/>
      <c r="U640" s="23"/>
    </row>
    <row r="641" spans="1:21" x14ac:dyDescent="0.2">
      <c r="A641" s="23">
        <v>56</v>
      </c>
      <c r="B641" s="23">
        <v>1</v>
      </c>
      <c r="C641" s="23">
        <v>33.659999999999997</v>
      </c>
      <c r="D641" s="23">
        <v>4</v>
      </c>
      <c r="E641" s="23">
        <v>0</v>
      </c>
      <c r="F641" s="23">
        <v>0</v>
      </c>
      <c r="G641" s="23">
        <v>1</v>
      </c>
      <c r="H641" s="23">
        <v>0</v>
      </c>
      <c r="I641" s="23">
        <v>0</v>
      </c>
      <c r="J641" s="23">
        <v>12949.1554</v>
      </c>
      <c r="N641" s="23"/>
      <c r="O641" s="23"/>
      <c r="P641" s="23"/>
      <c r="Q641" s="23"/>
      <c r="R641" s="23"/>
      <c r="S641" s="23"/>
      <c r="T641" s="23"/>
      <c r="U641" s="23"/>
    </row>
    <row r="642" spans="1:21" x14ac:dyDescent="0.2">
      <c r="A642" s="23">
        <v>33</v>
      </c>
      <c r="B642" s="23">
        <v>1</v>
      </c>
      <c r="C642" s="23">
        <v>42.4</v>
      </c>
      <c r="D642" s="23">
        <v>5</v>
      </c>
      <c r="E642" s="23">
        <v>0</v>
      </c>
      <c r="F642" s="23">
        <v>0</v>
      </c>
      <c r="G642" s="23">
        <v>0</v>
      </c>
      <c r="H642" s="23">
        <v>1</v>
      </c>
      <c r="I642" s="23">
        <v>0</v>
      </c>
      <c r="J642" s="23">
        <v>6666.2430000000004</v>
      </c>
      <c r="N642" s="23"/>
      <c r="O642" s="23"/>
      <c r="P642" s="23"/>
      <c r="Q642" s="23"/>
      <c r="R642" s="23"/>
      <c r="S642" s="23"/>
      <c r="T642" s="23"/>
      <c r="U642" s="23"/>
    </row>
    <row r="643" spans="1:21" x14ac:dyDescent="0.2">
      <c r="A643" s="23">
        <v>42</v>
      </c>
      <c r="B643" s="23">
        <v>1</v>
      </c>
      <c r="C643" s="23">
        <v>28.31</v>
      </c>
      <c r="D643" s="23">
        <v>3</v>
      </c>
      <c r="E643" s="23">
        <v>1</v>
      </c>
      <c r="F643" s="23">
        <v>0</v>
      </c>
      <c r="G643" s="23">
        <v>0</v>
      </c>
      <c r="H643" s="23">
        <v>0</v>
      </c>
      <c r="I643" s="23">
        <v>1</v>
      </c>
      <c r="J643" s="23">
        <v>32787.458590000002</v>
      </c>
      <c r="N643" s="23"/>
      <c r="O643" s="23"/>
      <c r="P643" s="23"/>
      <c r="Q643" s="23"/>
      <c r="R643" s="23"/>
      <c r="S643" s="23"/>
      <c r="T643" s="23"/>
      <c r="U643" s="23"/>
    </row>
    <row r="644" spans="1:21" x14ac:dyDescent="0.2">
      <c r="A644" s="23">
        <v>61</v>
      </c>
      <c r="B644" s="23">
        <v>1</v>
      </c>
      <c r="C644" s="23">
        <v>33.914999999999999</v>
      </c>
      <c r="D644" s="23">
        <v>0</v>
      </c>
      <c r="E644" s="23">
        <v>0</v>
      </c>
      <c r="F644" s="23">
        <v>1</v>
      </c>
      <c r="G644" s="23">
        <v>0</v>
      </c>
      <c r="H644" s="23">
        <v>0</v>
      </c>
      <c r="I644" s="23">
        <v>0</v>
      </c>
      <c r="J644" s="23">
        <v>13143.86485</v>
      </c>
      <c r="N644" s="23"/>
      <c r="O644" s="23"/>
      <c r="P644" s="23"/>
      <c r="Q644" s="23"/>
      <c r="R644" s="23"/>
      <c r="S644" s="23"/>
      <c r="T644" s="23"/>
      <c r="U644" s="23"/>
    </row>
    <row r="645" spans="1:21" x14ac:dyDescent="0.2">
      <c r="A645" s="23">
        <v>23</v>
      </c>
      <c r="B645" s="23">
        <v>0</v>
      </c>
      <c r="C645" s="23">
        <v>34.96</v>
      </c>
      <c r="D645" s="23">
        <v>3</v>
      </c>
      <c r="E645" s="23">
        <v>0</v>
      </c>
      <c r="F645" s="23">
        <v>0</v>
      </c>
      <c r="G645" s="23">
        <v>0</v>
      </c>
      <c r="H645" s="23">
        <v>0</v>
      </c>
      <c r="I645" s="23">
        <v>1</v>
      </c>
      <c r="J645" s="23">
        <v>4466.6214</v>
      </c>
      <c r="N645" s="23"/>
      <c r="O645" s="23"/>
      <c r="P645" s="23"/>
      <c r="Q645" s="23"/>
      <c r="R645" s="23"/>
      <c r="S645" s="23"/>
      <c r="T645" s="23"/>
      <c r="U645" s="23"/>
    </row>
    <row r="646" spans="1:21" x14ac:dyDescent="0.2">
      <c r="A646" s="23">
        <v>43</v>
      </c>
      <c r="B646" s="23">
        <v>1</v>
      </c>
      <c r="C646" s="23">
        <v>35.31</v>
      </c>
      <c r="D646" s="23">
        <v>2</v>
      </c>
      <c r="E646" s="23">
        <v>0</v>
      </c>
      <c r="F646" s="23">
        <v>0</v>
      </c>
      <c r="G646" s="23">
        <v>1</v>
      </c>
      <c r="H646" s="23">
        <v>0</v>
      </c>
      <c r="I646" s="23">
        <v>0</v>
      </c>
      <c r="J646" s="23">
        <v>18806.145469999999</v>
      </c>
      <c r="N646" s="23"/>
      <c r="O646" s="23"/>
      <c r="P646" s="23"/>
      <c r="Q646" s="23"/>
      <c r="R646" s="23"/>
      <c r="S646" s="23"/>
      <c r="T646" s="23"/>
      <c r="U646" s="23"/>
    </row>
    <row r="647" spans="1:21" x14ac:dyDescent="0.2">
      <c r="A647" s="23">
        <v>48</v>
      </c>
      <c r="B647" s="23">
        <v>1</v>
      </c>
      <c r="C647" s="23">
        <v>30.78</v>
      </c>
      <c r="D647" s="23">
        <v>3</v>
      </c>
      <c r="E647" s="23">
        <v>0</v>
      </c>
      <c r="F647" s="23">
        <v>1</v>
      </c>
      <c r="G647" s="23">
        <v>0</v>
      </c>
      <c r="H647" s="23">
        <v>0</v>
      </c>
      <c r="I647" s="23">
        <v>0</v>
      </c>
      <c r="J647" s="23">
        <v>10141.136200000001</v>
      </c>
      <c r="N647" s="23"/>
      <c r="O647" s="23"/>
      <c r="P647" s="23"/>
      <c r="Q647" s="23"/>
      <c r="R647" s="23"/>
      <c r="S647" s="23"/>
      <c r="T647" s="23"/>
      <c r="U647" s="23"/>
    </row>
    <row r="648" spans="1:21" x14ac:dyDescent="0.2">
      <c r="A648" s="23">
        <v>39</v>
      </c>
      <c r="B648" s="23">
        <v>1</v>
      </c>
      <c r="C648" s="23">
        <v>26.22</v>
      </c>
      <c r="D648" s="23">
        <v>1</v>
      </c>
      <c r="E648" s="23">
        <v>0</v>
      </c>
      <c r="F648" s="23">
        <v>0</v>
      </c>
      <c r="G648" s="23">
        <v>0</v>
      </c>
      <c r="H648" s="23">
        <v>0</v>
      </c>
      <c r="I648" s="23">
        <v>1</v>
      </c>
      <c r="J648" s="23">
        <v>6123.5688</v>
      </c>
      <c r="N648" s="23"/>
      <c r="O648" s="23"/>
      <c r="P648" s="23"/>
      <c r="Q648" s="23"/>
      <c r="R648" s="23"/>
      <c r="S648" s="23"/>
      <c r="T648" s="23"/>
      <c r="U648" s="23"/>
    </row>
    <row r="649" spans="1:21" x14ac:dyDescent="0.2">
      <c r="A649" s="23">
        <v>40</v>
      </c>
      <c r="B649" s="23">
        <v>0</v>
      </c>
      <c r="C649" s="23">
        <v>23.37</v>
      </c>
      <c r="D649" s="23">
        <v>3</v>
      </c>
      <c r="E649" s="23">
        <v>0</v>
      </c>
      <c r="F649" s="23">
        <v>1</v>
      </c>
      <c r="G649" s="23">
        <v>0</v>
      </c>
      <c r="H649" s="23">
        <v>0</v>
      </c>
      <c r="I649" s="23">
        <v>0</v>
      </c>
      <c r="J649" s="23">
        <v>8252.2842999999993</v>
      </c>
      <c r="N649" s="23"/>
      <c r="O649" s="23"/>
      <c r="P649" s="23"/>
      <c r="Q649" s="23"/>
      <c r="R649" s="23"/>
      <c r="S649" s="23"/>
      <c r="T649" s="23"/>
      <c r="U649" s="23"/>
    </row>
    <row r="650" spans="1:21" x14ac:dyDescent="0.2">
      <c r="A650" s="23">
        <v>18</v>
      </c>
      <c r="B650" s="23">
        <v>1</v>
      </c>
      <c r="C650" s="23">
        <v>28.5</v>
      </c>
      <c r="D650" s="23">
        <v>0</v>
      </c>
      <c r="E650" s="23">
        <v>0</v>
      </c>
      <c r="F650" s="23">
        <v>1</v>
      </c>
      <c r="G650" s="23">
        <v>0</v>
      </c>
      <c r="H650" s="23">
        <v>0</v>
      </c>
      <c r="I650" s="23">
        <v>0</v>
      </c>
      <c r="J650" s="23">
        <v>1712.2270000000001</v>
      </c>
      <c r="N650" s="23"/>
      <c r="O650" s="23"/>
      <c r="P650" s="23"/>
      <c r="Q650" s="23"/>
      <c r="R650" s="23"/>
      <c r="S650" s="23"/>
      <c r="T650" s="23"/>
      <c r="U650" s="23"/>
    </row>
    <row r="651" spans="1:21" x14ac:dyDescent="0.2">
      <c r="A651" s="23">
        <v>58</v>
      </c>
      <c r="B651" s="23">
        <v>0</v>
      </c>
      <c r="C651" s="23">
        <v>32.965000000000003</v>
      </c>
      <c r="D651" s="23">
        <v>0</v>
      </c>
      <c r="E651" s="23">
        <v>0</v>
      </c>
      <c r="F651" s="23">
        <v>1</v>
      </c>
      <c r="G651" s="23">
        <v>0</v>
      </c>
      <c r="H651" s="23">
        <v>0</v>
      </c>
      <c r="I651" s="23">
        <v>0</v>
      </c>
      <c r="J651" s="23">
        <v>12430.95335</v>
      </c>
      <c r="N651" s="23"/>
      <c r="O651" s="23"/>
      <c r="P651" s="23"/>
      <c r="Q651" s="23"/>
      <c r="R651" s="23"/>
      <c r="S651" s="23"/>
      <c r="T651" s="23"/>
      <c r="U651" s="23"/>
    </row>
    <row r="652" spans="1:21" x14ac:dyDescent="0.2">
      <c r="A652" s="23">
        <v>49</v>
      </c>
      <c r="B652" s="23">
        <v>0</v>
      </c>
      <c r="C652" s="23">
        <v>42.68</v>
      </c>
      <c r="D652" s="23">
        <v>2</v>
      </c>
      <c r="E652" s="23">
        <v>0</v>
      </c>
      <c r="F652" s="23">
        <v>0</v>
      </c>
      <c r="G652" s="23">
        <v>1</v>
      </c>
      <c r="H652" s="23">
        <v>0</v>
      </c>
      <c r="I652" s="23">
        <v>0</v>
      </c>
      <c r="J652" s="23">
        <v>9800.8881999999994</v>
      </c>
      <c r="N652" s="23"/>
      <c r="O652" s="23"/>
      <c r="P652" s="23"/>
      <c r="Q652" s="23"/>
      <c r="R652" s="23"/>
      <c r="S652" s="23"/>
      <c r="T652" s="23"/>
      <c r="U652" s="23"/>
    </row>
    <row r="653" spans="1:21" x14ac:dyDescent="0.2">
      <c r="A653" s="23">
        <v>53</v>
      </c>
      <c r="B653" s="23">
        <v>0</v>
      </c>
      <c r="C653" s="23">
        <v>39.6</v>
      </c>
      <c r="D653" s="23">
        <v>1</v>
      </c>
      <c r="E653" s="23">
        <v>0</v>
      </c>
      <c r="F653" s="23">
        <v>0</v>
      </c>
      <c r="G653" s="23">
        <v>1</v>
      </c>
      <c r="H653" s="23">
        <v>0</v>
      </c>
      <c r="I653" s="23">
        <v>0</v>
      </c>
      <c r="J653" s="23">
        <v>10579.710999999999</v>
      </c>
      <c r="N653" s="23"/>
      <c r="O653" s="23"/>
      <c r="P653" s="23"/>
      <c r="Q653" s="23"/>
      <c r="R653" s="23"/>
      <c r="S653" s="23"/>
      <c r="T653" s="23"/>
      <c r="U653" s="23"/>
    </row>
    <row r="654" spans="1:21" x14ac:dyDescent="0.2">
      <c r="A654" s="23">
        <v>48</v>
      </c>
      <c r="B654" s="23">
        <v>0</v>
      </c>
      <c r="C654" s="23">
        <v>31.13</v>
      </c>
      <c r="D654" s="23">
        <v>0</v>
      </c>
      <c r="E654" s="23">
        <v>0</v>
      </c>
      <c r="F654" s="23">
        <v>0</v>
      </c>
      <c r="G654" s="23">
        <v>1</v>
      </c>
      <c r="H654" s="23">
        <v>0</v>
      </c>
      <c r="I654" s="23">
        <v>0</v>
      </c>
      <c r="J654" s="23">
        <v>8280.6226999999999</v>
      </c>
      <c r="N654" s="23"/>
      <c r="O654" s="23"/>
      <c r="P654" s="23"/>
      <c r="Q654" s="23"/>
      <c r="R654" s="23"/>
      <c r="S654" s="23"/>
      <c r="T654" s="23"/>
      <c r="U654" s="23"/>
    </row>
    <row r="655" spans="1:21" x14ac:dyDescent="0.2">
      <c r="A655" s="23">
        <v>45</v>
      </c>
      <c r="B655" s="23">
        <v>0</v>
      </c>
      <c r="C655" s="23">
        <v>36.299999999999997</v>
      </c>
      <c r="D655" s="23">
        <v>2</v>
      </c>
      <c r="E655" s="23">
        <v>0</v>
      </c>
      <c r="F655" s="23">
        <v>0</v>
      </c>
      <c r="G655" s="23">
        <v>1</v>
      </c>
      <c r="H655" s="23">
        <v>0</v>
      </c>
      <c r="I655" s="23">
        <v>0</v>
      </c>
      <c r="J655" s="23">
        <v>8527.5319999999992</v>
      </c>
      <c r="N655" s="23"/>
      <c r="O655" s="23"/>
      <c r="P655" s="23"/>
      <c r="Q655" s="23"/>
      <c r="R655" s="23"/>
      <c r="S655" s="23"/>
      <c r="T655" s="23"/>
      <c r="U655" s="23"/>
    </row>
    <row r="656" spans="1:21" x14ac:dyDescent="0.2">
      <c r="A656" s="23">
        <v>59</v>
      </c>
      <c r="B656" s="23">
        <v>0</v>
      </c>
      <c r="C656" s="23">
        <v>35.200000000000003</v>
      </c>
      <c r="D656" s="23">
        <v>0</v>
      </c>
      <c r="E656" s="23">
        <v>0</v>
      </c>
      <c r="F656" s="23">
        <v>0</v>
      </c>
      <c r="G656" s="23">
        <v>1</v>
      </c>
      <c r="H656" s="23">
        <v>0</v>
      </c>
      <c r="I656" s="23">
        <v>0</v>
      </c>
      <c r="J656" s="23">
        <v>12244.531000000001</v>
      </c>
      <c r="N656" s="23"/>
      <c r="O656" s="23"/>
      <c r="P656" s="23"/>
      <c r="Q656" s="23"/>
      <c r="R656" s="23"/>
      <c r="S656" s="23"/>
      <c r="T656" s="23"/>
      <c r="U656" s="23"/>
    </row>
    <row r="657" spans="1:21" x14ac:dyDescent="0.2">
      <c r="A657" s="23">
        <v>52</v>
      </c>
      <c r="B657" s="23">
        <v>0</v>
      </c>
      <c r="C657" s="23">
        <v>25.3</v>
      </c>
      <c r="D657" s="23">
        <v>2</v>
      </c>
      <c r="E657" s="23">
        <v>1</v>
      </c>
      <c r="F657" s="23">
        <v>0</v>
      </c>
      <c r="G657" s="23">
        <v>1</v>
      </c>
      <c r="H657" s="23">
        <v>0</v>
      </c>
      <c r="I657" s="23">
        <v>0</v>
      </c>
      <c r="J657" s="23">
        <v>24667.419000000002</v>
      </c>
      <c r="N657" s="23"/>
      <c r="O657" s="23"/>
      <c r="P657" s="23"/>
      <c r="Q657" s="23"/>
      <c r="R657" s="23"/>
      <c r="S657" s="23"/>
      <c r="T657" s="23"/>
      <c r="U657" s="23"/>
    </row>
    <row r="658" spans="1:21" x14ac:dyDescent="0.2">
      <c r="A658" s="23">
        <v>26</v>
      </c>
      <c r="B658" s="23">
        <v>0</v>
      </c>
      <c r="C658" s="23">
        <v>42.4</v>
      </c>
      <c r="D658" s="23">
        <v>1</v>
      </c>
      <c r="E658" s="23">
        <v>0</v>
      </c>
      <c r="F658" s="23">
        <v>0</v>
      </c>
      <c r="G658" s="23">
        <v>0</v>
      </c>
      <c r="H658" s="23">
        <v>1</v>
      </c>
      <c r="I658" s="23">
        <v>0</v>
      </c>
      <c r="J658" s="23">
        <v>3410.3240000000001</v>
      </c>
      <c r="N658" s="23"/>
      <c r="O658" s="23"/>
      <c r="P658" s="23"/>
      <c r="Q658" s="23"/>
      <c r="R658" s="23"/>
      <c r="S658" s="23"/>
      <c r="T658" s="23"/>
      <c r="U658" s="23"/>
    </row>
    <row r="659" spans="1:21" x14ac:dyDescent="0.2">
      <c r="A659" s="23">
        <v>27</v>
      </c>
      <c r="B659" s="23">
        <v>1</v>
      </c>
      <c r="C659" s="23">
        <v>33.155000000000001</v>
      </c>
      <c r="D659" s="23">
        <v>2</v>
      </c>
      <c r="E659" s="23">
        <v>0</v>
      </c>
      <c r="F659" s="23">
        <v>0</v>
      </c>
      <c r="G659" s="23">
        <v>0</v>
      </c>
      <c r="H659" s="23">
        <v>0</v>
      </c>
      <c r="I659" s="23">
        <v>1</v>
      </c>
      <c r="J659" s="23">
        <v>4058.71245</v>
      </c>
      <c r="N659" s="23"/>
      <c r="O659" s="23"/>
      <c r="P659" s="23"/>
      <c r="Q659" s="23"/>
      <c r="R659" s="23"/>
      <c r="S659" s="23"/>
      <c r="T659" s="23"/>
      <c r="U659" s="23"/>
    </row>
    <row r="660" spans="1:21" x14ac:dyDescent="0.2">
      <c r="A660" s="23">
        <v>48</v>
      </c>
      <c r="B660" s="23">
        <v>0</v>
      </c>
      <c r="C660" s="23">
        <v>35.909999999999997</v>
      </c>
      <c r="D660" s="23">
        <v>1</v>
      </c>
      <c r="E660" s="23">
        <v>0</v>
      </c>
      <c r="F660" s="23">
        <v>1</v>
      </c>
      <c r="G660" s="23">
        <v>0</v>
      </c>
      <c r="H660" s="23">
        <v>0</v>
      </c>
      <c r="I660" s="23">
        <v>0</v>
      </c>
      <c r="J660" s="23">
        <v>26392.260289999998</v>
      </c>
      <c r="N660" s="23"/>
      <c r="O660" s="23"/>
      <c r="P660" s="23"/>
      <c r="Q660" s="23"/>
      <c r="R660" s="23"/>
      <c r="S660" s="23"/>
      <c r="T660" s="23"/>
      <c r="U660" s="23"/>
    </row>
    <row r="661" spans="1:21" x14ac:dyDescent="0.2">
      <c r="A661" s="23">
        <v>57</v>
      </c>
      <c r="B661" s="23">
        <v>0</v>
      </c>
      <c r="C661" s="23">
        <v>28.785</v>
      </c>
      <c r="D661" s="23">
        <v>4</v>
      </c>
      <c r="E661" s="23">
        <v>0</v>
      </c>
      <c r="F661" s="23">
        <v>1</v>
      </c>
      <c r="G661" s="23">
        <v>0</v>
      </c>
      <c r="H661" s="23">
        <v>0</v>
      </c>
      <c r="I661" s="23">
        <v>0</v>
      </c>
      <c r="J661" s="23">
        <v>14394.398150000001</v>
      </c>
      <c r="N661" s="23"/>
      <c r="O661" s="23"/>
      <c r="P661" s="23"/>
      <c r="Q661" s="23"/>
      <c r="R661" s="23"/>
      <c r="S661" s="23"/>
      <c r="T661" s="23"/>
      <c r="U661" s="23"/>
    </row>
    <row r="662" spans="1:21" x14ac:dyDescent="0.2">
      <c r="A662" s="23">
        <v>37</v>
      </c>
      <c r="B662" s="23">
        <v>1</v>
      </c>
      <c r="C662" s="23">
        <v>46.53</v>
      </c>
      <c r="D662" s="23">
        <v>3</v>
      </c>
      <c r="E662" s="23">
        <v>0</v>
      </c>
      <c r="F662" s="23">
        <v>0</v>
      </c>
      <c r="G662" s="23">
        <v>1</v>
      </c>
      <c r="H662" s="23">
        <v>0</v>
      </c>
      <c r="I662" s="23">
        <v>0</v>
      </c>
      <c r="J662" s="23">
        <v>6435.6237000000001</v>
      </c>
      <c r="N662" s="23"/>
      <c r="O662" s="23"/>
      <c r="P662" s="23"/>
      <c r="Q662" s="23"/>
      <c r="R662" s="23"/>
      <c r="S662" s="23"/>
      <c r="T662" s="23"/>
      <c r="U662" s="23"/>
    </row>
    <row r="663" spans="1:21" x14ac:dyDescent="0.2">
      <c r="A663" s="23">
        <v>57</v>
      </c>
      <c r="B663" s="23">
        <v>0</v>
      </c>
      <c r="C663" s="23">
        <v>23.98</v>
      </c>
      <c r="D663" s="23">
        <v>1</v>
      </c>
      <c r="E663" s="23">
        <v>0</v>
      </c>
      <c r="F663" s="23">
        <v>0</v>
      </c>
      <c r="G663" s="23">
        <v>1</v>
      </c>
      <c r="H663" s="23">
        <v>0</v>
      </c>
      <c r="I663" s="23">
        <v>0</v>
      </c>
      <c r="J663" s="23">
        <v>22192.437109999999</v>
      </c>
      <c r="N663" s="23"/>
      <c r="O663" s="23"/>
      <c r="P663" s="23"/>
      <c r="Q663" s="23"/>
      <c r="R663" s="23"/>
      <c r="S663" s="23"/>
      <c r="T663" s="23"/>
      <c r="U663" s="23"/>
    </row>
    <row r="664" spans="1:21" x14ac:dyDescent="0.2">
      <c r="A664" s="23">
        <v>32</v>
      </c>
      <c r="B664" s="23">
        <v>0</v>
      </c>
      <c r="C664" s="23">
        <v>31.54</v>
      </c>
      <c r="D664" s="23">
        <v>1</v>
      </c>
      <c r="E664" s="23">
        <v>0</v>
      </c>
      <c r="F664" s="23">
        <v>1</v>
      </c>
      <c r="G664" s="23">
        <v>0</v>
      </c>
      <c r="H664" s="23">
        <v>0</v>
      </c>
      <c r="I664" s="23">
        <v>0</v>
      </c>
      <c r="J664" s="23">
        <v>5148.5526</v>
      </c>
      <c r="N664" s="23"/>
      <c r="O664" s="23"/>
      <c r="P664" s="23"/>
      <c r="Q664" s="23"/>
      <c r="R664" s="23"/>
      <c r="S664" s="23"/>
      <c r="T664" s="23"/>
      <c r="U664" s="23"/>
    </row>
    <row r="665" spans="1:21" x14ac:dyDescent="0.2">
      <c r="A665" s="23">
        <v>18</v>
      </c>
      <c r="B665" s="23">
        <v>1</v>
      </c>
      <c r="C665" s="23">
        <v>33.659999999999997</v>
      </c>
      <c r="D665" s="23">
        <v>0</v>
      </c>
      <c r="E665" s="23">
        <v>0</v>
      </c>
      <c r="F665" s="23">
        <v>0</v>
      </c>
      <c r="G665" s="23">
        <v>1</v>
      </c>
      <c r="H665" s="23">
        <v>0</v>
      </c>
      <c r="I665" s="23">
        <v>0</v>
      </c>
      <c r="J665" s="23">
        <v>1136.3994</v>
      </c>
      <c r="N665" s="23"/>
      <c r="O665" s="23"/>
      <c r="P665" s="23"/>
      <c r="Q665" s="23"/>
      <c r="R665" s="23"/>
      <c r="S665" s="23"/>
      <c r="T665" s="23"/>
      <c r="U665" s="23"/>
    </row>
    <row r="666" spans="1:21" x14ac:dyDescent="0.2">
      <c r="A666" s="23">
        <v>64</v>
      </c>
      <c r="B666" s="23">
        <v>0</v>
      </c>
      <c r="C666" s="23">
        <v>22.99</v>
      </c>
      <c r="D666" s="23">
        <v>0</v>
      </c>
      <c r="E666" s="23">
        <v>1</v>
      </c>
      <c r="F666" s="23">
        <v>0</v>
      </c>
      <c r="G666" s="23">
        <v>1</v>
      </c>
      <c r="H666" s="23">
        <v>0</v>
      </c>
      <c r="I666" s="23">
        <v>0</v>
      </c>
      <c r="J666" s="23">
        <v>27037.914100000002</v>
      </c>
      <c r="N666" s="23"/>
      <c r="O666" s="23"/>
      <c r="P666" s="23"/>
      <c r="Q666" s="23"/>
      <c r="R666" s="23"/>
      <c r="S666" s="23"/>
      <c r="T666" s="23"/>
      <c r="U666" s="23"/>
    </row>
    <row r="667" spans="1:21" x14ac:dyDescent="0.2">
      <c r="A667" s="23">
        <v>43</v>
      </c>
      <c r="B667" s="23">
        <v>1</v>
      </c>
      <c r="C667" s="23">
        <v>38.06</v>
      </c>
      <c r="D667" s="23">
        <v>2</v>
      </c>
      <c r="E667" s="23">
        <v>1</v>
      </c>
      <c r="F667" s="23">
        <v>0</v>
      </c>
      <c r="G667" s="23">
        <v>1</v>
      </c>
      <c r="H667" s="23">
        <v>0</v>
      </c>
      <c r="I667" s="23">
        <v>0</v>
      </c>
      <c r="J667" s="23">
        <v>42560.430399999997</v>
      </c>
      <c r="N667" s="23"/>
      <c r="O667" s="23"/>
      <c r="P667" s="23"/>
      <c r="Q667" s="23"/>
      <c r="R667" s="23"/>
      <c r="S667" s="23"/>
      <c r="T667" s="23"/>
      <c r="U667" s="23"/>
    </row>
    <row r="668" spans="1:21" x14ac:dyDescent="0.2">
      <c r="A668" s="23">
        <v>49</v>
      </c>
      <c r="B668" s="23">
        <v>1</v>
      </c>
      <c r="C668" s="23">
        <v>28.7</v>
      </c>
      <c r="D668" s="23">
        <v>1</v>
      </c>
      <c r="E668" s="23">
        <v>0</v>
      </c>
      <c r="F668" s="23">
        <v>0</v>
      </c>
      <c r="G668" s="23">
        <v>0</v>
      </c>
      <c r="H668" s="23">
        <v>1</v>
      </c>
      <c r="I668" s="23">
        <v>0</v>
      </c>
      <c r="J668" s="23">
        <v>8703.4560000000001</v>
      </c>
      <c r="N668" s="23"/>
      <c r="O668" s="23"/>
      <c r="P668" s="23"/>
      <c r="Q668" s="23"/>
      <c r="R668" s="23"/>
      <c r="S668" s="23"/>
      <c r="T668" s="23"/>
      <c r="U668" s="23"/>
    </row>
    <row r="669" spans="1:21" x14ac:dyDescent="0.2">
      <c r="A669" s="23">
        <v>40</v>
      </c>
      <c r="B669" s="23">
        <v>0</v>
      </c>
      <c r="C669" s="23">
        <v>32.774999999999999</v>
      </c>
      <c r="D669" s="23">
        <v>2</v>
      </c>
      <c r="E669" s="23">
        <v>1</v>
      </c>
      <c r="F669" s="23">
        <v>0</v>
      </c>
      <c r="G669" s="23">
        <v>0</v>
      </c>
      <c r="H669" s="23">
        <v>0</v>
      </c>
      <c r="I669" s="23">
        <v>1</v>
      </c>
      <c r="J669" s="23">
        <v>40003.332249999999</v>
      </c>
      <c r="N669" s="23"/>
      <c r="O669" s="23"/>
      <c r="P669" s="23"/>
      <c r="Q669" s="23"/>
      <c r="R669" s="23"/>
      <c r="S669" s="23"/>
      <c r="T669" s="23"/>
      <c r="U669" s="23"/>
    </row>
    <row r="670" spans="1:21" x14ac:dyDescent="0.2">
      <c r="A670" s="23">
        <v>62</v>
      </c>
      <c r="B670" s="23">
        <v>1</v>
      </c>
      <c r="C670" s="23">
        <v>32.015000000000001</v>
      </c>
      <c r="D670" s="23">
        <v>0</v>
      </c>
      <c r="E670" s="23">
        <v>1</v>
      </c>
      <c r="F670" s="23">
        <v>1</v>
      </c>
      <c r="G670" s="23">
        <v>0</v>
      </c>
      <c r="H670" s="23">
        <v>0</v>
      </c>
      <c r="I670" s="23">
        <v>0</v>
      </c>
      <c r="J670" s="23">
        <v>45710.207849999999</v>
      </c>
      <c r="N670" s="23"/>
      <c r="O670" s="23"/>
      <c r="P670" s="23"/>
      <c r="Q670" s="23"/>
      <c r="R670" s="23"/>
      <c r="S670" s="23"/>
      <c r="T670" s="23"/>
      <c r="U670" s="23"/>
    </row>
    <row r="671" spans="1:21" x14ac:dyDescent="0.2">
      <c r="A671" s="23">
        <v>40</v>
      </c>
      <c r="B671" s="23">
        <v>0</v>
      </c>
      <c r="C671" s="23">
        <v>29.81</v>
      </c>
      <c r="D671" s="23">
        <v>1</v>
      </c>
      <c r="E671" s="23">
        <v>0</v>
      </c>
      <c r="F671" s="23">
        <v>0</v>
      </c>
      <c r="G671" s="23">
        <v>1</v>
      </c>
      <c r="H671" s="23">
        <v>0</v>
      </c>
      <c r="I671" s="23">
        <v>0</v>
      </c>
      <c r="J671" s="23">
        <v>6500.2358999999997</v>
      </c>
      <c r="N671" s="23"/>
      <c r="O671" s="23"/>
      <c r="P671" s="23"/>
      <c r="Q671" s="23"/>
      <c r="R671" s="23"/>
      <c r="S671" s="23"/>
      <c r="T671" s="23"/>
      <c r="U671" s="23"/>
    </row>
    <row r="672" spans="1:21" x14ac:dyDescent="0.2">
      <c r="A672" s="23">
        <v>30</v>
      </c>
      <c r="B672" s="23">
        <v>1</v>
      </c>
      <c r="C672" s="23">
        <v>31.57</v>
      </c>
      <c r="D672" s="23">
        <v>3</v>
      </c>
      <c r="E672" s="23">
        <v>0</v>
      </c>
      <c r="F672" s="23">
        <v>0</v>
      </c>
      <c r="G672" s="23">
        <v>1</v>
      </c>
      <c r="H672" s="23">
        <v>0</v>
      </c>
      <c r="I672" s="23">
        <v>0</v>
      </c>
      <c r="J672" s="23">
        <v>4837.5823</v>
      </c>
      <c r="N672" s="23"/>
      <c r="O672" s="23"/>
      <c r="P672" s="23"/>
      <c r="Q672" s="23"/>
      <c r="R672" s="23"/>
      <c r="S672" s="23"/>
      <c r="T672" s="23"/>
      <c r="U672" s="23"/>
    </row>
    <row r="673" spans="1:21" x14ac:dyDescent="0.2">
      <c r="A673" s="23">
        <v>29</v>
      </c>
      <c r="B673" s="23">
        <v>0</v>
      </c>
      <c r="C673" s="23">
        <v>31.16</v>
      </c>
      <c r="D673" s="23">
        <v>0</v>
      </c>
      <c r="E673" s="23">
        <v>0</v>
      </c>
      <c r="F673" s="23">
        <v>1</v>
      </c>
      <c r="G673" s="23">
        <v>0</v>
      </c>
      <c r="H673" s="23">
        <v>0</v>
      </c>
      <c r="I673" s="23">
        <v>0</v>
      </c>
      <c r="J673" s="23">
        <v>3943.5954000000002</v>
      </c>
      <c r="N673" s="23"/>
      <c r="O673" s="23"/>
      <c r="P673" s="23"/>
      <c r="Q673" s="23"/>
      <c r="R673" s="23"/>
      <c r="S673" s="23"/>
      <c r="T673" s="23"/>
      <c r="U673" s="23"/>
    </row>
    <row r="674" spans="1:21" x14ac:dyDescent="0.2">
      <c r="A674" s="23">
        <v>36</v>
      </c>
      <c r="B674" s="23">
        <v>1</v>
      </c>
      <c r="C674" s="23">
        <v>29.7</v>
      </c>
      <c r="D674" s="23">
        <v>0</v>
      </c>
      <c r="E674" s="23">
        <v>0</v>
      </c>
      <c r="F674" s="23">
        <v>0</v>
      </c>
      <c r="G674" s="23">
        <v>1</v>
      </c>
      <c r="H674" s="23">
        <v>0</v>
      </c>
      <c r="I674" s="23">
        <v>0</v>
      </c>
      <c r="J674" s="23">
        <v>4399.7309999999998</v>
      </c>
      <c r="N674" s="23"/>
      <c r="O674" s="23"/>
      <c r="P674" s="23"/>
      <c r="Q674" s="23"/>
      <c r="R674" s="23"/>
      <c r="S674" s="23"/>
      <c r="T674" s="23"/>
      <c r="U674" s="23"/>
    </row>
    <row r="675" spans="1:21" x14ac:dyDescent="0.2">
      <c r="A675" s="23">
        <v>41</v>
      </c>
      <c r="B675" s="23">
        <v>0</v>
      </c>
      <c r="C675" s="23">
        <v>31.02</v>
      </c>
      <c r="D675" s="23">
        <v>0</v>
      </c>
      <c r="E675" s="23">
        <v>0</v>
      </c>
      <c r="F675" s="23">
        <v>0</v>
      </c>
      <c r="G675" s="23">
        <v>1</v>
      </c>
      <c r="H675" s="23">
        <v>0</v>
      </c>
      <c r="I675" s="23">
        <v>0</v>
      </c>
      <c r="J675" s="23">
        <v>6185.3208000000004</v>
      </c>
      <c r="N675" s="23"/>
      <c r="O675" s="23"/>
      <c r="P675" s="23"/>
      <c r="Q675" s="23"/>
      <c r="R675" s="23"/>
      <c r="S675" s="23"/>
      <c r="T675" s="23"/>
      <c r="U675" s="23"/>
    </row>
    <row r="676" spans="1:21" x14ac:dyDescent="0.2">
      <c r="A676" s="23">
        <v>44</v>
      </c>
      <c r="B676" s="23">
        <v>0</v>
      </c>
      <c r="C676" s="23">
        <v>43.89</v>
      </c>
      <c r="D676" s="23">
        <v>2</v>
      </c>
      <c r="E676" s="23">
        <v>1</v>
      </c>
      <c r="F676" s="23">
        <v>0</v>
      </c>
      <c r="G676" s="23">
        <v>1</v>
      </c>
      <c r="H676" s="23">
        <v>0</v>
      </c>
      <c r="I676" s="23">
        <v>0</v>
      </c>
      <c r="J676" s="23">
        <v>46200.985099999998</v>
      </c>
      <c r="N676" s="23"/>
      <c r="O676" s="23"/>
      <c r="P676" s="23"/>
      <c r="Q676" s="23"/>
      <c r="R676" s="23"/>
      <c r="S676" s="23"/>
      <c r="T676" s="23"/>
      <c r="U676" s="23"/>
    </row>
    <row r="677" spans="1:21" x14ac:dyDescent="0.2">
      <c r="A677" s="23">
        <v>45</v>
      </c>
      <c r="B677" s="23">
        <v>1</v>
      </c>
      <c r="C677" s="23">
        <v>21.375</v>
      </c>
      <c r="D677" s="23">
        <v>0</v>
      </c>
      <c r="E677" s="23">
        <v>0</v>
      </c>
      <c r="F677" s="23">
        <v>0</v>
      </c>
      <c r="G677" s="23">
        <v>0</v>
      </c>
      <c r="H677" s="23">
        <v>0</v>
      </c>
      <c r="I677" s="23">
        <v>1</v>
      </c>
      <c r="J677" s="23">
        <v>7222.7862500000001</v>
      </c>
      <c r="N677" s="23"/>
      <c r="O677" s="23"/>
      <c r="P677" s="23"/>
      <c r="Q677" s="23"/>
      <c r="R677" s="23"/>
      <c r="S677" s="23"/>
      <c r="T677" s="23"/>
      <c r="U677" s="23"/>
    </row>
    <row r="678" spans="1:21" x14ac:dyDescent="0.2">
      <c r="A678" s="23">
        <v>55</v>
      </c>
      <c r="B678" s="23">
        <v>0</v>
      </c>
      <c r="C678" s="23">
        <v>40.81</v>
      </c>
      <c r="D678" s="23">
        <v>3</v>
      </c>
      <c r="E678" s="23">
        <v>0</v>
      </c>
      <c r="F678" s="23">
        <v>0</v>
      </c>
      <c r="G678" s="23">
        <v>1</v>
      </c>
      <c r="H678" s="23">
        <v>0</v>
      </c>
      <c r="I678" s="23">
        <v>0</v>
      </c>
      <c r="J678" s="23">
        <v>12485.8009</v>
      </c>
      <c r="N678" s="23"/>
      <c r="O678" s="23"/>
      <c r="P678" s="23"/>
      <c r="Q678" s="23"/>
      <c r="R678" s="23"/>
      <c r="S678" s="23"/>
      <c r="T678" s="23"/>
      <c r="U678" s="23"/>
    </row>
    <row r="679" spans="1:21" x14ac:dyDescent="0.2">
      <c r="A679" s="23">
        <v>60</v>
      </c>
      <c r="B679" s="23">
        <v>1</v>
      </c>
      <c r="C679" s="23">
        <v>31.35</v>
      </c>
      <c r="D679" s="23">
        <v>3</v>
      </c>
      <c r="E679" s="23">
        <v>1</v>
      </c>
      <c r="F679" s="23">
        <v>0</v>
      </c>
      <c r="G679" s="23">
        <v>0</v>
      </c>
      <c r="H679" s="23">
        <v>0</v>
      </c>
      <c r="I679" s="23">
        <v>1</v>
      </c>
      <c r="J679" s="23">
        <v>46130.5265</v>
      </c>
      <c r="N679" s="23"/>
      <c r="O679" s="23"/>
      <c r="P679" s="23"/>
      <c r="Q679" s="23"/>
      <c r="R679" s="23"/>
      <c r="S679" s="23"/>
      <c r="T679" s="23"/>
      <c r="U679" s="23"/>
    </row>
    <row r="680" spans="1:21" x14ac:dyDescent="0.2">
      <c r="A680" s="23">
        <v>56</v>
      </c>
      <c r="B680" s="23">
        <v>1</v>
      </c>
      <c r="C680" s="23">
        <v>36.1</v>
      </c>
      <c r="D680" s="23">
        <v>3</v>
      </c>
      <c r="E680" s="23">
        <v>0</v>
      </c>
      <c r="F680" s="23">
        <v>0</v>
      </c>
      <c r="G680" s="23">
        <v>0</v>
      </c>
      <c r="H680" s="23">
        <v>1</v>
      </c>
      <c r="I680" s="23">
        <v>0</v>
      </c>
      <c r="J680" s="23">
        <v>12363.547</v>
      </c>
      <c r="N680" s="23"/>
      <c r="O680" s="23"/>
      <c r="P680" s="23"/>
      <c r="Q680" s="23"/>
      <c r="R680" s="23"/>
      <c r="S680" s="23"/>
      <c r="T680" s="23"/>
      <c r="U680" s="23"/>
    </row>
    <row r="681" spans="1:21" x14ac:dyDescent="0.2">
      <c r="A681" s="23">
        <v>49</v>
      </c>
      <c r="B681" s="23">
        <v>0</v>
      </c>
      <c r="C681" s="23">
        <v>23.18</v>
      </c>
      <c r="D681" s="23">
        <v>2</v>
      </c>
      <c r="E681" s="23">
        <v>0</v>
      </c>
      <c r="F681" s="23">
        <v>0</v>
      </c>
      <c r="G681" s="23">
        <v>0</v>
      </c>
      <c r="H681" s="23">
        <v>0</v>
      </c>
      <c r="I681" s="23">
        <v>1</v>
      </c>
      <c r="J681" s="23">
        <v>10156.7832</v>
      </c>
      <c r="N681" s="23"/>
      <c r="O681" s="23"/>
      <c r="P681" s="23"/>
      <c r="Q681" s="23"/>
      <c r="R681" s="23"/>
      <c r="S681" s="23"/>
      <c r="T681" s="23"/>
      <c r="U681" s="23"/>
    </row>
    <row r="682" spans="1:21" x14ac:dyDescent="0.2">
      <c r="A682" s="23">
        <v>21</v>
      </c>
      <c r="B682" s="23">
        <v>0</v>
      </c>
      <c r="C682" s="23">
        <v>17.399999999999999</v>
      </c>
      <c r="D682" s="23">
        <v>1</v>
      </c>
      <c r="E682" s="23">
        <v>0</v>
      </c>
      <c r="F682" s="23">
        <v>0</v>
      </c>
      <c r="G682" s="23">
        <v>0</v>
      </c>
      <c r="H682" s="23">
        <v>1</v>
      </c>
      <c r="I682" s="23">
        <v>0</v>
      </c>
      <c r="J682" s="23">
        <v>2585.2689999999998</v>
      </c>
      <c r="N682" s="23"/>
      <c r="O682" s="23"/>
      <c r="P682" s="23"/>
      <c r="Q682" s="23"/>
      <c r="R682" s="23"/>
      <c r="S682" s="23"/>
      <c r="T682" s="23"/>
      <c r="U682" s="23"/>
    </row>
    <row r="683" spans="1:21" x14ac:dyDescent="0.2">
      <c r="A683" s="23">
        <v>19</v>
      </c>
      <c r="B683" s="23">
        <v>1</v>
      </c>
      <c r="C683" s="23">
        <v>20.3</v>
      </c>
      <c r="D683" s="23">
        <v>0</v>
      </c>
      <c r="E683" s="23">
        <v>0</v>
      </c>
      <c r="F683" s="23">
        <v>0</v>
      </c>
      <c r="G683" s="23">
        <v>0</v>
      </c>
      <c r="H683" s="23">
        <v>1</v>
      </c>
      <c r="I683" s="23">
        <v>0</v>
      </c>
      <c r="J683" s="23">
        <v>1242.26</v>
      </c>
      <c r="N683" s="23"/>
      <c r="O683" s="23"/>
      <c r="P683" s="23"/>
      <c r="Q683" s="23"/>
      <c r="R683" s="23"/>
      <c r="S683" s="23"/>
      <c r="T683" s="23"/>
      <c r="U683" s="23"/>
    </row>
    <row r="684" spans="1:21" x14ac:dyDescent="0.2">
      <c r="A684" s="23">
        <v>39</v>
      </c>
      <c r="B684" s="23">
        <v>1</v>
      </c>
      <c r="C684" s="23">
        <v>35.299999999999997</v>
      </c>
      <c r="D684" s="23">
        <v>2</v>
      </c>
      <c r="E684" s="23">
        <v>1</v>
      </c>
      <c r="F684" s="23">
        <v>0</v>
      </c>
      <c r="G684" s="23">
        <v>0</v>
      </c>
      <c r="H684" s="23">
        <v>1</v>
      </c>
      <c r="I684" s="23">
        <v>0</v>
      </c>
      <c r="J684" s="23">
        <v>40103.89</v>
      </c>
      <c r="N684" s="23"/>
      <c r="O684" s="23"/>
      <c r="P684" s="23"/>
      <c r="Q684" s="23"/>
      <c r="R684" s="23"/>
      <c r="S684" s="23"/>
      <c r="T684" s="23"/>
      <c r="U684" s="23"/>
    </row>
    <row r="685" spans="1:21" x14ac:dyDescent="0.2">
      <c r="A685" s="23">
        <v>53</v>
      </c>
      <c r="B685" s="23">
        <v>1</v>
      </c>
      <c r="C685" s="23">
        <v>24.32</v>
      </c>
      <c r="D685" s="23">
        <v>0</v>
      </c>
      <c r="E685" s="23">
        <v>0</v>
      </c>
      <c r="F685" s="23">
        <v>0</v>
      </c>
      <c r="G685" s="23">
        <v>0</v>
      </c>
      <c r="H685" s="23">
        <v>0</v>
      </c>
      <c r="I685" s="23">
        <v>1</v>
      </c>
      <c r="J685" s="23">
        <v>9863.4717999999993</v>
      </c>
      <c r="N685" s="23"/>
      <c r="O685" s="23"/>
      <c r="P685" s="23"/>
      <c r="Q685" s="23"/>
      <c r="R685" s="23"/>
      <c r="S685" s="23"/>
      <c r="T685" s="23"/>
      <c r="U685" s="23"/>
    </row>
    <row r="686" spans="1:21" x14ac:dyDescent="0.2">
      <c r="A686" s="23">
        <v>33</v>
      </c>
      <c r="B686" s="23">
        <v>0</v>
      </c>
      <c r="C686" s="23">
        <v>18.5</v>
      </c>
      <c r="D686" s="23">
        <v>1</v>
      </c>
      <c r="E686" s="23">
        <v>0</v>
      </c>
      <c r="F686" s="23">
        <v>0</v>
      </c>
      <c r="G686" s="23">
        <v>0</v>
      </c>
      <c r="H686" s="23">
        <v>1</v>
      </c>
      <c r="I686" s="23">
        <v>0</v>
      </c>
      <c r="J686" s="23">
        <v>4766.0219999999999</v>
      </c>
      <c r="N686" s="23"/>
      <c r="O686" s="23"/>
      <c r="P686" s="23"/>
      <c r="Q686" s="23"/>
      <c r="R686" s="23"/>
      <c r="S686" s="23"/>
      <c r="T686" s="23"/>
      <c r="U686" s="23"/>
    </row>
    <row r="687" spans="1:21" x14ac:dyDescent="0.2">
      <c r="A687" s="23">
        <v>53</v>
      </c>
      <c r="B687" s="23">
        <v>1</v>
      </c>
      <c r="C687" s="23">
        <v>26.41</v>
      </c>
      <c r="D687" s="23">
        <v>2</v>
      </c>
      <c r="E687" s="23">
        <v>0</v>
      </c>
      <c r="F687" s="23">
        <v>1</v>
      </c>
      <c r="G687" s="23">
        <v>0</v>
      </c>
      <c r="H687" s="23">
        <v>0</v>
      </c>
      <c r="I687" s="23">
        <v>0</v>
      </c>
      <c r="J687" s="23">
        <v>11244.376899999999</v>
      </c>
      <c r="N687" s="23"/>
      <c r="O687" s="23"/>
      <c r="P687" s="23"/>
      <c r="Q687" s="23"/>
      <c r="R687" s="23"/>
      <c r="S687" s="23"/>
      <c r="T687" s="23"/>
      <c r="U687" s="23"/>
    </row>
    <row r="688" spans="1:21" x14ac:dyDescent="0.2">
      <c r="A688" s="23">
        <v>42</v>
      </c>
      <c r="B688" s="23">
        <v>1</v>
      </c>
      <c r="C688" s="23">
        <v>26.125</v>
      </c>
      <c r="D688" s="23">
        <v>2</v>
      </c>
      <c r="E688" s="23">
        <v>0</v>
      </c>
      <c r="F688" s="23">
        <v>1</v>
      </c>
      <c r="G688" s="23">
        <v>0</v>
      </c>
      <c r="H688" s="23">
        <v>0</v>
      </c>
      <c r="I688" s="23">
        <v>0</v>
      </c>
      <c r="J688" s="23">
        <v>7729.6457499999997</v>
      </c>
      <c r="N688" s="23"/>
      <c r="O688" s="23"/>
      <c r="P688" s="23"/>
      <c r="Q688" s="23"/>
      <c r="R688" s="23"/>
      <c r="S688" s="23"/>
      <c r="T688" s="23"/>
      <c r="U688" s="23"/>
    </row>
    <row r="689" spans="1:21" x14ac:dyDescent="0.2">
      <c r="A689" s="23">
        <v>40</v>
      </c>
      <c r="B689" s="23">
        <v>1</v>
      </c>
      <c r="C689" s="23">
        <v>41.69</v>
      </c>
      <c r="D689" s="23">
        <v>0</v>
      </c>
      <c r="E689" s="23">
        <v>0</v>
      </c>
      <c r="F689" s="23">
        <v>0</v>
      </c>
      <c r="G689" s="23">
        <v>1</v>
      </c>
      <c r="H689" s="23">
        <v>0</v>
      </c>
      <c r="I689" s="23">
        <v>0</v>
      </c>
      <c r="J689" s="23">
        <v>5438.7491</v>
      </c>
      <c r="N689" s="23"/>
      <c r="O689" s="23"/>
      <c r="P689" s="23"/>
      <c r="Q689" s="23"/>
      <c r="R689" s="23"/>
      <c r="S689" s="23"/>
      <c r="T689" s="23"/>
      <c r="U689" s="23"/>
    </row>
    <row r="690" spans="1:21" x14ac:dyDescent="0.2">
      <c r="A690" s="23">
        <v>47</v>
      </c>
      <c r="B690" s="23">
        <v>0</v>
      </c>
      <c r="C690" s="23">
        <v>24.1</v>
      </c>
      <c r="D690" s="23">
        <v>1</v>
      </c>
      <c r="E690" s="23">
        <v>0</v>
      </c>
      <c r="F690" s="23">
        <v>0</v>
      </c>
      <c r="G690" s="23">
        <v>0</v>
      </c>
      <c r="H690" s="23">
        <v>1</v>
      </c>
      <c r="I690" s="23">
        <v>0</v>
      </c>
      <c r="J690" s="23">
        <v>26236.579969999999</v>
      </c>
      <c r="N690" s="23"/>
      <c r="O690" s="23"/>
      <c r="P690" s="23"/>
      <c r="Q690" s="23"/>
      <c r="R690" s="23"/>
      <c r="S690" s="23"/>
      <c r="T690" s="23"/>
      <c r="U690" s="23"/>
    </row>
    <row r="691" spans="1:21" x14ac:dyDescent="0.2">
      <c r="A691" s="23">
        <v>27</v>
      </c>
      <c r="B691" s="23">
        <v>1</v>
      </c>
      <c r="C691" s="23">
        <v>31.13</v>
      </c>
      <c r="D691" s="23">
        <v>1</v>
      </c>
      <c r="E691" s="23">
        <v>1</v>
      </c>
      <c r="F691" s="23">
        <v>0</v>
      </c>
      <c r="G691" s="23">
        <v>1</v>
      </c>
      <c r="H691" s="23">
        <v>0</v>
      </c>
      <c r="I691" s="23">
        <v>0</v>
      </c>
      <c r="J691" s="23">
        <v>34806.467700000001</v>
      </c>
      <c r="N691" s="23"/>
      <c r="O691" s="23"/>
      <c r="P691" s="23"/>
      <c r="Q691" s="23"/>
      <c r="R691" s="23"/>
      <c r="S691" s="23"/>
      <c r="T691" s="23"/>
      <c r="U691" s="23"/>
    </row>
    <row r="692" spans="1:21" x14ac:dyDescent="0.2">
      <c r="A692" s="23">
        <v>21</v>
      </c>
      <c r="B692" s="23">
        <v>1</v>
      </c>
      <c r="C692" s="23">
        <v>27.36</v>
      </c>
      <c r="D692" s="23">
        <v>0</v>
      </c>
      <c r="E692" s="23">
        <v>0</v>
      </c>
      <c r="F692" s="23">
        <v>1</v>
      </c>
      <c r="G692" s="23">
        <v>0</v>
      </c>
      <c r="H692" s="23">
        <v>0</v>
      </c>
      <c r="I692" s="23">
        <v>0</v>
      </c>
      <c r="J692" s="23">
        <v>2104.1134000000002</v>
      </c>
      <c r="N692" s="23"/>
      <c r="O692" s="23"/>
      <c r="P692" s="23"/>
      <c r="Q692" s="23"/>
      <c r="R692" s="23"/>
      <c r="S692" s="23"/>
      <c r="T692" s="23"/>
      <c r="U692" s="23"/>
    </row>
    <row r="693" spans="1:21" x14ac:dyDescent="0.2">
      <c r="A693" s="23">
        <v>47</v>
      </c>
      <c r="B693" s="23">
        <v>1</v>
      </c>
      <c r="C693" s="23">
        <v>36.200000000000003</v>
      </c>
      <c r="D693" s="23">
        <v>1</v>
      </c>
      <c r="E693" s="23">
        <v>0</v>
      </c>
      <c r="F693" s="23">
        <v>0</v>
      </c>
      <c r="G693" s="23">
        <v>0</v>
      </c>
      <c r="H693" s="23">
        <v>1</v>
      </c>
      <c r="I693" s="23">
        <v>0</v>
      </c>
      <c r="J693" s="23">
        <v>8068.1850000000004</v>
      </c>
      <c r="N693" s="23"/>
      <c r="O693" s="23"/>
      <c r="P693" s="23"/>
      <c r="Q693" s="23"/>
      <c r="R693" s="23"/>
      <c r="S693" s="23"/>
      <c r="T693" s="23"/>
      <c r="U693" s="23"/>
    </row>
    <row r="694" spans="1:21" x14ac:dyDescent="0.2">
      <c r="A694" s="23">
        <v>20</v>
      </c>
      <c r="B694" s="23">
        <v>1</v>
      </c>
      <c r="C694" s="23">
        <v>32.395000000000003</v>
      </c>
      <c r="D694" s="23">
        <v>1</v>
      </c>
      <c r="E694" s="23">
        <v>0</v>
      </c>
      <c r="F694" s="23">
        <v>0</v>
      </c>
      <c r="G694" s="23">
        <v>0</v>
      </c>
      <c r="H694" s="23">
        <v>0</v>
      </c>
      <c r="I694" s="23">
        <v>1</v>
      </c>
      <c r="J694" s="23">
        <v>2362.2290499999999</v>
      </c>
      <c r="N694" s="23"/>
      <c r="O694" s="23"/>
      <c r="P694" s="23"/>
      <c r="Q694" s="23"/>
      <c r="R694" s="23"/>
      <c r="S694" s="23"/>
      <c r="T694" s="23"/>
      <c r="U694" s="23"/>
    </row>
    <row r="695" spans="1:21" x14ac:dyDescent="0.2">
      <c r="A695" s="23">
        <v>24</v>
      </c>
      <c r="B695" s="23">
        <v>1</v>
      </c>
      <c r="C695" s="23">
        <v>23.655000000000001</v>
      </c>
      <c r="D695" s="23">
        <v>0</v>
      </c>
      <c r="E695" s="23">
        <v>0</v>
      </c>
      <c r="F695" s="23">
        <v>0</v>
      </c>
      <c r="G695" s="23">
        <v>0</v>
      </c>
      <c r="H695" s="23">
        <v>0</v>
      </c>
      <c r="I695" s="23">
        <v>1</v>
      </c>
      <c r="J695" s="23">
        <v>2352.9684499999998</v>
      </c>
      <c r="N695" s="23"/>
      <c r="O695" s="23"/>
      <c r="P695" s="23"/>
      <c r="Q695" s="23"/>
      <c r="R695" s="23"/>
      <c r="S695" s="23"/>
      <c r="T695" s="23"/>
      <c r="U695" s="23"/>
    </row>
    <row r="696" spans="1:21" x14ac:dyDescent="0.2">
      <c r="A696" s="23">
        <v>27</v>
      </c>
      <c r="B696" s="23">
        <v>0</v>
      </c>
      <c r="C696" s="23">
        <v>34.799999999999997</v>
      </c>
      <c r="D696" s="23">
        <v>1</v>
      </c>
      <c r="E696" s="23">
        <v>0</v>
      </c>
      <c r="F696" s="23">
        <v>0</v>
      </c>
      <c r="G696" s="23">
        <v>0</v>
      </c>
      <c r="H696" s="23">
        <v>1</v>
      </c>
      <c r="I696" s="23">
        <v>0</v>
      </c>
      <c r="J696" s="23">
        <v>3577.9989999999998</v>
      </c>
      <c r="N696" s="23"/>
      <c r="O696" s="23"/>
      <c r="P696" s="23"/>
      <c r="Q696" s="23"/>
      <c r="R696" s="23"/>
      <c r="S696" s="23"/>
      <c r="T696" s="23"/>
      <c r="U696" s="23"/>
    </row>
    <row r="697" spans="1:21" x14ac:dyDescent="0.2">
      <c r="A697" s="23">
        <v>26</v>
      </c>
      <c r="B697" s="23">
        <v>0</v>
      </c>
      <c r="C697" s="23">
        <v>40.185000000000002</v>
      </c>
      <c r="D697" s="23">
        <v>0</v>
      </c>
      <c r="E697" s="23">
        <v>0</v>
      </c>
      <c r="F697" s="23">
        <v>0</v>
      </c>
      <c r="G697" s="23">
        <v>0</v>
      </c>
      <c r="H697" s="23">
        <v>0</v>
      </c>
      <c r="I697" s="23">
        <v>1</v>
      </c>
      <c r="J697" s="23">
        <v>3201.2451500000002</v>
      </c>
      <c r="N697" s="23"/>
      <c r="O697" s="23"/>
      <c r="P697" s="23"/>
      <c r="Q697" s="23"/>
      <c r="R697" s="23"/>
      <c r="S697" s="23"/>
      <c r="T697" s="23"/>
      <c r="U697" s="23"/>
    </row>
    <row r="698" spans="1:21" x14ac:dyDescent="0.2">
      <c r="A698" s="23">
        <v>53</v>
      </c>
      <c r="B698" s="23">
        <v>0</v>
      </c>
      <c r="C698" s="23">
        <v>32.299999999999997</v>
      </c>
      <c r="D698" s="23">
        <v>2</v>
      </c>
      <c r="E698" s="23">
        <v>0</v>
      </c>
      <c r="F698" s="23">
        <v>1</v>
      </c>
      <c r="G698" s="23">
        <v>0</v>
      </c>
      <c r="H698" s="23">
        <v>0</v>
      </c>
      <c r="I698" s="23">
        <v>0</v>
      </c>
      <c r="J698" s="23">
        <v>29186.482360000002</v>
      </c>
      <c r="N698" s="23"/>
      <c r="O698" s="23"/>
      <c r="P698" s="23"/>
      <c r="Q698" s="23"/>
      <c r="R698" s="23"/>
      <c r="S698" s="23"/>
      <c r="T698" s="23"/>
      <c r="U698" s="23"/>
    </row>
    <row r="699" spans="1:21" x14ac:dyDescent="0.2">
      <c r="A699" s="23">
        <v>41</v>
      </c>
      <c r="B699" s="23">
        <v>1</v>
      </c>
      <c r="C699" s="23">
        <v>35.75</v>
      </c>
      <c r="D699" s="23">
        <v>1</v>
      </c>
      <c r="E699" s="23">
        <v>1</v>
      </c>
      <c r="F699" s="23">
        <v>0</v>
      </c>
      <c r="G699" s="23">
        <v>1</v>
      </c>
      <c r="H699" s="23">
        <v>0</v>
      </c>
      <c r="I699" s="23">
        <v>0</v>
      </c>
      <c r="J699" s="23">
        <v>40273.645499999999</v>
      </c>
      <c r="N699" s="23"/>
      <c r="O699" s="23"/>
      <c r="P699" s="23"/>
      <c r="Q699" s="23"/>
      <c r="R699" s="23"/>
      <c r="S699" s="23"/>
      <c r="T699" s="23"/>
      <c r="U699" s="23"/>
    </row>
    <row r="700" spans="1:21" x14ac:dyDescent="0.2">
      <c r="A700" s="23">
        <v>56</v>
      </c>
      <c r="B700" s="23">
        <v>1</v>
      </c>
      <c r="C700" s="23">
        <v>33.725000000000001</v>
      </c>
      <c r="D700" s="23">
        <v>0</v>
      </c>
      <c r="E700" s="23">
        <v>0</v>
      </c>
      <c r="F700" s="23">
        <v>0</v>
      </c>
      <c r="G700" s="23">
        <v>0</v>
      </c>
      <c r="H700" s="23">
        <v>0</v>
      </c>
      <c r="I700" s="23">
        <v>1</v>
      </c>
      <c r="J700" s="23">
        <v>10976.24575</v>
      </c>
      <c r="N700" s="23"/>
      <c r="O700" s="23"/>
      <c r="P700" s="23"/>
      <c r="Q700" s="23"/>
      <c r="R700" s="23"/>
      <c r="S700" s="23"/>
      <c r="T700" s="23"/>
      <c r="U700" s="23"/>
    </row>
    <row r="701" spans="1:21" x14ac:dyDescent="0.2">
      <c r="A701" s="23">
        <v>23</v>
      </c>
      <c r="B701" s="23">
        <v>0</v>
      </c>
      <c r="C701" s="23">
        <v>39.270000000000003</v>
      </c>
      <c r="D701" s="23">
        <v>2</v>
      </c>
      <c r="E701" s="23">
        <v>0</v>
      </c>
      <c r="F701" s="23">
        <v>0</v>
      </c>
      <c r="G701" s="23">
        <v>1</v>
      </c>
      <c r="H701" s="23">
        <v>0</v>
      </c>
      <c r="I701" s="23">
        <v>0</v>
      </c>
      <c r="J701" s="23">
        <v>3500.6122999999998</v>
      </c>
      <c r="N701" s="23"/>
      <c r="O701" s="23"/>
      <c r="P701" s="23"/>
      <c r="Q701" s="23"/>
      <c r="R701" s="23"/>
      <c r="S701" s="23"/>
      <c r="T701" s="23"/>
      <c r="U701" s="23"/>
    </row>
    <row r="702" spans="1:21" x14ac:dyDescent="0.2">
      <c r="A702" s="23">
        <v>21</v>
      </c>
      <c r="B702" s="23">
        <v>0</v>
      </c>
      <c r="C702" s="23">
        <v>34.869999999999997</v>
      </c>
      <c r="D702" s="23">
        <v>0</v>
      </c>
      <c r="E702" s="23">
        <v>0</v>
      </c>
      <c r="F702" s="23">
        <v>0</v>
      </c>
      <c r="G702" s="23">
        <v>1</v>
      </c>
      <c r="H702" s="23">
        <v>0</v>
      </c>
      <c r="I702" s="23">
        <v>0</v>
      </c>
      <c r="J702" s="23">
        <v>2020.5523000000001</v>
      </c>
      <c r="N702" s="23"/>
      <c r="O702" s="23"/>
      <c r="P702" s="23"/>
      <c r="Q702" s="23"/>
      <c r="R702" s="23"/>
      <c r="S702" s="23"/>
      <c r="T702" s="23"/>
      <c r="U702" s="23"/>
    </row>
    <row r="703" spans="1:21" x14ac:dyDescent="0.2">
      <c r="A703" s="23">
        <v>50</v>
      </c>
      <c r="B703" s="23">
        <v>0</v>
      </c>
      <c r="C703" s="23">
        <v>44.744999999999997</v>
      </c>
      <c r="D703" s="23">
        <v>0</v>
      </c>
      <c r="E703" s="23">
        <v>0</v>
      </c>
      <c r="F703" s="23">
        <v>1</v>
      </c>
      <c r="G703" s="23">
        <v>0</v>
      </c>
      <c r="H703" s="23">
        <v>0</v>
      </c>
      <c r="I703" s="23">
        <v>0</v>
      </c>
      <c r="J703" s="23">
        <v>9541.6955500000004</v>
      </c>
      <c r="N703" s="23"/>
      <c r="O703" s="23"/>
      <c r="P703" s="23"/>
      <c r="Q703" s="23"/>
      <c r="R703" s="23"/>
      <c r="S703" s="23"/>
      <c r="T703" s="23"/>
      <c r="U703" s="23"/>
    </row>
    <row r="704" spans="1:21" x14ac:dyDescent="0.2">
      <c r="A704" s="23">
        <v>53</v>
      </c>
      <c r="B704" s="23">
        <v>1</v>
      </c>
      <c r="C704" s="23">
        <v>41.47</v>
      </c>
      <c r="D704" s="23">
        <v>0</v>
      </c>
      <c r="E704" s="23">
        <v>0</v>
      </c>
      <c r="F704" s="23">
        <v>0</v>
      </c>
      <c r="G704" s="23">
        <v>1</v>
      </c>
      <c r="H704" s="23">
        <v>0</v>
      </c>
      <c r="I704" s="23">
        <v>0</v>
      </c>
      <c r="J704" s="23">
        <v>9504.3102999999992</v>
      </c>
      <c r="N704" s="23"/>
      <c r="O704" s="23"/>
      <c r="P704" s="23"/>
      <c r="Q704" s="23"/>
      <c r="R704" s="23"/>
      <c r="S704" s="23"/>
      <c r="T704" s="23"/>
      <c r="U704" s="23"/>
    </row>
    <row r="705" spans="1:21" x14ac:dyDescent="0.2">
      <c r="A705" s="23">
        <v>34</v>
      </c>
      <c r="B705" s="23">
        <v>0</v>
      </c>
      <c r="C705" s="23">
        <v>26.41</v>
      </c>
      <c r="D705" s="23">
        <v>1</v>
      </c>
      <c r="E705" s="23">
        <v>0</v>
      </c>
      <c r="F705" s="23">
        <v>0</v>
      </c>
      <c r="G705" s="23">
        <v>0</v>
      </c>
      <c r="H705" s="23">
        <v>0</v>
      </c>
      <c r="I705" s="23">
        <v>1</v>
      </c>
      <c r="J705" s="23">
        <v>5385.3379000000004</v>
      </c>
      <c r="N705" s="23"/>
      <c r="O705" s="23"/>
      <c r="P705" s="23"/>
      <c r="Q705" s="23"/>
      <c r="R705" s="23"/>
      <c r="S705" s="23"/>
      <c r="T705" s="23"/>
      <c r="U705" s="23"/>
    </row>
    <row r="706" spans="1:21" x14ac:dyDescent="0.2">
      <c r="A706" s="23">
        <v>47</v>
      </c>
      <c r="B706" s="23">
        <v>0</v>
      </c>
      <c r="C706" s="23">
        <v>29.545000000000002</v>
      </c>
      <c r="D706" s="23">
        <v>1</v>
      </c>
      <c r="E706" s="23">
        <v>0</v>
      </c>
      <c r="F706" s="23">
        <v>0</v>
      </c>
      <c r="G706" s="23">
        <v>0</v>
      </c>
      <c r="H706" s="23">
        <v>0</v>
      </c>
      <c r="I706" s="23">
        <v>1</v>
      </c>
      <c r="J706" s="23">
        <v>8930.9345499999999</v>
      </c>
      <c r="N706" s="23"/>
      <c r="O706" s="23"/>
      <c r="P706" s="23"/>
      <c r="Q706" s="23"/>
      <c r="R706" s="23"/>
      <c r="S706" s="23"/>
      <c r="T706" s="23"/>
      <c r="U706" s="23"/>
    </row>
    <row r="707" spans="1:21" x14ac:dyDescent="0.2">
      <c r="A707" s="23">
        <v>33</v>
      </c>
      <c r="B707" s="23">
        <v>0</v>
      </c>
      <c r="C707" s="23">
        <v>32.9</v>
      </c>
      <c r="D707" s="23">
        <v>2</v>
      </c>
      <c r="E707" s="23">
        <v>0</v>
      </c>
      <c r="F707" s="23">
        <v>0</v>
      </c>
      <c r="G707" s="23">
        <v>0</v>
      </c>
      <c r="H707" s="23">
        <v>1</v>
      </c>
      <c r="I707" s="23">
        <v>0</v>
      </c>
      <c r="J707" s="23">
        <v>5375.0379999999996</v>
      </c>
      <c r="N707" s="23"/>
      <c r="O707" s="23"/>
      <c r="P707" s="23"/>
      <c r="Q707" s="23"/>
      <c r="R707" s="23"/>
      <c r="S707" s="23"/>
      <c r="T707" s="23"/>
      <c r="U707" s="23"/>
    </row>
    <row r="708" spans="1:21" x14ac:dyDescent="0.2">
      <c r="A708" s="23">
        <v>51</v>
      </c>
      <c r="B708" s="23">
        <v>0</v>
      </c>
      <c r="C708" s="23">
        <v>38.06</v>
      </c>
      <c r="D708" s="23">
        <v>0</v>
      </c>
      <c r="E708" s="23">
        <v>1</v>
      </c>
      <c r="F708" s="23">
        <v>0</v>
      </c>
      <c r="G708" s="23">
        <v>1</v>
      </c>
      <c r="H708" s="23">
        <v>0</v>
      </c>
      <c r="I708" s="23">
        <v>0</v>
      </c>
      <c r="J708" s="23">
        <v>44400.4064</v>
      </c>
      <c r="N708" s="23"/>
      <c r="O708" s="23"/>
      <c r="P708" s="23"/>
      <c r="Q708" s="23"/>
      <c r="R708" s="23"/>
      <c r="S708" s="23"/>
      <c r="T708" s="23"/>
      <c r="U708" s="23"/>
    </row>
    <row r="709" spans="1:21" x14ac:dyDescent="0.2">
      <c r="A709" s="23">
        <v>49</v>
      </c>
      <c r="B709" s="23">
        <v>1</v>
      </c>
      <c r="C709" s="23">
        <v>28.69</v>
      </c>
      <c r="D709" s="23">
        <v>3</v>
      </c>
      <c r="E709" s="23">
        <v>0</v>
      </c>
      <c r="F709" s="23">
        <v>0</v>
      </c>
      <c r="G709" s="23">
        <v>0</v>
      </c>
      <c r="H709" s="23">
        <v>0</v>
      </c>
      <c r="I709" s="23">
        <v>1</v>
      </c>
      <c r="J709" s="23">
        <v>10264.4421</v>
      </c>
      <c r="N709" s="23"/>
      <c r="O709" s="23"/>
      <c r="P709" s="23"/>
      <c r="Q709" s="23"/>
      <c r="R709" s="23"/>
      <c r="S709" s="23"/>
      <c r="T709" s="23"/>
      <c r="U709" s="23"/>
    </row>
    <row r="710" spans="1:21" x14ac:dyDescent="0.2">
      <c r="A710" s="23">
        <v>31</v>
      </c>
      <c r="B710" s="23">
        <v>0</v>
      </c>
      <c r="C710" s="23">
        <v>30.495000000000001</v>
      </c>
      <c r="D710" s="23">
        <v>3</v>
      </c>
      <c r="E710" s="23">
        <v>0</v>
      </c>
      <c r="F710" s="23">
        <v>1</v>
      </c>
      <c r="G710" s="23">
        <v>0</v>
      </c>
      <c r="H710" s="23">
        <v>0</v>
      </c>
      <c r="I710" s="23">
        <v>0</v>
      </c>
      <c r="J710" s="23">
        <v>6113.2310500000003</v>
      </c>
      <c r="N710" s="23"/>
      <c r="O710" s="23"/>
      <c r="P710" s="23"/>
      <c r="Q710" s="23"/>
      <c r="R710" s="23"/>
      <c r="S710" s="23"/>
      <c r="T710" s="23"/>
      <c r="U710" s="23"/>
    </row>
    <row r="711" spans="1:21" x14ac:dyDescent="0.2">
      <c r="A711" s="23">
        <v>36</v>
      </c>
      <c r="B711" s="23">
        <v>0</v>
      </c>
      <c r="C711" s="23">
        <v>27.74</v>
      </c>
      <c r="D711" s="23">
        <v>0</v>
      </c>
      <c r="E711" s="23">
        <v>0</v>
      </c>
      <c r="F711" s="23">
        <v>1</v>
      </c>
      <c r="G711" s="23">
        <v>0</v>
      </c>
      <c r="H711" s="23">
        <v>0</v>
      </c>
      <c r="I711" s="23">
        <v>0</v>
      </c>
      <c r="J711" s="23">
        <v>5469.0065999999997</v>
      </c>
      <c r="N711" s="23"/>
      <c r="O711" s="23"/>
      <c r="P711" s="23"/>
      <c r="Q711" s="23"/>
      <c r="R711" s="23"/>
      <c r="S711" s="23"/>
      <c r="T711" s="23"/>
      <c r="U711" s="23"/>
    </row>
    <row r="712" spans="1:21" x14ac:dyDescent="0.2">
      <c r="A712" s="23">
        <v>18</v>
      </c>
      <c r="B712" s="23">
        <v>1</v>
      </c>
      <c r="C712" s="23">
        <v>35.200000000000003</v>
      </c>
      <c r="D712" s="23">
        <v>1</v>
      </c>
      <c r="E712" s="23">
        <v>0</v>
      </c>
      <c r="F712" s="23">
        <v>0</v>
      </c>
      <c r="G712" s="23">
        <v>1</v>
      </c>
      <c r="H712" s="23">
        <v>0</v>
      </c>
      <c r="I712" s="23">
        <v>0</v>
      </c>
      <c r="J712" s="23">
        <v>1727.54</v>
      </c>
      <c r="N712" s="23"/>
      <c r="O712" s="23"/>
      <c r="P712" s="23"/>
      <c r="Q712" s="23"/>
      <c r="R712" s="23"/>
      <c r="S712" s="23"/>
      <c r="T712" s="23"/>
      <c r="U712" s="23"/>
    </row>
    <row r="713" spans="1:21" x14ac:dyDescent="0.2">
      <c r="A713" s="23">
        <v>50</v>
      </c>
      <c r="B713" s="23">
        <v>0</v>
      </c>
      <c r="C713" s="23">
        <v>23.54</v>
      </c>
      <c r="D713" s="23">
        <v>2</v>
      </c>
      <c r="E713" s="23">
        <v>0</v>
      </c>
      <c r="F713" s="23">
        <v>0</v>
      </c>
      <c r="G713" s="23">
        <v>1</v>
      </c>
      <c r="H713" s="23">
        <v>0</v>
      </c>
      <c r="I713" s="23">
        <v>0</v>
      </c>
      <c r="J713" s="23">
        <v>10107.220600000001</v>
      </c>
      <c r="N713" s="23"/>
      <c r="O713" s="23"/>
      <c r="P713" s="23"/>
      <c r="Q713" s="23"/>
      <c r="R713" s="23"/>
      <c r="S713" s="23"/>
      <c r="T713" s="23"/>
      <c r="U713" s="23"/>
    </row>
    <row r="714" spans="1:21" x14ac:dyDescent="0.2">
      <c r="A714" s="23">
        <v>43</v>
      </c>
      <c r="B714" s="23">
        <v>0</v>
      </c>
      <c r="C714" s="23">
        <v>30.684999999999999</v>
      </c>
      <c r="D714" s="23">
        <v>2</v>
      </c>
      <c r="E714" s="23">
        <v>0</v>
      </c>
      <c r="F714" s="23">
        <v>0</v>
      </c>
      <c r="G714" s="23">
        <v>0</v>
      </c>
      <c r="H714" s="23">
        <v>0</v>
      </c>
      <c r="I714" s="23">
        <v>1</v>
      </c>
      <c r="J714" s="23">
        <v>8310.8391499999998</v>
      </c>
      <c r="N714" s="23"/>
      <c r="O714" s="23"/>
      <c r="P714" s="23"/>
      <c r="Q714" s="23"/>
      <c r="R714" s="23"/>
      <c r="S714" s="23"/>
      <c r="T714" s="23"/>
      <c r="U714" s="23"/>
    </row>
    <row r="715" spans="1:21" x14ac:dyDescent="0.2">
      <c r="A715" s="23">
        <v>20</v>
      </c>
      <c r="B715" s="23">
        <v>1</v>
      </c>
      <c r="C715" s="23">
        <v>40.47</v>
      </c>
      <c r="D715" s="23">
        <v>0</v>
      </c>
      <c r="E715" s="23">
        <v>0</v>
      </c>
      <c r="F715" s="23">
        <v>1</v>
      </c>
      <c r="G715" s="23">
        <v>0</v>
      </c>
      <c r="H715" s="23">
        <v>0</v>
      </c>
      <c r="I715" s="23">
        <v>0</v>
      </c>
      <c r="J715" s="23">
        <v>1984.4532999999999</v>
      </c>
      <c r="N715" s="23"/>
      <c r="O715" s="23"/>
      <c r="P715" s="23"/>
      <c r="Q715" s="23"/>
      <c r="R715" s="23"/>
      <c r="S715" s="23"/>
      <c r="T715" s="23"/>
      <c r="U715" s="23"/>
    </row>
    <row r="716" spans="1:21" x14ac:dyDescent="0.2">
      <c r="A716" s="23">
        <v>24</v>
      </c>
      <c r="B716" s="23">
        <v>0</v>
      </c>
      <c r="C716" s="23">
        <v>22.6</v>
      </c>
      <c r="D716" s="23">
        <v>0</v>
      </c>
      <c r="E716" s="23">
        <v>0</v>
      </c>
      <c r="F716" s="23">
        <v>0</v>
      </c>
      <c r="G716" s="23">
        <v>0</v>
      </c>
      <c r="H716" s="23">
        <v>1</v>
      </c>
      <c r="I716" s="23">
        <v>0</v>
      </c>
      <c r="J716" s="23">
        <v>2457.502</v>
      </c>
      <c r="N716" s="23"/>
      <c r="O716" s="23"/>
      <c r="P716" s="23"/>
      <c r="Q716" s="23"/>
      <c r="R716" s="23"/>
      <c r="S716" s="23"/>
      <c r="T716" s="23"/>
      <c r="U716" s="23"/>
    </row>
    <row r="717" spans="1:21" x14ac:dyDescent="0.2">
      <c r="A717" s="23">
        <v>60</v>
      </c>
      <c r="B717" s="23">
        <v>1</v>
      </c>
      <c r="C717" s="23">
        <v>28.9</v>
      </c>
      <c r="D717" s="23">
        <v>0</v>
      </c>
      <c r="E717" s="23">
        <v>0</v>
      </c>
      <c r="F717" s="23">
        <v>0</v>
      </c>
      <c r="G717" s="23">
        <v>0</v>
      </c>
      <c r="H717" s="23">
        <v>1</v>
      </c>
      <c r="I717" s="23">
        <v>0</v>
      </c>
      <c r="J717" s="23">
        <v>12146.971</v>
      </c>
      <c r="N717" s="23"/>
      <c r="O717" s="23"/>
      <c r="P717" s="23"/>
      <c r="Q717" s="23"/>
      <c r="R717" s="23"/>
      <c r="S717" s="23"/>
      <c r="T717" s="23"/>
      <c r="U717" s="23"/>
    </row>
    <row r="718" spans="1:21" x14ac:dyDescent="0.2">
      <c r="A718" s="23">
        <v>49</v>
      </c>
      <c r="B718" s="23">
        <v>0</v>
      </c>
      <c r="C718" s="23">
        <v>22.61</v>
      </c>
      <c r="D718" s="23">
        <v>1</v>
      </c>
      <c r="E718" s="23">
        <v>0</v>
      </c>
      <c r="F718" s="23">
        <v>0</v>
      </c>
      <c r="G718" s="23">
        <v>0</v>
      </c>
      <c r="H718" s="23">
        <v>0</v>
      </c>
      <c r="I718" s="23">
        <v>1</v>
      </c>
      <c r="J718" s="23">
        <v>9566.9909000000007</v>
      </c>
      <c r="N718" s="23"/>
      <c r="O718" s="23"/>
      <c r="P718" s="23"/>
      <c r="Q718" s="23"/>
      <c r="R718" s="23"/>
      <c r="S718" s="23"/>
      <c r="T718" s="23"/>
      <c r="U718" s="23"/>
    </row>
    <row r="719" spans="1:21" x14ac:dyDescent="0.2">
      <c r="A719" s="23">
        <v>60</v>
      </c>
      <c r="B719" s="23">
        <v>1</v>
      </c>
      <c r="C719" s="23">
        <v>24.32</v>
      </c>
      <c r="D719" s="23">
        <v>1</v>
      </c>
      <c r="E719" s="23">
        <v>0</v>
      </c>
      <c r="F719" s="23">
        <v>0</v>
      </c>
      <c r="G719" s="23">
        <v>0</v>
      </c>
      <c r="H719" s="23">
        <v>0</v>
      </c>
      <c r="I719" s="23">
        <v>1</v>
      </c>
      <c r="J719" s="23">
        <v>13112.604799999999</v>
      </c>
      <c r="N719" s="23"/>
      <c r="O719" s="23"/>
      <c r="P719" s="23"/>
      <c r="Q719" s="23"/>
      <c r="R719" s="23"/>
      <c r="S719" s="23"/>
      <c r="T719" s="23"/>
      <c r="U719" s="23"/>
    </row>
    <row r="720" spans="1:21" x14ac:dyDescent="0.2">
      <c r="A720" s="23">
        <v>51</v>
      </c>
      <c r="B720" s="23">
        <v>0</v>
      </c>
      <c r="C720" s="23">
        <v>36.67</v>
      </c>
      <c r="D720" s="23">
        <v>2</v>
      </c>
      <c r="E720" s="23">
        <v>0</v>
      </c>
      <c r="F720" s="23">
        <v>0</v>
      </c>
      <c r="G720" s="23">
        <v>0</v>
      </c>
      <c r="H720" s="23">
        <v>0</v>
      </c>
      <c r="I720" s="23">
        <v>1</v>
      </c>
      <c r="J720" s="23">
        <v>10848.1343</v>
      </c>
      <c r="N720" s="23"/>
      <c r="O720" s="23"/>
      <c r="P720" s="23"/>
      <c r="Q720" s="23"/>
      <c r="R720" s="23"/>
      <c r="S720" s="23"/>
      <c r="T720" s="23"/>
      <c r="U720" s="23"/>
    </row>
    <row r="721" spans="1:21" x14ac:dyDescent="0.2">
      <c r="A721" s="23">
        <v>58</v>
      </c>
      <c r="B721" s="23">
        <v>0</v>
      </c>
      <c r="C721" s="23">
        <v>33.44</v>
      </c>
      <c r="D721" s="23">
        <v>0</v>
      </c>
      <c r="E721" s="23">
        <v>0</v>
      </c>
      <c r="F721" s="23">
        <v>0</v>
      </c>
      <c r="G721" s="23">
        <v>0</v>
      </c>
      <c r="H721" s="23">
        <v>0</v>
      </c>
      <c r="I721" s="23">
        <v>1</v>
      </c>
      <c r="J721" s="23">
        <v>12231.613600000001</v>
      </c>
      <c r="N721" s="23"/>
      <c r="O721" s="23"/>
      <c r="P721" s="23"/>
      <c r="Q721" s="23"/>
      <c r="R721" s="23"/>
      <c r="S721" s="23"/>
      <c r="T721" s="23"/>
      <c r="U721" s="23"/>
    </row>
    <row r="722" spans="1:21" x14ac:dyDescent="0.2">
      <c r="A722" s="23">
        <v>51</v>
      </c>
      <c r="B722" s="23">
        <v>0</v>
      </c>
      <c r="C722" s="23">
        <v>40.659999999999997</v>
      </c>
      <c r="D722" s="23">
        <v>0</v>
      </c>
      <c r="E722" s="23">
        <v>0</v>
      </c>
      <c r="F722" s="23">
        <v>1</v>
      </c>
      <c r="G722" s="23">
        <v>0</v>
      </c>
      <c r="H722" s="23">
        <v>0</v>
      </c>
      <c r="I722" s="23">
        <v>0</v>
      </c>
      <c r="J722" s="23">
        <v>9875.6803999999993</v>
      </c>
      <c r="N722" s="23"/>
      <c r="O722" s="23"/>
      <c r="P722" s="23"/>
      <c r="Q722" s="23"/>
      <c r="R722" s="23"/>
      <c r="S722" s="23"/>
      <c r="T722" s="23"/>
      <c r="U722" s="23"/>
    </row>
    <row r="723" spans="1:21" x14ac:dyDescent="0.2">
      <c r="A723" s="23">
        <v>53</v>
      </c>
      <c r="B723" s="23">
        <v>1</v>
      </c>
      <c r="C723" s="23">
        <v>36.6</v>
      </c>
      <c r="D723" s="23">
        <v>3</v>
      </c>
      <c r="E723" s="23">
        <v>0</v>
      </c>
      <c r="F723" s="23">
        <v>0</v>
      </c>
      <c r="G723" s="23">
        <v>0</v>
      </c>
      <c r="H723" s="23">
        <v>1</v>
      </c>
      <c r="I723" s="23">
        <v>0</v>
      </c>
      <c r="J723" s="23">
        <v>11264.540999999999</v>
      </c>
      <c r="N723" s="23"/>
      <c r="O723" s="23"/>
      <c r="P723" s="23"/>
      <c r="Q723" s="23"/>
      <c r="R723" s="23"/>
      <c r="S723" s="23"/>
      <c r="T723" s="23"/>
      <c r="U723" s="23"/>
    </row>
    <row r="724" spans="1:21" x14ac:dyDescent="0.2">
      <c r="A724" s="23">
        <v>62</v>
      </c>
      <c r="B724" s="23">
        <v>1</v>
      </c>
      <c r="C724" s="23">
        <v>37.4</v>
      </c>
      <c r="D724" s="23">
        <v>0</v>
      </c>
      <c r="E724" s="23">
        <v>0</v>
      </c>
      <c r="F724" s="23">
        <v>0</v>
      </c>
      <c r="G724" s="23">
        <v>0</v>
      </c>
      <c r="H724" s="23">
        <v>1</v>
      </c>
      <c r="I724" s="23">
        <v>0</v>
      </c>
      <c r="J724" s="23">
        <v>12979.358</v>
      </c>
      <c r="N724" s="23"/>
      <c r="O724" s="23"/>
      <c r="P724" s="23"/>
      <c r="Q724" s="23"/>
      <c r="R724" s="23"/>
      <c r="S724" s="23"/>
      <c r="T724" s="23"/>
      <c r="U724" s="23"/>
    </row>
    <row r="725" spans="1:21" x14ac:dyDescent="0.2">
      <c r="A725" s="23">
        <v>19</v>
      </c>
      <c r="B725" s="23">
        <v>1</v>
      </c>
      <c r="C725" s="23">
        <v>35.4</v>
      </c>
      <c r="D725" s="23">
        <v>0</v>
      </c>
      <c r="E725" s="23">
        <v>0</v>
      </c>
      <c r="F725" s="23">
        <v>0</v>
      </c>
      <c r="G725" s="23">
        <v>0</v>
      </c>
      <c r="H725" s="23">
        <v>1</v>
      </c>
      <c r="I725" s="23">
        <v>0</v>
      </c>
      <c r="J725" s="23">
        <v>1263.249</v>
      </c>
      <c r="N725" s="23"/>
      <c r="O725" s="23"/>
      <c r="P725" s="23"/>
      <c r="Q725" s="23"/>
      <c r="R725" s="23"/>
      <c r="S725" s="23"/>
      <c r="T725" s="23"/>
      <c r="U725" s="23"/>
    </row>
    <row r="726" spans="1:21" x14ac:dyDescent="0.2">
      <c r="A726" s="23">
        <v>50</v>
      </c>
      <c r="B726" s="23">
        <v>0</v>
      </c>
      <c r="C726" s="23">
        <v>27.074999999999999</v>
      </c>
      <c r="D726" s="23">
        <v>1</v>
      </c>
      <c r="E726" s="23">
        <v>0</v>
      </c>
      <c r="F726" s="23">
        <v>1</v>
      </c>
      <c r="G726" s="23">
        <v>0</v>
      </c>
      <c r="H726" s="23">
        <v>0</v>
      </c>
      <c r="I726" s="23">
        <v>0</v>
      </c>
      <c r="J726" s="23">
        <v>10106.134249999999</v>
      </c>
      <c r="N726" s="23"/>
      <c r="O726" s="23"/>
      <c r="P726" s="23"/>
      <c r="Q726" s="23"/>
      <c r="R726" s="23"/>
      <c r="S726" s="23"/>
      <c r="T726" s="23"/>
      <c r="U726" s="23"/>
    </row>
    <row r="727" spans="1:21" x14ac:dyDescent="0.2">
      <c r="A727" s="23">
        <v>30</v>
      </c>
      <c r="B727" s="23">
        <v>0</v>
      </c>
      <c r="C727" s="23">
        <v>39.049999999999997</v>
      </c>
      <c r="D727" s="23">
        <v>3</v>
      </c>
      <c r="E727" s="23">
        <v>1</v>
      </c>
      <c r="F727" s="23">
        <v>0</v>
      </c>
      <c r="G727" s="23">
        <v>1</v>
      </c>
      <c r="H727" s="23">
        <v>0</v>
      </c>
      <c r="I727" s="23">
        <v>0</v>
      </c>
      <c r="J727" s="23">
        <v>40932.429499999998</v>
      </c>
      <c r="N727" s="23"/>
      <c r="O727" s="23"/>
      <c r="P727" s="23"/>
      <c r="Q727" s="23"/>
      <c r="R727" s="23"/>
      <c r="S727" s="23"/>
      <c r="T727" s="23"/>
      <c r="U727" s="23"/>
    </row>
    <row r="728" spans="1:21" x14ac:dyDescent="0.2">
      <c r="A728" s="23">
        <v>41</v>
      </c>
      <c r="B728" s="23">
        <v>1</v>
      </c>
      <c r="C728" s="23">
        <v>28.405000000000001</v>
      </c>
      <c r="D728" s="23">
        <v>1</v>
      </c>
      <c r="E728" s="23">
        <v>0</v>
      </c>
      <c r="F728" s="23">
        <v>0</v>
      </c>
      <c r="G728" s="23">
        <v>0</v>
      </c>
      <c r="H728" s="23">
        <v>0</v>
      </c>
      <c r="I728" s="23">
        <v>1</v>
      </c>
      <c r="J728" s="23">
        <v>6664.68595</v>
      </c>
      <c r="N728" s="23"/>
      <c r="O728" s="23"/>
      <c r="P728" s="23"/>
      <c r="Q728" s="23"/>
      <c r="R728" s="23"/>
      <c r="S728" s="23"/>
      <c r="T728" s="23"/>
      <c r="U728" s="23"/>
    </row>
    <row r="729" spans="1:21" x14ac:dyDescent="0.2">
      <c r="A729" s="23">
        <v>29</v>
      </c>
      <c r="B729" s="23">
        <v>0</v>
      </c>
      <c r="C729" s="23">
        <v>21.754999999999999</v>
      </c>
      <c r="D729" s="23">
        <v>1</v>
      </c>
      <c r="E729" s="23">
        <v>1</v>
      </c>
      <c r="F729" s="23">
        <v>1</v>
      </c>
      <c r="G729" s="23">
        <v>0</v>
      </c>
      <c r="H729" s="23">
        <v>0</v>
      </c>
      <c r="I729" s="23">
        <v>0</v>
      </c>
      <c r="J729" s="23">
        <v>16657.71745</v>
      </c>
      <c r="N729" s="23"/>
      <c r="O729" s="23"/>
      <c r="P729" s="23"/>
      <c r="Q729" s="23"/>
      <c r="R729" s="23"/>
      <c r="S729" s="23"/>
      <c r="T729" s="23"/>
      <c r="U729" s="23"/>
    </row>
    <row r="730" spans="1:21" x14ac:dyDescent="0.2">
      <c r="A730" s="23">
        <v>18</v>
      </c>
      <c r="B730" s="23">
        <v>0</v>
      </c>
      <c r="C730" s="23">
        <v>40.28</v>
      </c>
      <c r="D730" s="23">
        <v>0</v>
      </c>
      <c r="E730" s="23">
        <v>0</v>
      </c>
      <c r="F730" s="23">
        <v>1</v>
      </c>
      <c r="G730" s="23">
        <v>0</v>
      </c>
      <c r="H730" s="23">
        <v>0</v>
      </c>
      <c r="I730" s="23">
        <v>0</v>
      </c>
      <c r="J730" s="23">
        <v>2217.6012000000001</v>
      </c>
      <c r="N730" s="23"/>
      <c r="O730" s="23"/>
      <c r="P730" s="23"/>
      <c r="Q730" s="23"/>
      <c r="R730" s="23"/>
      <c r="S730" s="23"/>
      <c r="T730" s="23"/>
      <c r="U730" s="23"/>
    </row>
    <row r="731" spans="1:21" x14ac:dyDescent="0.2">
      <c r="A731" s="23">
        <v>41</v>
      </c>
      <c r="B731" s="23">
        <v>0</v>
      </c>
      <c r="C731" s="23">
        <v>36.08</v>
      </c>
      <c r="D731" s="23">
        <v>1</v>
      </c>
      <c r="E731" s="23">
        <v>0</v>
      </c>
      <c r="F731" s="23">
        <v>0</v>
      </c>
      <c r="G731" s="23">
        <v>1</v>
      </c>
      <c r="H731" s="23">
        <v>0</v>
      </c>
      <c r="I731" s="23">
        <v>0</v>
      </c>
      <c r="J731" s="23">
        <v>6781.3541999999998</v>
      </c>
      <c r="N731" s="23"/>
      <c r="O731" s="23"/>
      <c r="P731" s="23"/>
      <c r="Q731" s="23"/>
      <c r="R731" s="23"/>
      <c r="S731" s="23"/>
      <c r="T731" s="23"/>
      <c r="U731" s="23"/>
    </row>
    <row r="732" spans="1:21" x14ac:dyDescent="0.2">
      <c r="A732" s="23">
        <v>35</v>
      </c>
      <c r="B732" s="23">
        <v>1</v>
      </c>
      <c r="C732" s="23">
        <v>24.42</v>
      </c>
      <c r="D732" s="23">
        <v>3</v>
      </c>
      <c r="E732" s="23">
        <v>1</v>
      </c>
      <c r="F732" s="23">
        <v>0</v>
      </c>
      <c r="G732" s="23">
        <v>1</v>
      </c>
      <c r="H732" s="23">
        <v>0</v>
      </c>
      <c r="I732" s="23">
        <v>0</v>
      </c>
      <c r="J732" s="23">
        <v>19361.998800000001</v>
      </c>
      <c r="N732" s="23"/>
      <c r="O732" s="23"/>
      <c r="P732" s="23"/>
      <c r="Q732" s="23"/>
      <c r="R732" s="23"/>
      <c r="S732" s="23"/>
      <c r="T732" s="23"/>
      <c r="U732" s="23"/>
    </row>
    <row r="733" spans="1:21" x14ac:dyDescent="0.2">
      <c r="A733" s="23">
        <v>53</v>
      </c>
      <c r="B733" s="23">
        <v>1</v>
      </c>
      <c r="C733" s="23">
        <v>21.4</v>
      </c>
      <c r="D733" s="23">
        <v>1</v>
      </c>
      <c r="E733" s="23">
        <v>0</v>
      </c>
      <c r="F733" s="23">
        <v>0</v>
      </c>
      <c r="G733" s="23">
        <v>0</v>
      </c>
      <c r="H733" s="23">
        <v>1</v>
      </c>
      <c r="I733" s="23">
        <v>0</v>
      </c>
      <c r="J733" s="23">
        <v>10065.413</v>
      </c>
      <c r="N733" s="23"/>
      <c r="O733" s="23"/>
      <c r="P733" s="23"/>
      <c r="Q733" s="23"/>
      <c r="R733" s="23"/>
      <c r="S733" s="23"/>
      <c r="T733" s="23"/>
      <c r="U733" s="23"/>
    </row>
    <row r="734" spans="1:21" x14ac:dyDescent="0.2">
      <c r="A734" s="23">
        <v>24</v>
      </c>
      <c r="B734" s="23">
        <v>0</v>
      </c>
      <c r="C734" s="23">
        <v>30.1</v>
      </c>
      <c r="D734" s="23">
        <v>3</v>
      </c>
      <c r="E734" s="23">
        <v>0</v>
      </c>
      <c r="F734" s="23">
        <v>0</v>
      </c>
      <c r="G734" s="23">
        <v>0</v>
      </c>
      <c r="H734" s="23">
        <v>1</v>
      </c>
      <c r="I734" s="23">
        <v>0</v>
      </c>
      <c r="J734" s="23">
        <v>4234.9269999999997</v>
      </c>
      <c r="N734" s="23"/>
      <c r="O734" s="23"/>
      <c r="P734" s="23"/>
      <c r="Q734" s="23"/>
      <c r="R734" s="23"/>
      <c r="S734" s="23"/>
      <c r="T734" s="23"/>
      <c r="U734" s="23"/>
    </row>
    <row r="735" spans="1:21" x14ac:dyDescent="0.2">
      <c r="A735" s="23">
        <v>48</v>
      </c>
      <c r="B735" s="23">
        <v>0</v>
      </c>
      <c r="C735" s="23">
        <v>27.265000000000001</v>
      </c>
      <c r="D735" s="23">
        <v>1</v>
      </c>
      <c r="E735" s="23">
        <v>0</v>
      </c>
      <c r="F735" s="23">
        <v>1</v>
      </c>
      <c r="G735" s="23">
        <v>0</v>
      </c>
      <c r="H735" s="23">
        <v>0</v>
      </c>
      <c r="I735" s="23">
        <v>0</v>
      </c>
      <c r="J735" s="23">
        <v>9447.2503500000003</v>
      </c>
      <c r="N735" s="23"/>
      <c r="O735" s="23"/>
      <c r="P735" s="23"/>
      <c r="Q735" s="23"/>
      <c r="R735" s="23"/>
      <c r="S735" s="23"/>
      <c r="T735" s="23"/>
      <c r="U735" s="23"/>
    </row>
    <row r="736" spans="1:21" x14ac:dyDescent="0.2">
      <c r="A736" s="23">
        <v>59</v>
      </c>
      <c r="B736" s="23">
        <v>0</v>
      </c>
      <c r="C736" s="23">
        <v>32.1</v>
      </c>
      <c r="D736" s="23">
        <v>3</v>
      </c>
      <c r="E736" s="23">
        <v>0</v>
      </c>
      <c r="F736" s="23">
        <v>0</v>
      </c>
      <c r="G736" s="23">
        <v>0</v>
      </c>
      <c r="H736" s="23">
        <v>1</v>
      </c>
      <c r="I736" s="23">
        <v>0</v>
      </c>
      <c r="J736" s="23">
        <v>14007.222</v>
      </c>
      <c r="N736" s="23"/>
      <c r="O736" s="23"/>
      <c r="P736" s="23"/>
      <c r="Q736" s="23"/>
      <c r="R736" s="23"/>
      <c r="S736" s="23"/>
      <c r="T736" s="23"/>
      <c r="U736" s="23"/>
    </row>
    <row r="737" spans="1:21" x14ac:dyDescent="0.2">
      <c r="A737" s="23">
        <v>49</v>
      </c>
      <c r="B737" s="23">
        <v>0</v>
      </c>
      <c r="C737" s="23">
        <v>34.770000000000003</v>
      </c>
      <c r="D737" s="23">
        <v>1</v>
      </c>
      <c r="E737" s="23">
        <v>0</v>
      </c>
      <c r="F737" s="23">
        <v>0</v>
      </c>
      <c r="G737" s="23">
        <v>0</v>
      </c>
      <c r="H737" s="23">
        <v>0</v>
      </c>
      <c r="I737" s="23">
        <v>1</v>
      </c>
      <c r="J737" s="23">
        <v>9583.8932999999997</v>
      </c>
      <c r="N737" s="23"/>
      <c r="O737" s="23"/>
      <c r="P737" s="23"/>
      <c r="Q737" s="23"/>
      <c r="R737" s="23"/>
      <c r="S737" s="23"/>
      <c r="T737" s="23"/>
      <c r="U737" s="23"/>
    </row>
    <row r="738" spans="1:21" x14ac:dyDescent="0.2">
      <c r="A738" s="23">
        <v>37</v>
      </c>
      <c r="B738" s="23">
        <v>0</v>
      </c>
      <c r="C738" s="23">
        <v>38.39</v>
      </c>
      <c r="D738" s="23">
        <v>0</v>
      </c>
      <c r="E738" s="23">
        <v>1</v>
      </c>
      <c r="F738" s="23">
        <v>0</v>
      </c>
      <c r="G738" s="23">
        <v>1</v>
      </c>
      <c r="H738" s="23">
        <v>0</v>
      </c>
      <c r="I738" s="23">
        <v>0</v>
      </c>
      <c r="J738" s="23">
        <v>40419.019099999998</v>
      </c>
      <c r="N738" s="23"/>
      <c r="O738" s="23"/>
      <c r="P738" s="23"/>
      <c r="Q738" s="23"/>
      <c r="R738" s="23"/>
      <c r="S738" s="23"/>
      <c r="T738" s="23"/>
      <c r="U738" s="23"/>
    </row>
    <row r="739" spans="1:21" x14ac:dyDescent="0.2">
      <c r="A739" s="23">
        <v>26</v>
      </c>
      <c r="B739" s="23">
        <v>1</v>
      </c>
      <c r="C739" s="23">
        <v>23.7</v>
      </c>
      <c r="D739" s="23">
        <v>2</v>
      </c>
      <c r="E739" s="23">
        <v>0</v>
      </c>
      <c r="F739" s="23">
        <v>0</v>
      </c>
      <c r="G739" s="23">
        <v>0</v>
      </c>
      <c r="H739" s="23">
        <v>1</v>
      </c>
      <c r="I739" s="23">
        <v>0</v>
      </c>
      <c r="J739" s="23">
        <v>3484.3310000000001</v>
      </c>
      <c r="N739" s="23"/>
      <c r="O739" s="23"/>
      <c r="P739" s="23"/>
      <c r="Q739" s="23"/>
      <c r="R739" s="23"/>
      <c r="S739" s="23"/>
      <c r="T739" s="23"/>
      <c r="U739" s="23"/>
    </row>
    <row r="740" spans="1:21" x14ac:dyDescent="0.2">
      <c r="A740" s="23">
        <v>23</v>
      </c>
      <c r="B740" s="23">
        <v>1</v>
      </c>
      <c r="C740" s="23">
        <v>31.73</v>
      </c>
      <c r="D740" s="23">
        <v>3</v>
      </c>
      <c r="E740" s="23">
        <v>1</v>
      </c>
      <c r="F740" s="23">
        <v>1</v>
      </c>
      <c r="G740" s="23">
        <v>0</v>
      </c>
      <c r="H740" s="23">
        <v>0</v>
      </c>
      <c r="I740" s="23">
        <v>0</v>
      </c>
      <c r="J740" s="23">
        <v>36189.101699999999</v>
      </c>
      <c r="N740" s="23"/>
      <c r="O740" s="23"/>
      <c r="P740" s="23"/>
      <c r="Q740" s="23"/>
      <c r="R740" s="23"/>
      <c r="S740" s="23"/>
      <c r="T740" s="23"/>
      <c r="U740" s="23"/>
    </row>
    <row r="741" spans="1:21" x14ac:dyDescent="0.2">
      <c r="A741" s="23">
        <v>29</v>
      </c>
      <c r="B741" s="23">
        <v>1</v>
      </c>
      <c r="C741" s="23">
        <v>35.5</v>
      </c>
      <c r="D741" s="23">
        <v>2</v>
      </c>
      <c r="E741" s="23">
        <v>1</v>
      </c>
      <c r="F741" s="23">
        <v>0</v>
      </c>
      <c r="G741" s="23">
        <v>0</v>
      </c>
      <c r="H741" s="23">
        <v>1</v>
      </c>
      <c r="I741" s="23">
        <v>0</v>
      </c>
      <c r="J741" s="23">
        <v>44585.455869999998</v>
      </c>
      <c r="N741" s="23"/>
      <c r="O741" s="23"/>
      <c r="P741" s="23"/>
      <c r="Q741" s="23"/>
      <c r="R741" s="23"/>
      <c r="S741" s="23"/>
      <c r="T741" s="23"/>
      <c r="U741" s="23"/>
    </row>
    <row r="742" spans="1:21" x14ac:dyDescent="0.2">
      <c r="A742" s="23">
        <v>45</v>
      </c>
      <c r="B742" s="23">
        <v>1</v>
      </c>
      <c r="C742" s="23">
        <v>24.035</v>
      </c>
      <c r="D742" s="23">
        <v>2</v>
      </c>
      <c r="E742" s="23">
        <v>0</v>
      </c>
      <c r="F742" s="23">
        <v>1</v>
      </c>
      <c r="G742" s="23">
        <v>0</v>
      </c>
      <c r="H742" s="23">
        <v>0</v>
      </c>
      <c r="I742" s="23">
        <v>0</v>
      </c>
      <c r="J742" s="23">
        <v>8604.4836500000001</v>
      </c>
      <c r="N742" s="23"/>
      <c r="O742" s="23"/>
      <c r="P742" s="23"/>
      <c r="Q742" s="23"/>
      <c r="R742" s="23"/>
      <c r="S742" s="23"/>
      <c r="T742" s="23"/>
      <c r="U742" s="23"/>
    </row>
    <row r="743" spans="1:21" x14ac:dyDescent="0.2">
      <c r="A743" s="23">
        <v>27</v>
      </c>
      <c r="B743" s="23">
        <v>1</v>
      </c>
      <c r="C743" s="23">
        <v>29.15</v>
      </c>
      <c r="D743" s="23">
        <v>0</v>
      </c>
      <c r="E743" s="23">
        <v>1</v>
      </c>
      <c r="F743" s="23">
        <v>0</v>
      </c>
      <c r="G743" s="23">
        <v>1</v>
      </c>
      <c r="H743" s="23">
        <v>0</v>
      </c>
      <c r="I743" s="23">
        <v>0</v>
      </c>
      <c r="J743" s="23">
        <v>18246.495500000001</v>
      </c>
      <c r="N743" s="23"/>
      <c r="O743" s="23"/>
      <c r="P743" s="23"/>
      <c r="Q743" s="23"/>
      <c r="R743" s="23"/>
      <c r="S743" s="23"/>
      <c r="T743" s="23"/>
      <c r="U743" s="23"/>
    </row>
    <row r="744" spans="1:21" x14ac:dyDescent="0.2">
      <c r="A744" s="23">
        <v>53</v>
      </c>
      <c r="B744" s="23">
        <v>1</v>
      </c>
      <c r="C744" s="23">
        <v>34.104999999999997</v>
      </c>
      <c r="D744" s="23">
        <v>0</v>
      </c>
      <c r="E744" s="23">
        <v>1</v>
      </c>
      <c r="F744" s="23">
        <v>1</v>
      </c>
      <c r="G744" s="23">
        <v>0</v>
      </c>
      <c r="H744" s="23">
        <v>0</v>
      </c>
      <c r="I744" s="23">
        <v>0</v>
      </c>
      <c r="J744" s="23">
        <v>43254.417950000003</v>
      </c>
      <c r="N744" s="23"/>
      <c r="O744" s="23"/>
      <c r="P744" s="23"/>
      <c r="Q744" s="23"/>
      <c r="R744" s="23"/>
      <c r="S744" s="23"/>
      <c r="T744" s="23"/>
      <c r="U744" s="23"/>
    </row>
    <row r="745" spans="1:21" x14ac:dyDescent="0.2">
      <c r="A745" s="23">
        <v>31</v>
      </c>
      <c r="B745" s="23">
        <v>0</v>
      </c>
      <c r="C745" s="23">
        <v>26.62</v>
      </c>
      <c r="D745" s="23">
        <v>0</v>
      </c>
      <c r="E745" s="23">
        <v>0</v>
      </c>
      <c r="F745" s="23">
        <v>0</v>
      </c>
      <c r="G745" s="23">
        <v>1</v>
      </c>
      <c r="H745" s="23">
        <v>0</v>
      </c>
      <c r="I745" s="23">
        <v>0</v>
      </c>
      <c r="J745" s="23">
        <v>3757.8447999999999</v>
      </c>
      <c r="N745" s="23"/>
      <c r="O745" s="23"/>
      <c r="P745" s="23"/>
      <c r="Q745" s="23"/>
      <c r="R745" s="23"/>
      <c r="S745" s="23"/>
      <c r="T745" s="23"/>
      <c r="U745" s="23"/>
    </row>
    <row r="746" spans="1:21" x14ac:dyDescent="0.2">
      <c r="A746" s="23">
        <v>50</v>
      </c>
      <c r="B746" s="23">
        <v>1</v>
      </c>
      <c r="C746" s="23">
        <v>26.41</v>
      </c>
      <c r="D746" s="23">
        <v>0</v>
      </c>
      <c r="E746" s="23">
        <v>0</v>
      </c>
      <c r="F746" s="23">
        <v>0</v>
      </c>
      <c r="G746" s="23">
        <v>0</v>
      </c>
      <c r="H746" s="23">
        <v>0</v>
      </c>
      <c r="I746" s="23">
        <v>1</v>
      </c>
      <c r="J746" s="23">
        <v>8827.2098999999998</v>
      </c>
      <c r="N746" s="23"/>
      <c r="O746" s="23"/>
      <c r="P746" s="23"/>
      <c r="Q746" s="23"/>
      <c r="R746" s="23"/>
      <c r="S746" s="23"/>
      <c r="T746" s="23"/>
      <c r="U746" s="23"/>
    </row>
    <row r="747" spans="1:21" x14ac:dyDescent="0.2">
      <c r="A747" s="23">
        <v>50</v>
      </c>
      <c r="B747" s="23">
        <v>0</v>
      </c>
      <c r="C747" s="23">
        <v>30.114999999999998</v>
      </c>
      <c r="D747" s="23">
        <v>1</v>
      </c>
      <c r="E747" s="23">
        <v>0</v>
      </c>
      <c r="F747" s="23">
        <v>0</v>
      </c>
      <c r="G747" s="23">
        <v>0</v>
      </c>
      <c r="H747" s="23">
        <v>0</v>
      </c>
      <c r="I747" s="23">
        <v>1</v>
      </c>
      <c r="J747" s="23">
        <v>9910.3598500000007</v>
      </c>
      <c r="N747" s="23"/>
      <c r="O747" s="23"/>
      <c r="P747" s="23"/>
      <c r="Q747" s="23"/>
      <c r="R747" s="23"/>
      <c r="S747" s="23"/>
      <c r="T747" s="23"/>
      <c r="U747" s="23"/>
    </row>
    <row r="748" spans="1:21" x14ac:dyDescent="0.2">
      <c r="A748" s="23">
        <v>34</v>
      </c>
      <c r="B748" s="23">
        <v>1</v>
      </c>
      <c r="C748" s="23">
        <v>27</v>
      </c>
      <c r="D748" s="23">
        <v>2</v>
      </c>
      <c r="E748" s="23">
        <v>0</v>
      </c>
      <c r="F748" s="23">
        <v>0</v>
      </c>
      <c r="G748" s="23">
        <v>0</v>
      </c>
      <c r="H748" s="23">
        <v>1</v>
      </c>
      <c r="I748" s="23">
        <v>0</v>
      </c>
      <c r="J748" s="23">
        <v>11737.848840000001</v>
      </c>
      <c r="N748" s="23"/>
      <c r="O748" s="23"/>
      <c r="P748" s="23"/>
      <c r="Q748" s="23"/>
      <c r="R748" s="23"/>
      <c r="S748" s="23"/>
      <c r="T748" s="23"/>
      <c r="U748" s="23"/>
    </row>
    <row r="749" spans="1:21" x14ac:dyDescent="0.2">
      <c r="A749" s="23">
        <v>19</v>
      </c>
      <c r="B749" s="23">
        <v>1</v>
      </c>
      <c r="C749" s="23">
        <v>21.754999999999999</v>
      </c>
      <c r="D749" s="23">
        <v>0</v>
      </c>
      <c r="E749" s="23">
        <v>0</v>
      </c>
      <c r="F749" s="23">
        <v>0</v>
      </c>
      <c r="G749" s="23">
        <v>0</v>
      </c>
      <c r="H749" s="23">
        <v>0</v>
      </c>
      <c r="I749" s="23">
        <v>1</v>
      </c>
      <c r="J749" s="23">
        <v>1627.2824499999999</v>
      </c>
      <c r="N749" s="23"/>
      <c r="O749" s="23"/>
      <c r="P749" s="23"/>
      <c r="Q749" s="23"/>
      <c r="R749" s="23"/>
      <c r="S749" s="23"/>
      <c r="T749" s="23"/>
      <c r="U749" s="23"/>
    </row>
    <row r="750" spans="1:21" x14ac:dyDescent="0.2">
      <c r="A750" s="23">
        <v>47</v>
      </c>
      <c r="B750" s="23">
        <v>0</v>
      </c>
      <c r="C750" s="23">
        <v>36</v>
      </c>
      <c r="D750" s="23">
        <v>1</v>
      </c>
      <c r="E750" s="23">
        <v>0</v>
      </c>
      <c r="F750" s="23">
        <v>0</v>
      </c>
      <c r="G750" s="23">
        <v>0</v>
      </c>
      <c r="H750" s="23">
        <v>1</v>
      </c>
      <c r="I750" s="23">
        <v>0</v>
      </c>
      <c r="J750" s="23">
        <v>8556.9069999999992</v>
      </c>
      <c r="N750" s="23"/>
      <c r="O750" s="23"/>
      <c r="P750" s="23"/>
      <c r="Q750" s="23"/>
      <c r="R750" s="23"/>
      <c r="S750" s="23"/>
      <c r="T750" s="23"/>
      <c r="U750" s="23"/>
    </row>
    <row r="751" spans="1:21" x14ac:dyDescent="0.2">
      <c r="A751" s="23">
        <v>28</v>
      </c>
      <c r="B751" s="23">
        <v>1</v>
      </c>
      <c r="C751" s="23">
        <v>30.875</v>
      </c>
      <c r="D751" s="23">
        <v>0</v>
      </c>
      <c r="E751" s="23">
        <v>0</v>
      </c>
      <c r="F751" s="23">
        <v>0</v>
      </c>
      <c r="G751" s="23">
        <v>0</v>
      </c>
      <c r="H751" s="23">
        <v>0</v>
      </c>
      <c r="I751" s="23">
        <v>1</v>
      </c>
      <c r="J751" s="23">
        <v>3062.5082499999999</v>
      </c>
      <c r="N751" s="23"/>
      <c r="O751" s="23"/>
      <c r="P751" s="23"/>
      <c r="Q751" s="23"/>
      <c r="R751" s="23"/>
      <c r="S751" s="23"/>
      <c r="T751" s="23"/>
      <c r="U751" s="23"/>
    </row>
    <row r="752" spans="1:21" x14ac:dyDescent="0.2">
      <c r="A752" s="23">
        <v>37</v>
      </c>
      <c r="B752" s="23">
        <v>0</v>
      </c>
      <c r="C752" s="23">
        <v>26.4</v>
      </c>
      <c r="D752" s="23">
        <v>0</v>
      </c>
      <c r="E752" s="23">
        <v>1</v>
      </c>
      <c r="F752" s="23">
        <v>0</v>
      </c>
      <c r="G752" s="23">
        <v>1</v>
      </c>
      <c r="H752" s="23">
        <v>0</v>
      </c>
      <c r="I752" s="23">
        <v>0</v>
      </c>
      <c r="J752" s="23">
        <v>19539.242999999999</v>
      </c>
      <c r="N752" s="23"/>
      <c r="O752" s="23"/>
      <c r="P752" s="23"/>
      <c r="Q752" s="23"/>
      <c r="R752" s="23"/>
      <c r="S752" s="23"/>
      <c r="T752" s="23"/>
      <c r="U752" s="23"/>
    </row>
    <row r="753" spans="1:21" x14ac:dyDescent="0.2">
      <c r="A753" s="23">
        <v>21</v>
      </c>
      <c r="B753" s="23">
        <v>1</v>
      </c>
      <c r="C753" s="23">
        <v>28.975000000000001</v>
      </c>
      <c r="D753" s="23">
        <v>0</v>
      </c>
      <c r="E753" s="23">
        <v>0</v>
      </c>
      <c r="F753" s="23">
        <v>0</v>
      </c>
      <c r="G753" s="23">
        <v>0</v>
      </c>
      <c r="H753" s="23">
        <v>0</v>
      </c>
      <c r="I753" s="23">
        <v>1</v>
      </c>
      <c r="J753" s="23">
        <v>1906.35825</v>
      </c>
      <c r="N753" s="23"/>
      <c r="O753" s="23"/>
      <c r="P753" s="23"/>
      <c r="Q753" s="23"/>
      <c r="R753" s="23"/>
      <c r="S753" s="23"/>
      <c r="T753" s="23"/>
      <c r="U753" s="23"/>
    </row>
    <row r="754" spans="1:21" x14ac:dyDescent="0.2">
      <c r="A754" s="23">
        <v>64</v>
      </c>
      <c r="B754" s="23">
        <v>1</v>
      </c>
      <c r="C754" s="23">
        <v>37.905000000000001</v>
      </c>
      <c r="D754" s="23">
        <v>0</v>
      </c>
      <c r="E754" s="23">
        <v>0</v>
      </c>
      <c r="F754" s="23">
        <v>0</v>
      </c>
      <c r="G754" s="23">
        <v>0</v>
      </c>
      <c r="H754" s="23">
        <v>0</v>
      </c>
      <c r="I754" s="23">
        <v>1</v>
      </c>
      <c r="J754" s="23">
        <v>14210.53595</v>
      </c>
      <c r="N754" s="23"/>
      <c r="O754" s="23"/>
      <c r="P754" s="23"/>
      <c r="Q754" s="23"/>
      <c r="R754" s="23"/>
      <c r="S754" s="23"/>
      <c r="T754" s="23"/>
      <c r="U754" s="23"/>
    </row>
    <row r="755" spans="1:21" x14ac:dyDescent="0.2">
      <c r="A755" s="23">
        <v>58</v>
      </c>
      <c r="B755" s="23">
        <v>0</v>
      </c>
      <c r="C755" s="23">
        <v>22.77</v>
      </c>
      <c r="D755" s="23">
        <v>0</v>
      </c>
      <c r="E755" s="23">
        <v>0</v>
      </c>
      <c r="F755" s="23">
        <v>0</v>
      </c>
      <c r="G755" s="23">
        <v>1</v>
      </c>
      <c r="H755" s="23">
        <v>0</v>
      </c>
      <c r="I755" s="23">
        <v>0</v>
      </c>
      <c r="J755" s="23">
        <v>11833.782300000001</v>
      </c>
      <c r="N755" s="23"/>
      <c r="O755" s="23"/>
      <c r="P755" s="23"/>
      <c r="Q755" s="23"/>
      <c r="R755" s="23"/>
      <c r="S755" s="23"/>
      <c r="T755" s="23"/>
      <c r="U755" s="23"/>
    </row>
    <row r="756" spans="1:21" x14ac:dyDescent="0.2">
      <c r="A756" s="23">
        <v>24</v>
      </c>
      <c r="B756" s="23">
        <v>1</v>
      </c>
      <c r="C756" s="23">
        <v>33.630000000000003</v>
      </c>
      <c r="D756" s="23">
        <v>4</v>
      </c>
      <c r="E756" s="23">
        <v>0</v>
      </c>
      <c r="F756" s="23">
        <v>1</v>
      </c>
      <c r="G756" s="23">
        <v>0</v>
      </c>
      <c r="H756" s="23">
        <v>0</v>
      </c>
      <c r="I756" s="23">
        <v>0</v>
      </c>
      <c r="J756" s="23">
        <v>17128.426080000001</v>
      </c>
      <c r="N756" s="23"/>
      <c r="O756" s="23"/>
      <c r="P756" s="23"/>
      <c r="Q756" s="23"/>
      <c r="R756" s="23"/>
      <c r="S756" s="23"/>
      <c r="T756" s="23"/>
      <c r="U756" s="23"/>
    </row>
    <row r="757" spans="1:21" x14ac:dyDescent="0.2">
      <c r="A757" s="23">
        <v>31</v>
      </c>
      <c r="B757" s="23">
        <v>1</v>
      </c>
      <c r="C757" s="23">
        <v>27.645</v>
      </c>
      <c r="D757" s="23">
        <v>2</v>
      </c>
      <c r="E757" s="23">
        <v>0</v>
      </c>
      <c r="F757" s="23">
        <v>1</v>
      </c>
      <c r="G757" s="23">
        <v>0</v>
      </c>
      <c r="H757" s="23">
        <v>0</v>
      </c>
      <c r="I757" s="23">
        <v>0</v>
      </c>
      <c r="J757" s="23">
        <v>5031.26955</v>
      </c>
      <c r="N757" s="23"/>
      <c r="O757" s="23"/>
      <c r="P757" s="23"/>
      <c r="Q757" s="23"/>
      <c r="R757" s="23"/>
      <c r="S757" s="23"/>
      <c r="T757" s="23"/>
      <c r="U757" s="23"/>
    </row>
    <row r="758" spans="1:21" x14ac:dyDescent="0.2">
      <c r="A758" s="23">
        <v>39</v>
      </c>
      <c r="B758" s="23">
        <v>0</v>
      </c>
      <c r="C758" s="23">
        <v>22.8</v>
      </c>
      <c r="D758" s="23">
        <v>3</v>
      </c>
      <c r="E758" s="23">
        <v>0</v>
      </c>
      <c r="F758" s="23">
        <v>1</v>
      </c>
      <c r="G758" s="23">
        <v>0</v>
      </c>
      <c r="H758" s="23">
        <v>0</v>
      </c>
      <c r="I758" s="23">
        <v>0</v>
      </c>
      <c r="J758" s="23">
        <v>7985.8149999999996</v>
      </c>
      <c r="N758" s="23"/>
      <c r="O758" s="23"/>
      <c r="P758" s="23"/>
      <c r="Q758" s="23"/>
      <c r="R758" s="23"/>
      <c r="S758" s="23"/>
      <c r="T758" s="23"/>
      <c r="U758" s="23"/>
    </row>
    <row r="759" spans="1:21" x14ac:dyDescent="0.2">
      <c r="A759" s="23">
        <v>47</v>
      </c>
      <c r="B759" s="23">
        <v>0</v>
      </c>
      <c r="C759" s="23">
        <v>27.83</v>
      </c>
      <c r="D759" s="23">
        <v>0</v>
      </c>
      <c r="E759" s="23">
        <v>1</v>
      </c>
      <c r="F759" s="23">
        <v>0</v>
      </c>
      <c r="G759" s="23">
        <v>1</v>
      </c>
      <c r="H759" s="23">
        <v>0</v>
      </c>
      <c r="I759" s="23">
        <v>0</v>
      </c>
      <c r="J759" s="23">
        <v>23065.420699999999</v>
      </c>
      <c r="N759" s="23"/>
      <c r="O759" s="23"/>
      <c r="P759" s="23"/>
      <c r="Q759" s="23"/>
      <c r="R759" s="23"/>
      <c r="S759" s="23"/>
      <c r="T759" s="23"/>
      <c r="U759" s="23"/>
    </row>
    <row r="760" spans="1:21" x14ac:dyDescent="0.2">
      <c r="A760" s="23">
        <v>30</v>
      </c>
      <c r="B760" s="23">
        <v>1</v>
      </c>
      <c r="C760" s="23">
        <v>37.43</v>
      </c>
      <c r="D760" s="23">
        <v>3</v>
      </c>
      <c r="E760" s="23">
        <v>0</v>
      </c>
      <c r="F760" s="23">
        <v>1</v>
      </c>
      <c r="G760" s="23">
        <v>0</v>
      </c>
      <c r="H760" s="23">
        <v>0</v>
      </c>
      <c r="I760" s="23">
        <v>0</v>
      </c>
      <c r="J760" s="23">
        <v>5428.7277000000004</v>
      </c>
      <c r="N760" s="23"/>
      <c r="O760" s="23"/>
      <c r="P760" s="23"/>
      <c r="Q760" s="23"/>
      <c r="R760" s="23"/>
      <c r="S760" s="23"/>
      <c r="T760" s="23"/>
      <c r="U760" s="23"/>
    </row>
    <row r="761" spans="1:21" x14ac:dyDescent="0.2">
      <c r="A761" s="23">
        <v>18</v>
      </c>
      <c r="B761" s="23">
        <v>1</v>
      </c>
      <c r="C761" s="23">
        <v>38.17</v>
      </c>
      <c r="D761" s="23">
        <v>0</v>
      </c>
      <c r="E761" s="23">
        <v>1</v>
      </c>
      <c r="F761" s="23">
        <v>0</v>
      </c>
      <c r="G761" s="23">
        <v>1</v>
      </c>
      <c r="H761" s="23">
        <v>0</v>
      </c>
      <c r="I761" s="23">
        <v>0</v>
      </c>
      <c r="J761" s="23">
        <v>36307.798300000002</v>
      </c>
      <c r="N761" s="23"/>
      <c r="O761" s="23"/>
      <c r="P761" s="23"/>
      <c r="Q761" s="23"/>
      <c r="R761" s="23"/>
      <c r="S761" s="23"/>
      <c r="T761" s="23"/>
      <c r="U761" s="23"/>
    </row>
    <row r="762" spans="1:21" x14ac:dyDescent="0.2">
      <c r="A762" s="23">
        <v>22</v>
      </c>
      <c r="B762" s="23">
        <v>0</v>
      </c>
      <c r="C762" s="23">
        <v>34.58</v>
      </c>
      <c r="D762" s="23">
        <v>2</v>
      </c>
      <c r="E762" s="23">
        <v>0</v>
      </c>
      <c r="F762" s="23">
        <v>1</v>
      </c>
      <c r="G762" s="23">
        <v>0</v>
      </c>
      <c r="H762" s="23">
        <v>0</v>
      </c>
      <c r="I762" s="23">
        <v>0</v>
      </c>
      <c r="J762" s="23">
        <v>3925.7582000000002</v>
      </c>
      <c r="N762" s="23"/>
      <c r="O762" s="23"/>
      <c r="P762" s="23"/>
      <c r="Q762" s="23"/>
      <c r="R762" s="23"/>
      <c r="S762" s="23"/>
      <c r="T762" s="23"/>
      <c r="U762" s="23"/>
    </row>
    <row r="763" spans="1:21" x14ac:dyDescent="0.2">
      <c r="A763" s="23">
        <v>23</v>
      </c>
      <c r="B763" s="23">
        <v>1</v>
      </c>
      <c r="C763" s="23">
        <v>35.200000000000003</v>
      </c>
      <c r="D763" s="23">
        <v>1</v>
      </c>
      <c r="E763" s="23">
        <v>0</v>
      </c>
      <c r="F763" s="23">
        <v>0</v>
      </c>
      <c r="G763" s="23">
        <v>0</v>
      </c>
      <c r="H763" s="23">
        <v>1</v>
      </c>
      <c r="I763" s="23">
        <v>0</v>
      </c>
      <c r="J763" s="23">
        <v>2416.9549999999999</v>
      </c>
      <c r="N763" s="23"/>
      <c r="O763" s="23"/>
      <c r="P763" s="23"/>
      <c r="Q763" s="23"/>
      <c r="R763" s="23"/>
      <c r="S763" s="23"/>
      <c r="T763" s="23"/>
      <c r="U763" s="23"/>
    </row>
    <row r="764" spans="1:21" x14ac:dyDescent="0.2">
      <c r="A764" s="23">
        <v>33</v>
      </c>
      <c r="B764" s="23">
        <v>1</v>
      </c>
      <c r="C764" s="23">
        <v>27.1</v>
      </c>
      <c r="D764" s="23">
        <v>1</v>
      </c>
      <c r="E764" s="23">
        <v>1</v>
      </c>
      <c r="F764" s="23">
        <v>0</v>
      </c>
      <c r="G764" s="23">
        <v>0</v>
      </c>
      <c r="H764" s="23">
        <v>1</v>
      </c>
      <c r="I764" s="23">
        <v>0</v>
      </c>
      <c r="J764" s="23">
        <v>19040.876</v>
      </c>
      <c r="N764" s="23"/>
      <c r="O764" s="23"/>
      <c r="P764" s="23"/>
      <c r="Q764" s="23"/>
      <c r="R764" s="23"/>
      <c r="S764" s="23"/>
      <c r="T764" s="23"/>
      <c r="U764" s="23"/>
    </row>
    <row r="765" spans="1:21" x14ac:dyDescent="0.2">
      <c r="A765" s="23">
        <v>27</v>
      </c>
      <c r="B765" s="23">
        <v>1</v>
      </c>
      <c r="C765" s="23">
        <v>26.03</v>
      </c>
      <c r="D765" s="23">
        <v>0</v>
      </c>
      <c r="E765" s="23">
        <v>0</v>
      </c>
      <c r="F765" s="23">
        <v>1</v>
      </c>
      <c r="G765" s="23">
        <v>0</v>
      </c>
      <c r="H765" s="23">
        <v>0</v>
      </c>
      <c r="I765" s="23">
        <v>0</v>
      </c>
      <c r="J765" s="23">
        <v>3070.8087</v>
      </c>
      <c r="N765" s="23"/>
      <c r="O765" s="23"/>
      <c r="P765" s="23"/>
      <c r="Q765" s="23"/>
      <c r="R765" s="23"/>
      <c r="S765" s="23"/>
      <c r="T765" s="23"/>
      <c r="U765" s="23"/>
    </row>
    <row r="766" spans="1:21" x14ac:dyDescent="0.2">
      <c r="A766" s="23">
        <v>45</v>
      </c>
      <c r="B766" s="23">
        <v>0</v>
      </c>
      <c r="C766" s="23">
        <v>25.175000000000001</v>
      </c>
      <c r="D766" s="23">
        <v>2</v>
      </c>
      <c r="E766" s="23">
        <v>0</v>
      </c>
      <c r="F766" s="23">
        <v>1</v>
      </c>
      <c r="G766" s="23">
        <v>0</v>
      </c>
      <c r="H766" s="23">
        <v>0</v>
      </c>
      <c r="I766" s="23">
        <v>0</v>
      </c>
      <c r="J766" s="23">
        <v>9095.0682500000003</v>
      </c>
      <c r="N766" s="23"/>
      <c r="O766" s="23"/>
      <c r="P766" s="23"/>
      <c r="Q766" s="23"/>
      <c r="R766" s="23"/>
      <c r="S766" s="23"/>
      <c r="T766" s="23"/>
      <c r="U766" s="23"/>
    </row>
    <row r="767" spans="1:21" x14ac:dyDescent="0.2">
      <c r="A767" s="23">
        <v>57</v>
      </c>
      <c r="B767" s="23">
        <v>0</v>
      </c>
      <c r="C767" s="23">
        <v>31.824999999999999</v>
      </c>
      <c r="D767" s="23">
        <v>0</v>
      </c>
      <c r="E767" s="23">
        <v>0</v>
      </c>
      <c r="F767" s="23">
        <v>0</v>
      </c>
      <c r="G767" s="23">
        <v>0</v>
      </c>
      <c r="H767" s="23">
        <v>0</v>
      </c>
      <c r="I767" s="23">
        <v>1</v>
      </c>
      <c r="J767" s="23">
        <v>11842.623750000001</v>
      </c>
      <c r="N767" s="23"/>
      <c r="O767" s="23"/>
      <c r="P767" s="23"/>
      <c r="Q767" s="23"/>
      <c r="R767" s="23"/>
      <c r="S767" s="23"/>
      <c r="T767" s="23"/>
      <c r="U767" s="23"/>
    </row>
    <row r="768" spans="1:21" x14ac:dyDescent="0.2">
      <c r="A768" s="23">
        <v>47</v>
      </c>
      <c r="B768" s="23">
        <v>1</v>
      </c>
      <c r="C768" s="23">
        <v>32.299999999999997</v>
      </c>
      <c r="D768" s="23">
        <v>1</v>
      </c>
      <c r="E768" s="23">
        <v>0</v>
      </c>
      <c r="F768" s="23">
        <v>0</v>
      </c>
      <c r="G768" s="23">
        <v>0</v>
      </c>
      <c r="H768" s="23">
        <v>1</v>
      </c>
      <c r="I768" s="23">
        <v>0</v>
      </c>
      <c r="J768" s="23">
        <v>8062.7640000000001</v>
      </c>
      <c r="N768" s="23"/>
      <c r="O768" s="23"/>
      <c r="P768" s="23"/>
      <c r="Q768" s="23"/>
      <c r="R768" s="23"/>
      <c r="S768" s="23"/>
      <c r="T768" s="23"/>
      <c r="U768" s="23"/>
    </row>
    <row r="769" spans="1:21" x14ac:dyDescent="0.2">
      <c r="A769" s="23">
        <v>42</v>
      </c>
      <c r="B769" s="23">
        <v>0</v>
      </c>
      <c r="C769" s="23">
        <v>29</v>
      </c>
      <c r="D769" s="23">
        <v>1</v>
      </c>
      <c r="E769" s="23">
        <v>0</v>
      </c>
      <c r="F769" s="23">
        <v>0</v>
      </c>
      <c r="G769" s="23">
        <v>0</v>
      </c>
      <c r="H769" s="23">
        <v>1</v>
      </c>
      <c r="I769" s="23">
        <v>0</v>
      </c>
      <c r="J769" s="23">
        <v>7050.6419999999998</v>
      </c>
      <c r="N769" s="23"/>
      <c r="O769" s="23"/>
      <c r="P769" s="23"/>
      <c r="Q769" s="23"/>
      <c r="R769" s="23"/>
      <c r="S769" s="23"/>
      <c r="T769" s="23"/>
      <c r="U769" s="23"/>
    </row>
    <row r="770" spans="1:21" x14ac:dyDescent="0.2">
      <c r="A770" s="23">
        <v>64</v>
      </c>
      <c r="B770" s="23">
        <v>0</v>
      </c>
      <c r="C770" s="23">
        <v>39.700000000000003</v>
      </c>
      <c r="D770" s="23">
        <v>0</v>
      </c>
      <c r="E770" s="23">
        <v>0</v>
      </c>
      <c r="F770" s="23">
        <v>0</v>
      </c>
      <c r="G770" s="23">
        <v>0</v>
      </c>
      <c r="H770" s="23">
        <v>1</v>
      </c>
      <c r="I770" s="23">
        <v>0</v>
      </c>
      <c r="J770" s="23">
        <v>14319.031000000001</v>
      </c>
      <c r="N770" s="23"/>
      <c r="O770" s="23"/>
      <c r="P770" s="23"/>
      <c r="Q770" s="23"/>
      <c r="R770" s="23"/>
      <c r="S770" s="23"/>
      <c r="T770" s="23"/>
      <c r="U770" s="23"/>
    </row>
    <row r="771" spans="1:21" x14ac:dyDescent="0.2">
      <c r="A771" s="23">
        <v>38</v>
      </c>
      <c r="B771" s="23">
        <v>0</v>
      </c>
      <c r="C771" s="23">
        <v>19.475000000000001</v>
      </c>
      <c r="D771" s="23">
        <v>2</v>
      </c>
      <c r="E771" s="23">
        <v>0</v>
      </c>
      <c r="F771" s="23">
        <v>0</v>
      </c>
      <c r="G771" s="23">
        <v>0</v>
      </c>
      <c r="H771" s="23">
        <v>0</v>
      </c>
      <c r="I771" s="23">
        <v>1</v>
      </c>
      <c r="J771" s="23">
        <v>6933.2422500000002</v>
      </c>
      <c r="N771" s="23"/>
      <c r="O771" s="23"/>
      <c r="P771" s="23"/>
      <c r="Q771" s="23"/>
      <c r="R771" s="23"/>
      <c r="S771" s="23"/>
      <c r="T771" s="23"/>
      <c r="U771" s="23"/>
    </row>
    <row r="772" spans="1:21" x14ac:dyDescent="0.2">
      <c r="A772" s="23">
        <v>61</v>
      </c>
      <c r="B772" s="23">
        <v>1</v>
      </c>
      <c r="C772" s="23">
        <v>36.1</v>
      </c>
      <c r="D772" s="23">
        <v>3</v>
      </c>
      <c r="E772" s="23">
        <v>0</v>
      </c>
      <c r="F772" s="23">
        <v>0</v>
      </c>
      <c r="G772" s="23">
        <v>0</v>
      </c>
      <c r="H772" s="23">
        <v>1</v>
      </c>
      <c r="I772" s="23">
        <v>0</v>
      </c>
      <c r="J772" s="23">
        <v>27941.28758</v>
      </c>
      <c r="N772" s="23"/>
      <c r="O772" s="23"/>
      <c r="P772" s="23"/>
      <c r="Q772" s="23"/>
      <c r="R772" s="23"/>
      <c r="S772" s="23"/>
      <c r="T772" s="23"/>
      <c r="U772" s="23"/>
    </row>
    <row r="773" spans="1:21" x14ac:dyDescent="0.2">
      <c r="A773" s="23">
        <v>53</v>
      </c>
      <c r="B773" s="23">
        <v>0</v>
      </c>
      <c r="C773" s="23">
        <v>26.7</v>
      </c>
      <c r="D773" s="23">
        <v>2</v>
      </c>
      <c r="E773" s="23">
        <v>0</v>
      </c>
      <c r="F773" s="23">
        <v>0</v>
      </c>
      <c r="G773" s="23">
        <v>0</v>
      </c>
      <c r="H773" s="23">
        <v>1</v>
      </c>
      <c r="I773" s="23">
        <v>0</v>
      </c>
      <c r="J773" s="23">
        <v>11150.78</v>
      </c>
      <c r="N773" s="23"/>
      <c r="O773" s="23"/>
      <c r="P773" s="23"/>
      <c r="Q773" s="23"/>
      <c r="R773" s="23"/>
      <c r="S773" s="23"/>
      <c r="T773" s="23"/>
      <c r="U773" s="23"/>
    </row>
    <row r="774" spans="1:21" x14ac:dyDescent="0.2">
      <c r="A774" s="23">
        <v>44</v>
      </c>
      <c r="B774" s="23">
        <v>0</v>
      </c>
      <c r="C774" s="23">
        <v>36.479999999999997</v>
      </c>
      <c r="D774" s="23">
        <v>0</v>
      </c>
      <c r="E774" s="23">
        <v>0</v>
      </c>
      <c r="F774" s="23">
        <v>1</v>
      </c>
      <c r="G774" s="23">
        <v>0</v>
      </c>
      <c r="H774" s="23">
        <v>0</v>
      </c>
      <c r="I774" s="23">
        <v>0</v>
      </c>
      <c r="J774" s="23">
        <v>12797.20962</v>
      </c>
      <c r="N774" s="23"/>
      <c r="O774" s="23"/>
      <c r="P774" s="23"/>
      <c r="Q774" s="23"/>
      <c r="R774" s="23"/>
      <c r="S774" s="23"/>
      <c r="T774" s="23"/>
      <c r="U774" s="23"/>
    </row>
    <row r="775" spans="1:21" x14ac:dyDescent="0.2">
      <c r="A775" s="23">
        <v>19</v>
      </c>
      <c r="B775" s="23">
        <v>0</v>
      </c>
      <c r="C775" s="23">
        <v>28.88</v>
      </c>
      <c r="D775" s="23">
        <v>0</v>
      </c>
      <c r="E775" s="23">
        <v>1</v>
      </c>
      <c r="F775" s="23">
        <v>0</v>
      </c>
      <c r="G775" s="23">
        <v>0</v>
      </c>
      <c r="H775" s="23">
        <v>0</v>
      </c>
      <c r="I775" s="23">
        <v>1</v>
      </c>
      <c r="J775" s="23">
        <v>17748.5062</v>
      </c>
      <c r="N775" s="23"/>
      <c r="O775" s="23"/>
      <c r="P775" s="23"/>
      <c r="Q775" s="23"/>
      <c r="R775" s="23"/>
      <c r="S775" s="23"/>
      <c r="T775" s="23"/>
      <c r="U775" s="23"/>
    </row>
    <row r="776" spans="1:21" x14ac:dyDescent="0.2">
      <c r="A776" s="23">
        <v>41</v>
      </c>
      <c r="B776" s="23">
        <v>1</v>
      </c>
      <c r="C776" s="23">
        <v>34.200000000000003</v>
      </c>
      <c r="D776" s="23">
        <v>2</v>
      </c>
      <c r="E776" s="23">
        <v>0</v>
      </c>
      <c r="F776" s="23">
        <v>0</v>
      </c>
      <c r="G776" s="23">
        <v>0</v>
      </c>
      <c r="H776" s="23">
        <v>0</v>
      </c>
      <c r="I776" s="23">
        <v>1</v>
      </c>
      <c r="J776" s="23">
        <v>7261.741</v>
      </c>
      <c r="N776" s="23"/>
      <c r="O776" s="23"/>
      <c r="P776" s="23"/>
      <c r="Q776" s="23"/>
      <c r="R776" s="23"/>
      <c r="S776" s="23"/>
      <c r="T776" s="23"/>
      <c r="U776" s="23"/>
    </row>
    <row r="777" spans="1:21" x14ac:dyDescent="0.2">
      <c r="A777" s="23">
        <v>51</v>
      </c>
      <c r="B777" s="23">
        <v>1</v>
      </c>
      <c r="C777" s="23">
        <v>33.33</v>
      </c>
      <c r="D777" s="23">
        <v>3</v>
      </c>
      <c r="E777" s="23">
        <v>0</v>
      </c>
      <c r="F777" s="23">
        <v>0</v>
      </c>
      <c r="G777" s="23">
        <v>1</v>
      </c>
      <c r="H777" s="23">
        <v>0</v>
      </c>
      <c r="I777" s="23">
        <v>0</v>
      </c>
      <c r="J777" s="23">
        <v>10560.4917</v>
      </c>
      <c r="N777" s="23"/>
      <c r="O777" s="23"/>
      <c r="P777" s="23"/>
      <c r="Q777" s="23"/>
      <c r="R777" s="23"/>
      <c r="S777" s="23"/>
      <c r="T777" s="23"/>
      <c r="U777" s="23"/>
    </row>
    <row r="778" spans="1:21" x14ac:dyDescent="0.2">
      <c r="A778" s="23">
        <v>40</v>
      </c>
      <c r="B778" s="23">
        <v>1</v>
      </c>
      <c r="C778" s="23">
        <v>32.299999999999997</v>
      </c>
      <c r="D778" s="23">
        <v>2</v>
      </c>
      <c r="E778" s="23">
        <v>0</v>
      </c>
      <c r="F778" s="23">
        <v>0</v>
      </c>
      <c r="G778" s="23">
        <v>0</v>
      </c>
      <c r="H778" s="23">
        <v>0</v>
      </c>
      <c r="I778" s="23">
        <v>1</v>
      </c>
      <c r="J778" s="23">
        <v>6986.6970000000001</v>
      </c>
      <c r="N778" s="23"/>
      <c r="O778" s="23"/>
      <c r="P778" s="23"/>
      <c r="Q778" s="23"/>
      <c r="R778" s="23"/>
      <c r="S778" s="23"/>
      <c r="T778" s="23"/>
      <c r="U778" s="23"/>
    </row>
    <row r="779" spans="1:21" x14ac:dyDescent="0.2">
      <c r="A779" s="23">
        <v>45</v>
      </c>
      <c r="B779" s="23">
        <v>1</v>
      </c>
      <c r="C779" s="23">
        <v>39.805</v>
      </c>
      <c r="D779" s="23">
        <v>0</v>
      </c>
      <c r="E779" s="23">
        <v>0</v>
      </c>
      <c r="F779" s="23">
        <v>1</v>
      </c>
      <c r="G779" s="23">
        <v>0</v>
      </c>
      <c r="H779" s="23">
        <v>0</v>
      </c>
      <c r="I779" s="23">
        <v>0</v>
      </c>
      <c r="J779" s="23">
        <v>7448.4039499999999</v>
      </c>
      <c r="N779" s="23"/>
      <c r="O779" s="23"/>
      <c r="P779" s="23"/>
      <c r="Q779" s="23"/>
      <c r="R779" s="23"/>
      <c r="S779" s="23"/>
      <c r="T779" s="23"/>
      <c r="U779" s="23"/>
    </row>
    <row r="780" spans="1:21" x14ac:dyDescent="0.2">
      <c r="A780" s="23">
        <v>35</v>
      </c>
      <c r="B780" s="23">
        <v>1</v>
      </c>
      <c r="C780" s="23">
        <v>34.32</v>
      </c>
      <c r="D780" s="23">
        <v>3</v>
      </c>
      <c r="E780" s="23">
        <v>0</v>
      </c>
      <c r="F780" s="23">
        <v>0</v>
      </c>
      <c r="G780" s="23">
        <v>1</v>
      </c>
      <c r="H780" s="23">
        <v>0</v>
      </c>
      <c r="I780" s="23">
        <v>0</v>
      </c>
      <c r="J780" s="23">
        <v>5934.3797999999997</v>
      </c>
      <c r="N780" s="23"/>
      <c r="O780" s="23"/>
      <c r="P780" s="23"/>
      <c r="Q780" s="23"/>
      <c r="R780" s="23"/>
      <c r="S780" s="23"/>
      <c r="T780" s="23"/>
      <c r="U780" s="23"/>
    </row>
    <row r="781" spans="1:21" x14ac:dyDescent="0.2">
      <c r="A781" s="23">
        <v>53</v>
      </c>
      <c r="B781" s="23">
        <v>1</v>
      </c>
      <c r="C781" s="23">
        <v>28.88</v>
      </c>
      <c r="D781" s="23">
        <v>0</v>
      </c>
      <c r="E781" s="23">
        <v>0</v>
      </c>
      <c r="F781" s="23">
        <v>0</v>
      </c>
      <c r="G781" s="23">
        <v>0</v>
      </c>
      <c r="H781" s="23">
        <v>0</v>
      </c>
      <c r="I781" s="23">
        <v>1</v>
      </c>
      <c r="J781" s="23">
        <v>9869.8101999999999</v>
      </c>
      <c r="N781" s="23"/>
      <c r="O781" s="23"/>
      <c r="P781" s="23"/>
      <c r="Q781" s="23"/>
      <c r="R781" s="23"/>
      <c r="S781" s="23"/>
      <c r="T781" s="23"/>
      <c r="U781" s="23"/>
    </row>
    <row r="782" spans="1:21" x14ac:dyDescent="0.2">
      <c r="A782" s="23">
        <v>30</v>
      </c>
      <c r="B782" s="23">
        <v>1</v>
      </c>
      <c r="C782" s="23">
        <v>24.4</v>
      </c>
      <c r="D782" s="23">
        <v>3</v>
      </c>
      <c r="E782" s="23">
        <v>1</v>
      </c>
      <c r="F782" s="23">
        <v>0</v>
      </c>
      <c r="G782" s="23">
        <v>0</v>
      </c>
      <c r="H782" s="23">
        <v>1</v>
      </c>
      <c r="I782" s="23">
        <v>0</v>
      </c>
      <c r="J782" s="23">
        <v>18259.216</v>
      </c>
      <c r="N782" s="23"/>
      <c r="O782" s="23"/>
      <c r="P782" s="23"/>
      <c r="Q782" s="23"/>
      <c r="R782" s="23"/>
      <c r="S782" s="23"/>
      <c r="T782" s="23"/>
      <c r="U782" s="23"/>
    </row>
    <row r="783" spans="1:21" x14ac:dyDescent="0.2">
      <c r="A783" s="23">
        <v>18</v>
      </c>
      <c r="B783" s="23">
        <v>1</v>
      </c>
      <c r="C783" s="23">
        <v>41.14</v>
      </c>
      <c r="D783" s="23">
        <v>0</v>
      </c>
      <c r="E783" s="23">
        <v>0</v>
      </c>
      <c r="F783" s="23">
        <v>0</v>
      </c>
      <c r="G783" s="23">
        <v>1</v>
      </c>
      <c r="H783" s="23">
        <v>0</v>
      </c>
      <c r="I783" s="23">
        <v>0</v>
      </c>
      <c r="J783" s="23">
        <v>1146.7965999999999</v>
      </c>
      <c r="N783" s="23"/>
      <c r="O783" s="23"/>
      <c r="P783" s="23"/>
      <c r="Q783" s="23"/>
      <c r="R783" s="23"/>
      <c r="S783" s="23"/>
      <c r="T783" s="23"/>
      <c r="U783" s="23"/>
    </row>
    <row r="784" spans="1:21" x14ac:dyDescent="0.2">
      <c r="A784" s="23">
        <v>51</v>
      </c>
      <c r="B784" s="23">
        <v>1</v>
      </c>
      <c r="C784" s="23">
        <v>35.97</v>
      </c>
      <c r="D784" s="23">
        <v>1</v>
      </c>
      <c r="E784" s="23">
        <v>0</v>
      </c>
      <c r="F784" s="23">
        <v>0</v>
      </c>
      <c r="G784" s="23">
        <v>1</v>
      </c>
      <c r="H784" s="23">
        <v>0</v>
      </c>
      <c r="I784" s="23">
        <v>0</v>
      </c>
      <c r="J784" s="23">
        <v>9386.1612999999998</v>
      </c>
      <c r="N784" s="23"/>
      <c r="O784" s="23"/>
      <c r="P784" s="23"/>
      <c r="Q784" s="23"/>
      <c r="R784" s="23"/>
      <c r="S784" s="23"/>
      <c r="T784" s="23"/>
      <c r="U784" s="23"/>
    </row>
    <row r="785" spans="1:21" x14ac:dyDescent="0.2">
      <c r="A785" s="23">
        <v>50</v>
      </c>
      <c r="B785" s="23">
        <v>0</v>
      </c>
      <c r="C785" s="23">
        <v>27.6</v>
      </c>
      <c r="D785" s="23">
        <v>1</v>
      </c>
      <c r="E785" s="23">
        <v>1</v>
      </c>
      <c r="F785" s="23">
        <v>0</v>
      </c>
      <c r="G785" s="23">
        <v>0</v>
      </c>
      <c r="H785" s="23">
        <v>1</v>
      </c>
      <c r="I785" s="23">
        <v>0</v>
      </c>
      <c r="J785" s="23">
        <v>24520.263999999999</v>
      </c>
      <c r="N785" s="23"/>
      <c r="O785" s="23"/>
      <c r="P785" s="23"/>
      <c r="Q785" s="23"/>
      <c r="R785" s="23"/>
      <c r="S785" s="23"/>
      <c r="T785" s="23"/>
      <c r="U785" s="23"/>
    </row>
    <row r="786" spans="1:21" x14ac:dyDescent="0.2">
      <c r="A786" s="23">
        <v>31</v>
      </c>
      <c r="B786" s="23">
        <v>0</v>
      </c>
      <c r="C786" s="23">
        <v>29.26</v>
      </c>
      <c r="D786" s="23">
        <v>1</v>
      </c>
      <c r="E786" s="23">
        <v>0</v>
      </c>
      <c r="F786" s="23">
        <v>0</v>
      </c>
      <c r="G786" s="23">
        <v>1</v>
      </c>
      <c r="H786" s="23">
        <v>0</v>
      </c>
      <c r="I786" s="23">
        <v>0</v>
      </c>
      <c r="J786" s="23">
        <v>4350.5144</v>
      </c>
      <c r="N786" s="23"/>
      <c r="O786" s="23"/>
      <c r="P786" s="23"/>
      <c r="Q786" s="23"/>
      <c r="R786" s="23"/>
      <c r="S786" s="23"/>
      <c r="T786" s="23"/>
      <c r="U786" s="23"/>
    </row>
    <row r="787" spans="1:21" x14ac:dyDescent="0.2">
      <c r="A787" s="23">
        <v>35</v>
      </c>
      <c r="B787" s="23">
        <v>0</v>
      </c>
      <c r="C787" s="23">
        <v>27.7</v>
      </c>
      <c r="D787" s="23">
        <v>3</v>
      </c>
      <c r="E787" s="23">
        <v>0</v>
      </c>
      <c r="F787" s="23">
        <v>0</v>
      </c>
      <c r="G787" s="23">
        <v>0</v>
      </c>
      <c r="H787" s="23">
        <v>1</v>
      </c>
      <c r="I787" s="23">
        <v>0</v>
      </c>
      <c r="J787" s="23">
        <v>6414.1779999999999</v>
      </c>
      <c r="N787" s="23"/>
      <c r="O787" s="23"/>
      <c r="P787" s="23"/>
      <c r="Q787" s="23"/>
      <c r="R787" s="23"/>
      <c r="S787" s="23"/>
      <c r="T787" s="23"/>
      <c r="U787" s="23"/>
    </row>
    <row r="788" spans="1:21" x14ac:dyDescent="0.2">
      <c r="A788" s="23">
        <v>60</v>
      </c>
      <c r="B788" s="23">
        <v>1</v>
      </c>
      <c r="C788" s="23">
        <v>36.954999999999998</v>
      </c>
      <c r="D788" s="23">
        <v>0</v>
      </c>
      <c r="E788" s="23">
        <v>0</v>
      </c>
      <c r="F788" s="23">
        <v>1</v>
      </c>
      <c r="G788" s="23">
        <v>0</v>
      </c>
      <c r="H788" s="23">
        <v>0</v>
      </c>
      <c r="I788" s="23">
        <v>0</v>
      </c>
      <c r="J788" s="23">
        <v>12741.167450000001</v>
      </c>
      <c r="N788" s="23"/>
      <c r="O788" s="23"/>
      <c r="P788" s="23"/>
      <c r="Q788" s="23"/>
      <c r="R788" s="23"/>
      <c r="S788" s="23"/>
      <c r="T788" s="23"/>
      <c r="U788" s="23"/>
    </row>
    <row r="789" spans="1:21" x14ac:dyDescent="0.2">
      <c r="A789" s="23">
        <v>21</v>
      </c>
      <c r="B789" s="23">
        <v>1</v>
      </c>
      <c r="C789" s="23">
        <v>36.86</v>
      </c>
      <c r="D789" s="23">
        <v>0</v>
      </c>
      <c r="E789" s="23">
        <v>0</v>
      </c>
      <c r="F789" s="23">
        <v>0</v>
      </c>
      <c r="G789" s="23">
        <v>0</v>
      </c>
      <c r="H789" s="23">
        <v>0</v>
      </c>
      <c r="I789" s="23">
        <v>1</v>
      </c>
      <c r="J789" s="23">
        <v>1917.3184000000001</v>
      </c>
      <c r="N789" s="23"/>
      <c r="O789" s="23"/>
      <c r="P789" s="23"/>
      <c r="Q789" s="23"/>
      <c r="R789" s="23"/>
      <c r="S789" s="23"/>
      <c r="T789" s="23"/>
      <c r="U789" s="23"/>
    </row>
    <row r="790" spans="1:21" x14ac:dyDescent="0.2">
      <c r="A790" s="23">
        <v>29</v>
      </c>
      <c r="B790" s="23">
        <v>1</v>
      </c>
      <c r="C790" s="23">
        <v>22.515000000000001</v>
      </c>
      <c r="D790" s="23">
        <v>3</v>
      </c>
      <c r="E790" s="23">
        <v>0</v>
      </c>
      <c r="F790" s="23">
        <v>1</v>
      </c>
      <c r="G790" s="23">
        <v>0</v>
      </c>
      <c r="H790" s="23">
        <v>0</v>
      </c>
      <c r="I790" s="23">
        <v>0</v>
      </c>
      <c r="J790" s="23">
        <v>5209.5788499999999</v>
      </c>
      <c r="N790" s="23"/>
      <c r="O790" s="23"/>
      <c r="P790" s="23"/>
      <c r="Q790" s="23"/>
      <c r="R790" s="23"/>
      <c r="S790" s="23"/>
      <c r="T790" s="23"/>
      <c r="U790" s="23"/>
    </row>
    <row r="791" spans="1:21" x14ac:dyDescent="0.2">
      <c r="A791" s="23">
        <v>62</v>
      </c>
      <c r="B791" s="23">
        <v>0</v>
      </c>
      <c r="C791" s="23">
        <v>29.92</v>
      </c>
      <c r="D791" s="23">
        <v>0</v>
      </c>
      <c r="E791" s="23">
        <v>0</v>
      </c>
      <c r="F791" s="23">
        <v>0</v>
      </c>
      <c r="G791" s="23">
        <v>1</v>
      </c>
      <c r="H791" s="23">
        <v>0</v>
      </c>
      <c r="I791" s="23">
        <v>0</v>
      </c>
      <c r="J791" s="23">
        <v>13457.960800000001</v>
      </c>
      <c r="N791" s="23"/>
      <c r="O791" s="23"/>
      <c r="P791" s="23"/>
      <c r="Q791" s="23"/>
      <c r="R791" s="23"/>
      <c r="S791" s="23"/>
      <c r="T791" s="23"/>
      <c r="U791" s="23"/>
    </row>
    <row r="792" spans="1:21" x14ac:dyDescent="0.2">
      <c r="A792" s="23">
        <v>39</v>
      </c>
      <c r="B792" s="23">
        <v>0</v>
      </c>
      <c r="C792" s="23">
        <v>41.8</v>
      </c>
      <c r="D792" s="23">
        <v>0</v>
      </c>
      <c r="E792" s="23">
        <v>0</v>
      </c>
      <c r="F792" s="23">
        <v>0</v>
      </c>
      <c r="G792" s="23">
        <v>1</v>
      </c>
      <c r="H792" s="23">
        <v>0</v>
      </c>
      <c r="I792" s="23">
        <v>0</v>
      </c>
      <c r="J792" s="23">
        <v>5662.2250000000004</v>
      </c>
      <c r="N792" s="23"/>
      <c r="O792" s="23"/>
      <c r="P792" s="23"/>
      <c r="Q792" s="23"/>
      <c r="R792" s="23"/>
      <c r="S792" s="23"/>
      <c r="T792" s="23"/>
      <c r="U792" s="23"/>
    </row>
    <row r="793" spans="1:21" x14ac:dyDescent="0.2">
      <c r="A793" s="23">
        <v>19</v>
      </c>
      <c r="B793" s="23">
        <v>1</v>
      </c>
      <c r="C793" s="23">
        <v>27.6</v>
      </c>
      <c r="D793" s="23">
        <v>0</v>
      </c>
      <c r="E793" s="23">
        <v>0</v>
      </c>
      <c r="F793" s="23">
        <v>0</v>
      </c>
      <c r="G793" s="23">
        <v>0</v>
      </c>
      <c r="H793" s="23">
        <v>1</v>
      </c>
      <c r="I793" s="23">
        <v>0</v>
      </c>
      <c r="J793" s="23">
        <v>1252.4069999999999</v>
      </c>
      <c r="N793" s="23"/>
      <c r="O793" s="23"/>
      <c r="P793" s="23"/>
      <c r="Q793" s="23"/>
      <c r="R793" s="23"/>
      <c r="S793" s="23"/>
      <c r="T793" s="23"/>
      <c r="U793" s="23"/>
    </row>
    <row r="794" spans="1:21" x14ac:dyDescent="0.2">
      <c r="A794" s="23">
        <v>22</v>
      </c>
      <c r="B794" s="23">
        <v>0</v>
      </c>
      <c r="C794" s="23">
        <v>23.18</v>
      </c>
      <c r="D794" s="23">
        <v>0</v>
      </c>
      <c r="E794" s="23">
        <v>0</v>
      </c>
      <c r="F794" s="23">
        <v>1</v>
      </c>
      <c r="G794" s="23">
        <v>0</v>
      </c>
      <c r="H794" s="23">
        <v>0</v>
      </c>
      <c r="I794" s="23">
        <v>0</v>
      </c>
      <c r="J794" s="23">
        <v>2731.9122000000002</v>
      </c>
      <c r="N794" s="23"/>
      <c r="O794" s="23"/>
      <c r="P794" s="23"/>
      <c r="Q794" s="23"/>
      <c r="R794" s="23"/>
      <c r="S794" s="23"/>
      <c r="T794" s="23"/>
      <c r="U794" s="23"/>
    </row>
    <row r="795" spans="1:21" x14ac:dyDescent="0.2">
      <c r="A795" s="23">
        <v>53</v>
      </c>
      <c r="B795" s="23">
        <v>1</v>
      </c>
      <c r="C795" s="23">
        <v>20.9</v>
      </c>
      <c r="D795" s="23">
        <v>0</v>
      </c>
      <c r="E795" s="23">
        <v>1</v>
      </c>
      <c r="F795" s="23">
        <v>0</v>
      </c>
      <c r="G795" s="23">
        <v>1</v>
      </c>
      <c r="H795" s="23">
        <v>0</v>
      </c>
      <c r="I795" s="23">
        <v>0</v>
      </c>
      <c r="J795" s="23">
        <v>21195.817999999999</v>
      </c>
      <c r="N795" s="23"/>
      <c r="O795" s="23"/>
      <c r="P795" s="23"/>
      <c r="Q795" s="23"/>
      <c r="R795" s="23"/>
      <c r="S795" s="23"/>
      <c r="T795" s="23"/>
      <c r="U795" s="23"/>
    </row>
    <row r="796" spans="1:21" x14ac:dyDescent="0.2">
      <c r="A796" s="23">
        <v>39</v>
      </c>
      <c r="B796" s="23">
        <v>0</v>
      </c>
      <c r="C796" s="23">
        <v>31.92</v>
      </c>
      <c r="D796" s="23">
        <v>2</v>
      </c>
      <c r="E796" s="23">
        <v>0</v>
      </c>
      <c r="F796" s="23">
        <v>0</v>
      </c>
      <c r="G796" s="23">
        <v>0</v>
      </c>
      <c r="H796" s="23">
        <v>0</v>
      </c>
      <c r="I796" s="23">
        <v>1</v>
      </c>
      <c r="J796" s="23">
        <v>7209.4917999999998</v>
      </c>
      <c r="N796" s="23"/>
      <c r="O796" s="23"/>
      <c r="P796" s="23"/>
      <c r="Q796" s="23"/>
      <c r="R796" s="23"/>
      <c r="S796" s="23"/>
      <c r="T796" s="23"/>
      <c r="U796" s="23"/>
    </row>
    <row r="797" spans="1:21" x14ac:dyDescent="0.2">
      <c r="A797" s="23">
        <v>27</v>
      </c>
      <c r="B797" s="23">
        <v>1</v>
      </c>
      <c r="C797" s="23">
        <v>28.5</v>
      </c>
      <c r="D797" s="23">
        <v>0</v>
      </c>
      <c r="E797" s="23">
        <v>1</v>
      </c>
      <c r="F797" s="23">
        <v>0</v>
      </c>
      <c r="G797" s="23">
        <v>0</v>
      </c>
      <c r="H797" s="23">
        <v>0</v>
      </c>
      <c r="I797" s="23">
        <v>1</v>
      </c>
      <c r="J797" s="23">
        <v>18310.741999999998</v>
      </c>
      <c r="N797" s="23"/>
      <c r="O797" s="23"/>
      <c r="P797" s="23"/>
      <c r="Q797" s="23"/>
      <c r="R797" s="23"/>
      <c r="S797" s="23"/>
      <c r="T797" s="23"/>
      <c r="U797" s="23"/>
    </row>
    <row r="798" spans="1:21" x14ac:dyDescent="0.2">
      <c r="A798" s="23">
        <v>30</v>
      </c>
      <c r="B798" s="23">
        <v>1</v>
      </c>
      <c r="C798" s="23">
        <v>44.22</v>
      </c>
      <c r="D798" s="23">
        <v>2</v>
      </c>
      <c r="E798" s="23">
        <v>0</v>
      </c>
      <c r="F798" s="23">
        <v>0</v>
      </c>
      <c r="G798" s="23">
        <v>1</v>
      </c>
      <c r="H798" s="23">
        <v>0</v>
      </c>
      <c r="I798" s="23">
        <v>0</v>
      </c>
      <c r="J798" s="23">
        <v>4266.1657999999998</v>
      </c>
      <c r="N798" s="23"/>
      <c r="O798" s="23"/>
      <c r="P798" s="23"/>
      <c r="Q798" s="23"/>
      <c r="R798" s="23"/>
      <c r="S798" s="23"/>
      <c r="T798" s="23"/>
      <c r="U798" s="23"/>
    </row>
    <row r="799" spans="1:21" x14ac:dyDescent="0.2">
      <c r="A799" s="23">
        <v>30</v>
      </c>
      <c r="B799" s="23">
        <v>0</v>
      </c>
      <c r="C799" s="23">
        <v>22.895</v>
      </c>
      <c r="D799" s="23">
        <v>1</v>
      </c>
      <c r="E799" s="23">
        <v>0</v>
      </c>
      <c r="F799" s="23">
        <v>1</v>
      </c>
      <c r="G799" s="23">
        <v>0</v>
      </c>
      <c r="H799" s="23">
        <v>0</v>
      </c>
      <c r="I799" s="23">
        <v>0</v>
      </c>
      <c r="J799" s="23">
        <v>4719.52405</v>
      </c>
      <c r="N799" s="23"/>
      <c r="O799" s="23"/>
      <c r="P799" s="23"/>
      <c r="Q799" s="23"/>
      <c r="R799" s="23"/>
      <c r="S799" s="23"/>
      <c r="T799" s="23"/>
      <c r="U799" s="23"/>
    </row>
    <row r="800" spans="1:21" x14ac:dyDescent="0.2">
      <c r="A800" s="23">
        <v>58</v>
      </c>
      <c r="B800" s="23">
        <v>0</v>
      </c>
      <c r="C800" s="23">
        <v>33.1</v>
      </c>
      <c r="D800" s="23">
        <v>0</v>
      </c>
      <c r="E800" s="23">
        <v>0</v>
      </c>
      <c r="F800" s="23">
        <v>0</v>
      </c>
      <c r="G800" s="23">
        <v>0</v>
      </c>
      <c r="H800" s="23">
        <v>1</v>
      </c>
      <c r="I800" s="23">
        <v>0</v>
      </c>
      <c r="J800" s="23">
        <v>11848.141</v>
      </c>
      <c r="N800" s="23"/>
      <c r="O800" s="23"/>
      <c r="P800" s="23"/>
      <c r="Q800" s="23"/>
      <c r="R800" s="23"/>
      <c r="S800" s="23"/>
      <c r="T800" s="23"/>
      <c r="U800" s="23"/>
    </row>
    <row r="801" spans="1:21" x14ac:dyDescent="0.2">
      <c r="A801" s="23">
        <v>33</v>
      </c>
      <c r="B801" s="23">
        <v>1</v>
      </c>
      <c r="C801" s="23">
        <v>24.795000000000002</v>
      </c>
      <c r="D801" s="23">
        <v>0</v>
      </c>
      <c r="E801" s="23">
        <v>1</v>
      </c>
      <c r="F801" s="23">
        <v>1</v>
      </c>
      <c r="G801" s="23">
        <v>0</v>
      </c>
      <c r="H801" s="23">
        <v>0</v>
      </c>
      <c r="I801" s="23">
        <v>0</v>
      </c>
      <c r="J801" s="23">
        <v>17904.527050000001</v>
      </c>
      <c r="N801" s="23"/>
      <c r="O801" s="23"/>
      <c r="P801" s="23"/>
      <c r="Q801" s="23"/>
      <c r="R801" s="23"/>
      <c r="S801" s="23"/>
      <c r="T801" s="23"/>
      <c r="U801" s="23"/>
    </row>
    <row r="802" spans="1:21" x14ac:dyDescent="0.2">
      <c r="A802" s="23">
        <v>42</v>
      </c>
      <c r="B802" s="23">
        <v>0</v>
      </c>
      <c r="C802" s="23">
        <v>26.18</v>
      </c>
      <c r="D802" s="23">
        <v>1</v>
      </c>
      <c r="E802" s="23">
        <v>0</v>
      </c>
      <c r="F802" s="23">
        <v>0</v>
      </c>
      <c r="G802" s="23">
        <v>1</v>
      </c>
      <c r="H802" s="23">
        <v>0</v>
      </c>
      <c r="I802" s="23">
        <v>0</v>
      </c>
      <c r="J802" s="23">
        <v>7046.7222000000002</v>
      </c>
      <c r="N802" s="23"/>
      <c r="O802" s="23"/>
      <c r="P802" s="23"/>
      <c r="Q802" s="23"/>
      <c r="R802" s="23"/>
      <c r="S802" s="23"/>
      <c r="T802" s="23"/>
      <c r="U802" s="23"/>
    </row>
    <row r="803" spans="1:21" x14ac:dyDescent="0.2">
      <c r="A803" s="23">
        <v>64</v>
      </c>
      <c r="B803" s="23">
        <v>0</v>
      </c>
      <c r="C803" s="23">
        <v>35.97</v>
      </c>
      <c r="D803" s="23">
        <v>0</v>
      </c>
      <c r="E803" s="23">
        <v>0</v>
      </c>
      <c r="F803" s="23">
        <v>0</v>
      </c>
      <c r="G803" s="23">
        <v>1</v>
      </c>
      <c r="H803" s="23">
        <v>0</v>
      </c>
      <c r="I803" s="23">
        <v>0</v>
      </c>
      <c r="J803" s="23">
        <v>14313.846299999999</v>
      </c>
      <c r="N803" s="23"/>
      <c r="O803" s="23"/>
      <c r="P803" s="23"/>
      <c r="Q803" s="23"/>
      <c r="R803" s="23"/>
      <c r="S803" s="23"/>
      <c r="T803" s="23"/>
      <c r="U803" s="23"/>
    </row>
    <row r="804" spans="1:21" x14ac:dyDescent="0.2">
      <c r="A804" s="23">
        <v>21</v>
      </c>
      <c r="B804" s="23">
        <v>1</v>
      </c>
      <c r="C804" s="23">
        <v>22.3</v>
      </c>
      <c r="D804" s="23">
        <v>1</v>
      </c>
      <c r="E804" s="23">
        <v>0</v>
      </c>
      <c r="F804" s="23">
        <v>0</v>
      </c>
      <c r="G804" s="23">
        <v>0</v>
      </c>
      <c r="H804" s="23">
        <v>1</v>
      </c>
      <c r="I804" s="23">
        <v>0</v>
      </c>
      <c r="J804" s="23">
        <v>2103.08</v>
      </c>
      <c r="N804" s="23"/>
      <c r="O804" s="23"/>
      <c r="P804" s="23"/>
      <c r="Q804" s="23"/>
      <c r="R804" s="23"/>
      <c r="S804" s="23"/>
      <c r="T804" s="23"/>
      <c r="U804" s="23"/>
    </row>
    <row r="805" spans="1:21" x14ac:dyDescent="0.2">
      <c r="A805" s="23">
        <v>18</v>
      </c>
      <c r="B805" s="23">
        <v>0</v>
      </c>
      <c r="C805" s="23">
        <v>42.24</v>
      </c>
      <c r="D805" s="23">
        <v>0</v>
      </c>
      <c r="E805" s="23">
        <v>1</v>
      </c>
      <c r="F805" s="23">
        <v>0</v>
      </c>
      <c r="G805" s="23">
        <v>1</v>
      </c>
      <c r="H805" s="23">
        <v>0</v>
      </c>
      <c r="I805" s="23">
        <v>0</v>
      </c>
      <c r="J805" s="23">
        <v>38792.685599999997</v>
      </c>
      <c r="N805" s="23"/>
      <c r="O805" s="23"/>
      <c r="P805" s="23"/>
      <c r="Q805" s="23"/>
      <c r="R805" s="23"/>
      <c r="S805" s="23"/>
      <c r="T805" s="23"/>
      <c r="U805" s="23"/>
    </row>
    <row r="806" spans="1:21" x14ac:dyDescent="0.2">
      <c r="A806" s="23">
        <v>23</v>
      </c>
      <c r="B806" s="23">
        <v>1</v>
      </c>
      <c r="C806" s="23">
        <v>26.51</v>
      </c>
      <c r="D806" s="23">
        <v>0</v>
      </c>
      <c r="E806" s="23">
        <v>0</v>
      </c>
      <c r="F806" s="23">
        <v>0</v>
      </c>
      <c r="G806" s="23">
        <v>1</v>
      </c>
      <c r="H806" s="23">
        <v>0</v>
      </c>
      <c r="I806" s="23">
        <v>0</v>
      </c>
      <c r="J806" s="23">
        <v>1815.8759</v>
      </c>
      <c r="N806" s="23"/>
      <c r="O806" s="23"/>
      <c r="P806" s="23"/>
      <c r="Q806" s="23"/>
      <c r="R806" s="23"/>
      <c r="S806" s="23"/>
      <c r="T806" s="23"/>
      <c r="U806" s="23"/>
    </row>
    <row r="807" spans="1:21" x14ac:dyDescent="0.2">
      <c r="A807" s="23">
        <v>45</v>
      </c>
      <c r="B807" s="23">
        <v>0</v>
      </c>
      <c r="C807" s="23">
        <v>35.814999999999998</v>
      </c>
      <c r="D807" s="23">
        <v>0</v>
      </c>
      <c r="E807" s="23">
        <v>0</v>
      </c>
      <c r="F807" s="23">
        <v>0</v>
      </c>
      <c r="G807" s="23">
        <v>0</v>
      </c>
      <c r="H807" s="23">
        <v>0</v>
      </c>
      <c r="I807" s="23">
        <v>1</v>
      </c>
      <c r="J807" s="23">
        <v>7731.8578500000003</v>
      </c>
      <c r="N807" s="23"/>
      <c r="O807" s="23"/>
      <c r="P807" s="23"/>
      <c r="Q807" s="23"/>
      <c r="R807" s="23"/>
      <c r="S807" s="23"/>
      <c r="T807" s="23"/>
      <c r="U807" s="23"/>
    </row>
    <row r="808" spans="1:21" x14ac:dyDescent="0.2">
      <c r="A808" s="23">
        <v>40</v>
      </c>
      <c r="B808" s="23">
        <v>0</v>
      </c>
      <c r="C808" s="23">
        <v>41.42</v>
      </c>
      <c r="D808" s="23">
        <v>1</v>
      </c>
      <c r="E808" s="23">
        <v>0</v>
      </c>
      <c r="F808" s="23">
        <v>0</v>
      </c>
      <c r="G808" s="23">
        <v>0</v>
      </c>
      <c r="H808" s="23">
        <v>0</v>
      </c>
      <c r="I808" s="23">
        <v>1</v>
      </c>
      <c r="J808" s="23">
        <v>28476.734990000001</v>
      </c>
      <c r="N808" s="23"/>
      <c r="O808" s="23"/>
      <c r="P808" s="23"/>
      <c r="Q808" s="23"/>
      <c r="R808" s="23"/>
      <c r="S808" s="23"/>
      <c r="T808" s="23"/>
      <c r="U808" s="23"/>
    </row>
    <row r="809" spans="1:21" x14ac:dyDescent="0.2">
      <c r="A809" s="23">
        <v>19</v>
      </c>
      <c r="B809" s="23">
        <v>0</v>
      </c>
      <c r="C809" s="23">
        <v>36.575000000000003</v>
      </c>
      <c r="D809" s="23">
        <v>0</v>
      </c>
      <c r="E809" s="23">
        <v>0</v>
      </c>
      <c r="F809" s="23">
        <v>0</v>
      </c>
      <c r="G809" s="23">
        <v>0</v>
      </c>
      <c r="H809" s="23">
        <v>0</v>
      </c>
      <c r="I809" s="23">
        <v>1</v>
      </c>
      <c r="J809" s="23">
        <v>2136.8822500000001</v>
      </c>
      <c r="N809" s="23"/>
      <c r="O809" s="23"/>
      <c r="P809" s="23"/>
      <c r="Q809" s="23"/>
      <c r="R809" s="23"/>
      <c r="S809" s="23"/>
      <c r="T809" s="23"/>
      <c r="U809" s="23"/>
    </row>
    <row r="810" spans="1:21" x14ac:dyDescent="0.2">
      <c r="A810" s="23">
        <v>18</v>
      </c>
      <c r="B810" s="23">
        <v>1</v>
      </c>
      <c r="C810" s="23">
        <v>30.14</v>
      </c>
      <c r="D810" s="23">
        <v>0</v>
      </c>
      <c r="E810" s="23">
        <v>0</v>
      </c>
      <c r="F810" s="23">
        <v>0</v>
      </c>
      <c r="G810" s="23">
        <v>1</v>
      </c>
      <c r="H810" s="23">
        <v>0</v>
      </c>
      <c r="I810" s="23">
        <v>0</v>
      </c>
      <c r="J810" s="23">
        <v>1131.5065999999999</v>
      </c>
      <c r="N810" s="23"/>
      <c r="O810" s="23"/>
      <c r="P810" s="23"/>
      <c r="Q810" s="23"/>
      <c r="R810" s="23"/>
      <c r="S810" s="23"/>
      <c r="T810" s="23"/>
      <c r="U810" s="23"/>
    </row>
    <row r="811" spans="1:21" x14ac:dyDescent="0.2">
      <c r="A811" s="23">
        <v>25</v>
      </c>
      <c r="B811" s="23">
        <v>1</v>
      </c>
      <c r="C811" s="23">
        <v>25.84</v>
      </c>
      <c r="D811" s="23">
        <v>1</v>
      </c>
      <c r="E811" s="23">
        <v>0</v>
      </c>
      <c r="F811" s="23">
        <v>1</v>
      </c>
      <c r="G811" s="23">
        <v>0</v>
      </c>
      <c r="H811" s="23">
        <v>0</v>
      </c>
      <c r="I811" s="23">
        <v>0</v>
      </c>
      <c r="J811" s="23">
        <v>3309.7926000000002</v>
      </c>
      <c r="N811" s="23"/>
      <c r="O811" s="23"/>
      <c r="P811" s="23"/>
      <c r="Q811" s="23"/>
      <c r="R811" s="23"/>
      <c r="S811" s="23"/>
      <c r="T811" s="23"/>
      <c r="U811" s="23"/>
    </row>
    <row r="812" spans="1:21" x14ac:dyDescent="0.2">
      <c r="A812" s="23">
        <v>46</v>
      </c>
      <c r="B812" s="23">
        <v>0</v>
      </c>
      <c r="C812" s="23">
        <v>30.8</v>
      </c>
      <c r="D812" s="23">
        <v>3</v>
      </c>
      <c r="E812" s="23">
        <v>0</v>
      </c>
      <c r="F812" s="23">
        <v>0</v>
      </c>
      <c r="G812" s="23">
        <v>0</v>
      </c>
      <c r="H812" s="23">
        <v>1</v>
      </c>
      <c r="I812" s="23">
        <v>0</v>
      </c>
      <c r="J812" s="23">
        <v>9414.92</v>
      </c>
      <c r="N812" s="23"/>
      <c r="O812" s="23"/>
      <c r="P812" s="23"/>
      <c r="Q812" s="23"/>
      <c r="R812" s="23"/>
      <c r="S812" s="23"/>
      <c r="T812" s="23"/>
      <c r="U812" s="23"/>
    </row>
    <row r="813" spans="1:21" x14ac:dyDescent="0.2">
      <c r="A813" s="23">
        <v>33</v>
      </c>
      <c r="B813" s="23">
        <v>0</v>
      </c>
      <c r="C813" s="23">
        <v>42.94</v>
      </c>
      <c r="D813" s="23">
        <v>3</v>
      </c>
      <c r="E813" s="23">
        <v>0</v>
      </c>
      <c r="F813" s="23">
        <v>0</v>
      </c>
      <c r="G813" s="23">
        <v>0</v>
      </c>
      <c r="H813" s="23">
        <v>0</v>
      </c>
      <c r="I813" s="23">
        <v>1</v>
      </c>
      <c r="J813" s="23">
        <v>6360.9935999999998</v>
      </c>
      <c r="N813" s="23"/>
      <c r="O813" s="23"/>
      <c r="P813" s="23"/>
      <c r="Q813" s="23"/>
      <c r="R813" s="23"/>
      <c r="S813" s="23"/>
      <c r="T813" s="23"/>
      <c r="U813" s="23"/>
    </row>
    <row r="814" spans="1:21" x14ac:dyDescent="0.2">
      <c r="A814" s="23">
        <v>54</v>
      </c>
      <c r="B814" s="23">
        <v>1</v>
      </c>
      <c r="C814" s="23">
        <v>21.01</v>
      </c>
      <c r="D814" s="23">
        <v>2</v>
      </c>
      <c r="E814" s="23">
        <v>0</v>
      </c>
      <c r="F814" s="23">
        <v>0</v>
      </c>
      <c r="G814" s="23">
        <v>1</v>
      </c>
      <c r="H814" s="23">
        <v>0</v>
      </c>
      <c r="I814" s="23">
        <v>0</v>
      </c>
      <c r="J814" s="23">
        <v>11013.7119</v>
      </c>
      <c r="N814" s="23"/>
      <c r="O814" s="23"/>
      <c r="P814" s="23"/>
      <c r="Q814" s="23"/>
      <c r="R814" s="23"/>
      <c r="S814" s="23"/>
      <c r="T814" s="23"/>
      <c r="U814" s="23"/>
    </row>
    <row r="815" spans="1:21" x14ac:dyDescent="0.2">
      <c r="A815" s="23">
        <v>28</v>
      </c>
      <c r="B815" s="23">
        <v>1</v>
      </c>
      <c r="C815" s="23">
        <v>22.515000000000001</v>
      </c>
      <c r="D815" s="23">
        <v>2</v>
      </c>
      <c r="E815" s="23">
        <v>0</v>
      </c>
      <c r="F815" s="23">
        <v>1</v>
      </c>
      <c r="G815" s="23">
        <v>0</v>
      </c>
      <c r="H815" s="23">
        <v>0</v>
      </c>
      <c r="I815" s="23">
        <v>0</v>
      </c>
      <c r="J815" s="23">
        <v>4428.8878500000001</v>
      </c>
      <c r="N815" s="23"/>
      <c r="O815" s="23"/>
      <c r="P815" s="23"/>
      <c r="Q815" s="23"/>
      <c r="R815" s="23"/>
      <c r="S815" s="23"/>
      <c r="T815" s="23"/>
      <c r="U815" s="23"/>
    </row>
    <row r="816" spans="1:21" x14ac:dyDescent="0.2">
      <c r="A816" s="23">
        <v>36</v>
      </c>
      <c r="B816" s="23">
        <v>1</v>
      </c>
      <c r="C816" s="23">
        <v>34.43</v>
      </c>
      <c r="D816" s="23">
        <v>2</v>
      </c>
      <c r="E816" s="23">
        <v>0</v>
      </c>
      <c r="F816" s="23">
        <v>0</v>
      </c>
      <c r="G816" s="23">
        <v>1</v>
      </c>
      <c r="H816" s="23">
        <v>0</v>
      </c>
      <c r="I816" s="23">
        <v>0</v>
      </c>
      <c r="J816" s="23">
        <v>5584.3056999999999</v>
      </c>
      <c r="N816" s="23"/>
      <c r="O816" s="23"/>
      <c r="P816" s="23"/>
      <c r="Q816" s="23"/>
      <c r="R816" s="23"/>
      <c r="S816" s="23"/>
      <c r="T816" s="23"/>
      <c r="U816" s="23"/>
    </row>
    <row r="817" spans="1:21" x14ac:dyDescent="0.2">
      <c r="A817" s="23">
        <v>20</v>
      </c>
      <c r="B817" s="23">
        <v>0</v>
      </c>
      <c r="C817" s="23">
        <v>31.46</v>
      </c>
      <c r="D817" s="23">
        <v>0</v>
      </c>
      <c r="E817" s="23">
        <v>0</v>
      </c>
      <c r="F817" s="23">
        <v>0</v>
      </c>
      <c r="G817" s="23">
        <v>1</v>
      </c>
      <c r="H817" s="23">
        <v>0</v>
      </c>
      <c r="I817" s="23">
        <v>0</v>
      </c>
      <c r="J817" s="23">
        <v>1877.9294</v>
      </c>
      <c r="N817" s="23"/>
      <c r="O817" s="23"/>
      <c r="P817" s="23"/>
      <c r="Q817" s="23"/>
      <c r="R817" s="23"/>
      <c r="S817" s="23"/>
      <c r="T817" s="23"/>
      <c r="U817" s="23"/>
    </row>
    <row r="818" spans="1:21" x14ac:dyDescent="0.2">
      <c r="A818" s="23">
        <v>24</v>
      </c>
      <c r="B818" s="23">
        <v>0</v>
      </c>
      <c r="C818" s="23">
        <v>24.225000000000001</v>
      </c>
      <c r="D818" s="23">
        <v>0</v>
      </c>
      <c r="E818" s="23">
        <v>0</v>
      </c>
      <c r="F818" s="23">
        <v>0</v>
      </c>
      <c r="G818" s="23">
        <v>0</v>
      </c>
      <c r="H818" s="23">
        <v>0</v>
      </c>
      <c r="I818" s="23">
        <v>1</v>
      </c>
      <c r="J818" s="23">
        <v>2842.7607499999999</v>
      </c>
      <c r="N818" s="23"/>
      <c r="O818" s="23"/>
      <c r="P818" s="23"/>
      <c r="Q818" s="23"/>
      <c r="R818" s="23"/>
      <c r="S818" s="23"/>
      <c r="T818" s="23"/>
      <c r="U818" s="23"/>
    </row>
    <row r="819" spans="1:21" x14ac:dyDescent="0.2">
      <c r="A819" s="23">
        <v>23</v>
      </c>
      <c r="B819" s="23">
        <v>1</v>
      </c>
      <c r="C819" s="23">
        <v>37.1</v>
      </c>
      <c r="D819" s="23">
        <v>3</v>
      </c>
      <c r="E819" s="23">
        <v>0</v>
      </c>
      <c r="F819" s="23">
        <v>0</v>
      </c>
      <c r="G819" s="23">
        <v>0</v>
      </c>
      <c r="H819" s="23">
        <v>1</v>
      </c>
      <c r="I819" s="23">
        <v>0</v>
      </c>
      <c r="J819" s="23">
        <v>3597.596</v>
      </c>
      <c r="N819" s="23"/>
      <c r="O819" s="23"/>
      <c r="P819" s="23"/>
      <c r="Q819" s="23"/>
      <c r="R819" s="23"/>
      <c r="S819" s="23"/>
      <c r="T819" s="23"/>
      <c r="U819" s="23"/>
    </row>
    <row r="820" spans="1:21" x14ac:dyDescent="0.2">
      <c r="A820" s="23">
        <v>47</v>
      </c>
      <c r="B820" s="23">
        <v>0</v>
      </c>
      <c r="C820" s="23">
        <v>26.125</v>
      </c>
      <c r="D820" s="23">
        <v>1</v>
      </c>
      <c r="E820" s="23">
        <v>1</v>
      </c>
      <c r="F820" s="23">
        <v>1</v>
      </c>
      <c r="G820" s="23">
        <v>0</v>
      </c>
      <c r="H820" s="23">
        <v>0</v>
      </c>
      <c r="I820" s="23">
        <v>0</v>
      </c>
      <c r="J820" s="23">
        <v>23401.30575</v>
      </c>
      <c r="N820" s="23"/>
      <c r="O820" s="23"/>
      <c r="P820" s="23"/>
      <c r="Q820" s="23"/>
      <c r="R820" s="23"/>
      <c r="S820" s="23"/>
      <c r="T820" s="23"/>
      <c r="U820" s="23"/>
    </row>
    <row r="821" spans="1:21" x14ac:dyDescent="0.2">
      <c r="A821" s="23">
        <v>33</v>
      </c>
      <c r="B821" s="23">
        <v>0</v>
      </c>
      <c r="C821" s="23">
        <v>35.53</v>
      </c>
      <c r="D821" s="23">
        <v>0</v>
      </c>
      <c r="E821" s="23">
        <v>1</v>
      </c>
      <c r="F821" s="23">
        <v>0</v>
      </c>
      <c r="G821" s="23">
        <v>0</v>
      </c>
      <c r="H821" s="23">
        <v>0</v>
      </c>
      <c r="I821" s="23">
        <v>1</v>
      </c>
      <c r="J821" s="23">
        <v>55135.402090000003</v>
      </c>
      <c r="N821" s="23"/>
      <c r="O821" s="23"/>
      <c r="P821" s="23"/>
      <c r="Q821" s="23"/>
      <c r="R821" s="23"/>
      <c r="S821" s="23"/>
      <c r="T821" s="23"/>
      <c r="U821" s="23"/>
    </row>
    <row r="822" spans="1:21" x14ac:dyDescent="0.2">
      <c r="A822" s="23">
        <v>45</v>
      </c>
      <c r="B822" s="23">
        <v>1</v>
      </c>
      <c r="C822" s="23">
        <v>33.700000000000003</v>
      </c>
      <c r="D822" s="23">
        <v>1</v>
      </c>
      <c r="E822" s="23">
        <v>0</v>
      </c>
      <c r="F822" s="23">
        <v>0</v>
      </c>
      <c r="G822" s="23">
        <v>0</v>
      </c>
      <c r="H822" s="23">
        <v>1</v>
      </c>
      <c r="I822" s="23">
        <v>0</v>
      </c>
      <c r="J822" s="23">
        <v>7445.9179999999997</v>
      </c>
      <c r="N822" s="23"/>
      <c r="O822" s="23"/>
      <c r="P822" s="23"/>
      <c r="Q822" s="23"/>
      <c r="R822" s="23"/>
      <c r="S822" s="23"/>
      <c r="T822" s="23"/>
      <c r="U822" s="23"/>
    </row>
    <row r="823" spans="1:21" x14ac:dyDescent="0.2">
      <c r="A823" s="23">
        <v>26</v>
      </c>
      <c r="B823" s="23">
        <v>1</v>
      </c>
      <c r="C823" s="23">
        <v>17.670000000000002</v>
      </c>
      <c r="D823" s="23">
        <v>0</v>
      </c>
      <c r="E823" s="23">
        <v>0</v>
      </c>
      <c r="F823" s="23">
        <v>0</v>
      </c>
      <c r="G823" s="23">
        <v>0</v>
      </c>
      <c r="H823" s="23">
        <v>0</v>
      </c>
      <c r="I823" s="23">
        <v>1</v>
      </c>
      <c r="J823" s="23">
        <v>2680.9493000000002</v>
      </c>
      <c r="N823" s="23"/>
      <c r="O823" s="23"/>
      <c r="P823" s="23"/>
      <c r="Q823" s="23"/>
      <c r="R823" s="23"/>
      <c r="S823" s="23"/>
      <c r="T823" s="23"/>
      <c r="U823" s="23"/>
    </row>
    <row r="824" spans="1:21" x14ac:dyDescent="0.2">
      <c r="A824" s="23">
        <v>18</v>
      </c>
      <c r="B824" s="23">
        <v>0</v>
      </c>
      <c r="C824" s="23">
        <v>31.13</v>
      </c>
      <c r="D824" s="23">
        <v>0</v>
      </c>
      <c r="E824" s="23">
        <v>0</v>
      </c>
      <c r="F824" s="23">
        <v>0</v>
      </c>
      <c r="G824" s="23">
        <v>1</v>
      </c>
      <c r="H824" s="23">
        <v>0</v>
      </c>
      <c r="I824" s="23">
        <v>0</v>
      </c>
      <c r="J824" s="23">
        <v>1621.8827000000001</v>
      </c>
      <c r="N824" s="23"/>
      <c r="O824" s="23"/>
      <c r="P824" s="23"/>
      <c r="Q824" s="23"/>
      <c r="R824" s="23"/>
      <c r="S824" s="23"/>
      <c r="T824" s="23"/>
      <c r="U824" s="23"/>
    </row>
    <row r="825" spans="1:21" x14ac:dyDescent="0.2">
      <c r="A825" s="23">
        <v>44</v>
      </c>
      <c r="B825" s="23">
        <v>0</v>
      </c>
      <c r="C825" s="23">
        <v>29.81</v>
      </c>
      <c r="D825" s="23">
        <v>2</v>
      </c>
      <c r="E825" s="23">
        <v>0</v>
      </c>
      <c r="F825" s="23">
        <v>0</v>
      </c>
      <c r="G825" s="23">
        <v>1</v>
      </c>
      <c r="H825" s="23">
        <v>0</v>
      </c>
      <c r="I825" s="23">
        <v>0</v>
      </c>
      <c r="J825" s="23">
        <v>8219.2039000000004</v>
      </c>
      <c r="N825" s="23"/>
      <c r="O825" s="23"/>
      <c r="P825" s="23"/>
      <c r="Q825" s="23"/>
      <c r="R825" s="23"/>
      <c r="S825" s="23"/>
      <c r="T825" s="23"/>
      <c r="U825" s="23"/>
    </row>
    <row r="826" spans="1:21" x14ac:dyDescent="0.2">
      <c r="A826" s="23">
        <v>60</v>
      </c>
      <c r="B826" s="23">
        <v>1</v>
      </c>
      <c r="C826" s="23">
        <v>24.32</v>
      </c>
      <c r="D826" s="23">
        <v>0</v>
      </c>
      <c r="E826" s="23">
        <v>0</v>
      </c>
      <c r="F826" s="23">
        <v>0</v>
      </c>
      <c r="G826" s="23">
        <v>0</v>
      </c>
      <c r="H826" s="23">
        <v>0</v>
      </c>
      <c r="I826" s="23">
        <v>1</v>
      </c>
      <c r="J826" s="23">
        <v>12523.604799999999</v>
      </c>
      <c r="N826" s="23"/>
      <c r="O826" s="23"/>
      <c r="P826" s="23"/>
      <c r="Q826" s="23"/>
      <c r="R826" s="23"/>
      <c r="S826" s="23"/>
      <c r="T826" s="23"/>
      <c r="U826" s="23"/>
    </row>
    <row r="827" spans="1:21" x14ac:dyDescent="0.2">
      <c r="A827" s="23">
        <v>64</v>
      </c>
      <c r="B827" s="23">
        <v>0</v>
      </c>
      <c r="C827" s="23">
        <v>31.824999999999999</v>
      </c>
      <c r="D827" s="23">
        <v>2</v>
      </c>
      <c r="E827" s="23">
        <v>0</v>
      </c>
      <c r="F827" s="23">
        <v>1</v>
      </c>
      <c r="G827" s="23">
        <v>0</v>
      </c>
      <c r="H827" s="23">
        <v>0</v>
      </c>
      <c r="I827" s="23">
        <v>0</v>
      </c>
      <c r="J827" s="23">
        <v>16069.08475</v>
      </c>
      <c r="N827" s="23"/>
      <c r="O827" s="23"/>
      <c r="P827" s="23"/>
      <c r="Q827" s="23"/>
      <c r="R827" s="23"/>
      <c r="S827" s="23"/>
      <c r="T827" s="23"/>
      <c r="U827" s="23"/>
    </row>
    <row r="828" spans="1:21" x14ac:dyDescent="0.2">
      <c r="A828" s="23">
        <v>56</v>
      </c>
      <c r="B828" s="23">
        <v>1</v>
      </c>
      <c r="C828" s="23">
        <v>31.79</v>
      </c>
      <c r="D828" s="23">
        <v>2</v>
      </c>
      <c r="E828" s="23">
        <v>1</v>
      </c>
      <c r="F828" s="23">
        <v>0</v>
      </c>
      <c r="G828" s="23">
        <v>1</v>
      </c>
      <c r="H828" s="23">
        <v>0</v>
      </c>
      <c r="I828" s="23">
        <v>0</v>
      </c>
      <c r="J828" s="23">
        <v>43813.866099999999</v>
      </c>
      <c r="N828" s="23"/>
      <c r="O828" s="23"/>
      <c r="P828" s="23"/>
      <c r="Q828" s="23"/>
      <c r="R828" s="23"/>
      <c r="S828" s="23"/>
      <c r="T828" s="23"/>
      <c r="U828" s="23"/>
    </row>
    <row r="829" spans="1:21" x14ac:dyDescent="0.2">
      <c r="A829" s="23">
        <v>36</v>
      </c>
      <c r="B829" s="23">
        <v>1</v>
      </c>
      <c r="C829" s="23">
        <v>28.024999999999999</v>
      </c>
      <c r="D829" s="23">
        <v>1</v>
      </c>
      <c r="E829" s="23">
        <v>1</v>
      </c>
      <c r="F829" s="23">
        <v>1</v>
      </c>
      <c r="G829" s="23">
        <v>0</v>
      </c>
      <c r="H829" s="23">
        <v>0</v>
      </c>
      <c r="I829" s="23">
        <v>0</v>
      </c>
      <c r="J829" s="23">
        <v>20773.62775</v>
      </c>
      <c r="N829" s="23"/>
      <c r="O829" s="23"/>
      <c r="P829" s="23"/>
      <c r="Q829" s="23"/>
      <c r="R829" s="23"/>
      <c r="S829" s="23"/>
      <c r="T829" s="23"/>
      <c r="U829" s="23"/>
    </row>
    <row r="830" spans="1:21" x14ac:dyDescent="0.2">
      <c r="A830" s="23">
        <v>41</v>
      </c>
      <c r="B830" s="23">
        <v>1</v>
      </c>
      <c r="C830" s="23">
        <v>30.78</v>
      </c>
      <c r="D830" s="23">
        <v>3</v>
      </c>
      <c r="E830" s="23">
        <v>1</v>
      </c>
      <c r="F830" s="23">
        <v>1</v>
      </c>
      <c r="G830" s="23">
        <v>0</v>
      </c>
      <c r="H830" s="23">
        <v>0</v>
      </c>
      <c r="I830" s="23">
        <v>0</v>
      </c>
      <c r="J830" s="23">
        <v>39597.407200000001</v>
      </c>
      <c r="N830" s="23"/>
      <c r="O830" s="23"/>
      <c r="P830" s="23"/>
      <c r="Q830" s="23"/>
      <c r="R830" s="23"/>
      <c r="S830" s="23"/>
      <c r="T830" s="23"/>
      <c r="U830" s="23"/>
    </row>
    <row r="831" spans="1:21" x14ac:dyDescent="0.2">
      <c r="A831" s="23">
        <v>39</v>
      </c>
      <c r="B831" s="23">
        <v>1</v>
      </c>
      <c r="C831" s="23">
        <v>21.85</v>
      </c>
      <c r="D831" s="23">
        <v>1</v>
      </c>
      <c r="E831" s="23">
        <v>0</v>
      </c>
      <c r="F831" s="23">
        <v>0</v>
      </c>
      <c r="G831" s="23">
        <v>0</v>
      </c>
      <c r="H831" s="23">
        <v>0</v>
      </c>
      <c r="I831" s="23">
        <v>1</v>
      </c>
      <c r="J831" s="23">
        <v>6117.4944999999998</v>
      </c>
      <c r="N831" s="23"/>
      <c r="O831" s="23"/>
      <c r="P831" s="23"/>
      <c r="Q831" s="23"/>
      <c r="R831" s="23"/>
      <c r="S831" s="23"/>
      <c r="T831" s="23"/>
      <c r="U831" s="23"/>
    </row>
    <row r="832" spans="1:21" x14ac:dyDescent="0.2">
      <c r="A832" s="23">
        <v>63</v>
      </c>
      <c r="B832" s="23">
        <v>1</v>
      </c>
      <c r="C832" s="23">
        <v>33.1</v>
      </c>
      <c r="D832" s="23">
        <v>0</v>
      </c>
      <c r="E832" s="23">
        <v>0</v>
      </c>
      <c r="F832" s="23">
        <v>0</v>
      </c>
      <c r="G832" s="23">
        <v>0</v>
      </c>
      <c r="H832" s="23">
        <v>1</v>
      </c>
      <c r="I832" s="23">
        <v>0</v>
      </c>
      <c r="J832" s="23">
        <v>13393.755999999999</v>
      </c>
      <c r="N832" s="23"/>
      <c r="O832" s="23"/>
      <c r="P832" s="23"/>
      <c r="Q832" s="23"/>
      <c r="R832" s="23"/>
      <c r="S832" s="23"/>
      <c r="T832" s="23"/>
      <c r="U832" s="23"/>
    </row>
    <row r="833" spans="1:21" x14ac:dyDescent="0.2">
      <c r="A833" s="23">
        <v>36</v>
      </c>
      <c r="B833" s="23">
        <v>0</v>
      </c>
      <c r="C833" s="23">
        <v>25.84</v>
      </c>
      <c r="D833" s="23">
        <v>0</v>
      </c>
      <c r="E833" s="23">
        <v>0</v>
      </c>
      <c r="F833" s="23">
        <v>0</v>
      </c>
      <c r="G833" s="23">
        <v>0</v>
      </c>
      <c r="H833" s="23">
        <v>0</v>
      </c>
      <c r="I833" s="23">
        <v>1</v>
      </c>
      <c r="J833" s="23">
        <v>5266.3656000000001</v>
      </c>
      <c r="N833" s="23"/>
      <c r="O833" s="23"/>
      <c r="P833" s="23"/>
      <c r="Q833" s="23"/>
      <c r="R833" s="23"/>
      <c r="S833" s="23"/>
      <c r="T833" s="23"/>
      <c r="U833" s="23"/>
    </row>
    <row r="834" spans="1:21" x14ac:dyDescent="0.2">
      <c r="A834" s="23">
        <v>28</v>
      </c>
      <c r="B834" s="23">
        <v>0</v>
      </c>
      <c r="C834" s="23">
        <v>23.844999999999999</v>
      </c>
      <c r="D834" s="23">
        <v>2</v>
      </c>
      <c r="E834" s="23">
        <v>0</v>
      </c>
      <c r="F834" s="23">
        <v>0</v>
      </c>
      <c r="G834" s="23">
        <v>0</v>
      </c>
      <c r="H834" s="23">
        <v>0</v>
      </c>
      <c r="I834" s="23">
        <v>1</v>
      </c>
      <c r="J834" s="23">
        <v>4719.7365499999996</v>
      </c>
      <c r="N834" s="23"/>
      <c r="O834" s="23"/>
      <c r="P834" s="23"/>
      <c r="Q834" s="23"/>
      <c r="R834" s="23"/>
      <c r="S834" s="23"/>
      <c r="T834" s="23"/>
      <c r="U834" s="23"/>
    </row>
    <row r="835" spans="1:21" x14ac:dyDescent="0.2">
      <c r="A835" s="23">
        <v>58</v>
      </c>
      <c r="B835" s="23">
        <v>1</v>
      </c>
      <c r="C835" s="23">
        <v>34.39</v>
      </c>
      <c r="D835" s="23">
        <v>0</v>
      </c>
      <c r="E835" s="23">
        <v>0</v>
      </c>
      <c r="F835" s="23">
        <v>0</v>
      </c>
      <c r="G835" s="23">
        <v>0</v>
      </c>
      <c r="H835" s="23">
        <v>0</v>
      </c>
      <c r="I835" s="23">
        <v>1</v>
      </c>
      <c r="J835" s="23">
        <v>11743.9341</v>
      </c>
      <c r="N835" s="23"/>
      <c r="O835" s="23"/>
      <c r="P835" s="23"/>
      <c r="Q835" s="23"/>
      <c r="R835" s="23"/>
      <c r="S835" s="23"/>
      <c r="T835" s="23"/>
      <c r="U835" s="23"/>
    </row>
    <row r="836" spans="1:21" x14ac:dyDescent="0.2">
      <c r="A836" s="23">
        <v>36</v>
      </c>
      <c r="B836" s="23">
        <v>1</v>
      </c>
      <c r="C836" s="23">
        <v>33.82</v>
      </c>
      <c r="D836" s="23">
        <v>1</v>
      </c>
      <c r="E836" s="23">
        <v>0</v>
      </c>
      <c r="F836" s="23">
        <v>0</v>
      </c>
      <c r="G836" s="23">
        <v>0</v>
      </c>
      <c r="H836" s="23">
        <v>0</v>
      </c>
      <c r="I836" s="23">
        <v>1</v>
      </c>
      <c r="J836" s="23">
        <v>5377.4578000000001</v>
      </c>
      <c r="N836" s="23"/>
      <c r="O836" s="23"/>
      <c r="P836" s="23"/>
      <c r="Q836" s="23"/>
      <c r="R836" s="23"/>
      <c r="S836" s="23"/>
      <c r="T836" s="23"/>
      <c r="U836" s="23"/>
    </row>
    <row r="837" spans="1:21" x14ac:dyDescent="0.2">
      <c r="A837" s="23">
        <v>42</v>
      </c>
      <c r="B837" s="23">
        <v>1</v>
      </c>
      <c r="C837" s="23">
        <v>35.97</v>
      </c>
      <c r="D837" s="23">
        <v>2</v>
      </c>
      <c r="E837" s="23">
        <v>0</v>
      </c>
      <c r="F837" s="23">
        <v>0</v>
      </c>
      <c r="G837" s="23">
        <v>1</v>
      </c>
      <c r="H837" s="23">
        <v>0</v>
      </c>
      <c r="I837" s="23">
        <v>0</v>
      </c>
      <c r="J837" s="23">
        <v>7160.3302999999996</v>
      </c>
      <c r="N837" s="23"/>
      <c r="O837" s="23"/>
      <c r="P837" s="23"/>
      <c r="Q837" s="23"/>
      <c r="R837" s="23"/>
      <c r="S837" s="23"/>
      <c r="T837" s="23"/>
      <c r="U837" s="23"/>
    </row>
    <row r="838" spans="1:21" x14ac:dyDescent="0.2">
      <c r="A838" s="23">
        <v>36</v>
      </c>
      <c r="B838" s="23">
        <v>1</v>
      </c>
      <c r="C838" s="23">
        <v>31.5</v>
      </c>
      <c r="D838" s="23">
        <v>0</v>
      </c>
      <c r="E838" s="23">
        <v>0</v>
      </c>
      <c r="F838" s="23">
        <v>0</v>
      </c>
      <c r="G838" s="23">
        <v>0</v>
      </c>
      <c r="H838" s="23">
        <v>1</v>
      </c>
      <c r="I838" s="23">
        <v>0</v>
      </c>
      <c r="J838" s="23">
        <v>4402.2330000000002</v>
      </c>
      <c r="N838" s="23"/>
      <c r="O838" s="23"/>
      <c r="P838" s="23"/>
      <c r="Q838" s="23"/>
      <c r="R838" s="23"/>
      <c r="S838" s="23"/>
      <c r="T838" s="23"/>
      <c r="U838" s="23"/>
    </row>
    <row r="839" spans="1:21" x14ac:dyDescent="0.2">
      <c r="A839" s="23">
        <v>56</v>
      </c>
      <c r="B839" s="23">
        <v>0</v>
      </c>
      <c r="C839" s="23">
        <v>28.31</v>
      </c>
      <c r="D839" s="23">
        <v>0</v>
      </c>
      <c r="E839" s="23">
        <v>0</v>
      </c>
      <c r="F839" s="23">
        <v>1</v>
      </c>
      <c r="G839" s="23">
        <v>0</v>
      </c>
      <c r="H839" s="23">
        <v>0</v>
      </c>
      <c r="I839" s="23">
        <v>0</v>
      </c>
      <c r="J839" s="23">
        <v>11657.7189</v>
      </c>
      <c r="N839" s="23"/>
      <c r="O839" s="23"/>
      <c r="P839" s="23"/>
      <c r="Q839" s="23"/>
      <c r="R839" s="23"/>
      <c r="S839" s="23"/>
      <c r="T839" s="23"/>
      <c r="U839" s="23"/>
    </row>
    <row r="840" spans="1:21" x14ac:dyDescent="0.2">
      <c r="A840" s="23">
        <v>35</v>
      </c>
      <c r="B840" s="23">
        <v>0</v>
      </c>
      <c r="C840" s="23">
        <v>23.465</v>
      </c>
      <c r="D840" s="23">
        <v>2</v>
      </c>
      <c r="E840" s="23">
        <v>0</v>
      </c>
      <c r="F840" s="23">
        <v>1</v>
      </c>
      <c r="G840" s="23">
        <v>0</v>
      </c>
      <c r="H840" s="23">
        <v>0</v>
      </c>
      <c r="I840" s="23">
        <v>0</v>
      </c>
      <c r="J840" s="23">
        <v>6402.2913500000004</v>
      </c>
      <c r="N840" s="23"/>
      <c r="O840" s="23"/>
      <c r="P840" s="23"/>
      <c r="Q840" s="23"/>
      <c r="R840" s="23"/>
      <c r="S840" s="23"/>
      <c r="T840" s="23"/>
      <c r="U840" s="23"/>
    </row>
    <row r="841" spans="1:21" x14ac:dyDescent="0.2">
      <c r="A841" s="23">
        <v>59</v>
      </c>
      <c r="B841" s="23">
        <v>0</v>
      </c>
      <c r="C841" s="23">
        <v>31.35</v>
      </c>
      <c r="D841" s="23">
        <v>0</v>
      </c>
      <c r="E841" s="23">
        <v>0</v>
      </c>
      <c r="F841" s="23">
        <v>0</v>
      </c>
      <c r="G841" s="23">
        <v>0</v>
      </c>
      <c r="H841" s="23">
        <v>0</v>
      </c>
      <c r="I841" s="23">
        <v>1</v>
      </c>
      <c r="J841" s="23">
        <v>12622.1795</v>
      </c>
      <c r="N841" s="23"/>
      <c r="O841" s="23"/>
      <c r="P841" s="23"/>
      <c r="Q841" s="23"/>
      <c r="R841" s="23"/>
      <c r="S841" s="23"/>
      <c r="T841" s="23"/>
      <c r="U841" s="23"/>
    </row>
    <row r="842" spans="1:21" x14ac:dyDescent="0.2">
      <c r="A842" s="23">
        <v>21</v>
      </c>
      <c r="B842" s="23">
        <v>1</v>
      </c>
      <c r="C842" s="23">
        <v>31.1</v>
      </c>
      <c r="D842" s="23">
        <v>0</v>
      </c>
      <c r="E842" s="23">
        <v>0</v>
      </c>
      <c r="F842" s="23">
        <v>0</v>
      </c>
      <c r="G842" s="23">
        <v>0</v>
      </c>
      <c r="H842" s="23">
        <v>1</v>
      </c>
      <c r="I842" s="23">
        <v>0</v>
      </c>
      <c r="J842" s="23">
        <v>1526.3119999999999</v>
      </c>
      <c r="N842" s="23"/>
      <c r="O842" s="23"/>
      <c r="P842" s="23"/>
      <c r="Q842" s="23"/>
      <c r="R842" s="23"/>
      <c r="S842" s="23"/>
      <c r="T842" s="23"/>
      <c r="U842" s="23"/>
    </row>
    <row r="843" spans="1:21" x14ac:dyDescent="0.2">
      <c r="A843" s="23">
        <v>59</v>
      </c>
      <c r="B843" s="23">
        <v>1</v>
      </c>
      <c r="C843" s="23">
        <v>24.7</v>
      </c>
      <c r="D843" s="23">
        <v>0</v>
      </c>
      <c r="E843" s="23">
        <v>0</v>
      </c>
      <c r="F843" s="23">
        <v>1</v>
      </c>
      <c r="G843" s="23">
        <v>0</v>
      </c>
      <c r="H843" s="23">
        <v>0</v>
      </c>
      <c r="I843" s="23">
        <v>0</v>
      </c>
      <c r="J843" s="23">
        <v>12323.936</v>
      </c>
      <c r="N843" s="23"/>
      <c r="O843" s="23"/>
      <c r="P843" s="23"/>
      <c r="Q843" s="23"/>
      <c r="R843" s="23"/>
      <c r="S843" s="23"/>
      <c r="T843" s="23"/>
      <c r="U843" s="23"/>
    </row>
    <row r="844" spans="1:21" x14ac:dyDescent="0.2">
      <c r="A844" s="23">
        <v>23</v>
      </c>
      <c r="B844" s="23">
        <v>0</v>
      </c>
      <c r="C844" s="23">
        <v>32.78</v>
      </c>
      <c r="D844" s="23">
        <v>2</v>
      </c>
      <c r="E844" s="23">
        <v>1</v>
      </c>
      <c r="F844" s="23">
        <v>0</v>
      </c>
      <c r="G844" s="23">
        <v>1</v>
      </c>
      <c r="H844" s="23">
        <v>0</v>
      </c>
      <c r="I844" s="23">
        <v>0</v>
      </c>
      <c r="J844" s="23">
        <v>36021.011200000001</v>
      </c>
      <c r="N844" s="23"/>
      <c r="O844" s="23"/>
      <c r="P844" s="23"/>
      <c r="Q844" s="23"/>
      <c r="R844" s="23"/>
      <c r="S844" s="23"/>
      <c r="T844" s="23"/>
      <c r="U844" s="23"/>
    </row>
    <row r="845" spans="1:21" x14ac:dyDescent="0.2">
      <c r="A845" s="23">
        <v>57</v>
      </c>
      <c r="B845" s="23">
        <v>0</v>
      </c>
      <c r="C845" s="23">
        <v>29.81</v>
      </c>
      <c r="D845" s="23">
        <v>0</v>
      </c>
      <c r="E845" s="23">
        <v>1</v>
      </c>
      <c r="F845" s="23">
        <v>0</v>
      </c>
      <c r="G845" s="23">
        <v>1</v>
      </c>
      <c r="H845" s="23">
        <v>0</v>
      </c>
      <c r="I845" s="23">
        <v>0</v>
      </c>
      <c r="J845" s="23">
        <v>27533.912899999999</v>
      </c>
      <c r="N845" s="23"/>
      <c r="O845" s="23"/>
      <c r="P845" s="23"/>
      <c r="Q845" s="23"/>
      <c r="R845" s="23"/>
      <c r="S845" s="23"/>
      <c r="T845" s="23"/>
      <c r="U845" s="23"/>
    </row>
    <row r="846" spans="1:21" x14ac:dyDescent="0.2">
      <c r="A846" s="23">
        <v>53</v>
      </c>
      <c r="B846" s="23">
        <v>1</v>
      </c>
      <c r="C846" s="23">
        <v>30.495000000000001</v>
      </c>
      <c r="D846" s="23">
        <v>0</v>
      </c>
      <c r="E846" s="23">
        <v>0</v>
      </c>
      <c r="F846" s="23">
        <v>1</v>
      </c>
      <c r="G846" s="23">
        <v>0</v>
      </c>
      <c r="H846" s="23">
        <v>0</v>
      </c>
      <c r="I846" s="23">
        <v>0</v>
      </c>
      <c r="J846" s="23">
        <v>10072.055050000001</v>
      </c>
      <c r="N846" s="23"/>
      <c r="O846" s="23"/>
      <c r="P846" s="23"/>
      <c r="Q846" s="23"/>
      <c r="R846" s="23"/>
      <c r="S846" s="23"/>
      <c r="T846" s="23"/>
      <c r="U846" s="23"/>
    </row>
    <row r="847" spans="1:21" x14ac:dyDescent="0.2">
      <c r="A847" s="23">
        <v>60</v>
      </c>
      <c r="B847" s="23">
        <v>0</v>
      </c>
      <c r="C847" s="23">
        <v>32.450000000000003</v>
      </c>
      <c r="D847" s="23">
        <v>0</v>
      </c>
      <c r="E847" s="23">
        <v>1</v>
      </c>
      <c r="F847" s="23">
        <v>0</v>
      </c>
      <c r="G847" s="23">
        <v>1</v>
      </c>
      <c r="H847" s="23">
        <v>0</v>
      </c>
      <c r="I847" s="23">
        <v>0</v>
      </c>
      <c r="J847" s="23">
        <v>45008.955499999996</v>
      </c>
      <c r="N847" s="23"/>
      <c r="O847" s="23"/>
      <c r="P847" s="23"/>
      <c r="Q847" s="23"/>
      <c r="R847" s="23"/>
      <c r="S847" s="23"/>
      <c r="T847" s="23"/>
      <c r="U847" s="23"/>
    </row>
    <row r="848" spans="1:21" x14ac:dyDescent="0.2">
      <c r="A848" s="23">
        <v>51</v>
      </c>
      <c r="B848" s="23">
        <v>0</v>
      </c>
      <c r="C848" s="23">
        <v>34.200000000000003</v>
      </c>
      <c r="D848" s="23">
        <v>1</v>
      </c>
      <c r="E848" s="23">
        <v>0</v>
      </c>
      <c r="F848" s="23">
        <v>0</v>
      </c>
      <c r="G848" s="23">
        <v>0</v>
      </c>
      <c r="H848" s="23">
        <v>1</v>
      </c>
      <c r="I848" s="23">
        <v>0</v>
      </c>
      <c r="J848" s="23">
        <v>9872.7009999999991</v>
      </c>
      <c r="N848" s="23"/>
      <c r="O848" s="23"/>
      <c r="P848" s="23"/>
      <c r="Q848" s="23"/>
      <c r="R848" s="23"/>
      <c r="S848" s="23"/>
      <c r="T848" s="23"/>
      <c r="U848" s="23"/>
    </row>
    <row r="849" spans="1:21" x14ac:dyDescent="0.2">
      <c r="A849" s="23">
        <v>23</v>
      </c>
      <c r="B849" s="23">
        <v>1</v>
      </c>
      <c r="C849" s="23">
        <v>50.38</v>
      </c>
      <c r="D849" s="23">
        <v>1</v>
      </c>
      <c r="E849" s="23">
        <v>0</v>
      </c>
      <c r="F849" s="23">
        <v>0</v>
      </c>
      <c r="G849" s="23">
        <v>1</v>
      </c>
      <c r="H849" s="23">
        <v>0</v>
      </c>
      <c r="I849" s="23">
        <v>0</v>
      </c>
      <c r="J849" s="23">
        <v>2438.0551999999998</v>
      </c>
      <c r="N849" s="23"/>
      <c r="O849" s="23"/>
      <c r="P849" s="23"/>
      <c r="Q849" s="23"/>
      <c r="R849" s="23"/>
      <c r="S849" s="23"/>
      <c r="T849" s="23"/>
      <c r="U849" s="23"/>
    </row>
    <row r="850" spans="1:21" x14ac:dyDescent="0.2">
      <c r="A850" s="23">
        <v>27</v>
      </c>
      <c r="B850" s="23">
        <v>0</v>
      </c>
      <c r="C850" s="23">
        <v>24.1</v>
      </c>
      <c r="D850" s="23">
        <v>0</v>
      </c>
      <c r="E850" s="23">
        <v>0</v>
      </c>
      <c r="F850" s="23">
        <v>0</v>
      </c>
      <c r="G850" s="23">
        <v>0</v>
      </c>
      <c r="H850" s="23">
        <v>1</v>
      </c>
      <c r="I850" s="23">
        <v>0</v>
      </c>
      <c r="J850" s="23">
        <v>2974.1260000000002</v>
      </c>
      <c r="N850" s="23"/>
      <c r="O850" s="23"/>
      <c r="P850" s="23"/>
      <c r="Q850" s="23"/>
      <c r="R850" s="23"/>
      <c r="S850" s="23"/>
      <c r="T850" s="23"/>
      <c r="U850" s="23"/>
    </row>
    <row r="851" spans="1:21" x14ac:dyDescent="0.2">
      <c r="A851" s="23">
        <v>55</v>
      </c>
      <c r="B851" s="23">
        <v>1</v>
      </c>
      <c r="C851" s="23">
        <v>32.774999999999999</v>
      </c>
      <c r="D851" s="23">
        <v>0</v>
      </c>
      <c r="E851" s="23">
        <v>0</v>
      </c>
      <c r="F851" s="23">
        <v>0</v>
      </c>
      <c r="G851" s="23">
        <v>0</v>
      </c>
      <c r="H851" s="23">
        <v>0</v>
      </c>
      <c r="I851" s="23">
        <v>1</v>
      </c>
      <c r="J851" s="23">
        <v>10601.632250000001</v>
      </c>
      <c r="N851" s="23"/>
      <c r="O851" s="23"/>
      <c r="P851" s="23"/>
      <c r="Q851" s="23"/>
      <c r="R851" s="23"/>
      <c r="S851" s="23"/>
      <c r="T851" s="23"/>
      <c r="U851" s="23"/>
    </row>
    <row r="852" spans="1:21" x14ac:dyDescent="0.2">
      <c r="A852" s="23">
        <v>37</v>
      </c>
      <c r="B852" s="23">
        <v>0</v>
      </c>
      <c r="C852" s="23">
        <v>30.78</v>
      </c>
      <c r="D852" s="23">
        <v>0</v>
      </c>
      <c r="E852" s="23">
        <v>1</v>
      </c>
      <c r="F852" s="23">
        <v>1</v>
      </c>
      <c r="G852" s="23">
        <v>0</v>
      </c>
      <c r="H852" s="23">
        <v>0</v>
      </c>
      <c r="I852" s="23">
        <v>0</v>
      </c>
      <c r="J852" s="23">
        <v>37270.1512</v>
      </c>
      <c r="N852" s="23"/>
      <c r="O852" s="23"/>
      <c r="P852" s="23"/>
      <c r="Q852" s="23"/>
      <c r="R852" s="23"/>
      <c r="S852" s="23"/>
      <c r="T852" s="23"/>
      <c r="U852" s="23"/>
    </row>
    <row r="853" spans="1:21" x14ac:dyDescent="0.2">
      <c r="A853" s="23">
        <v>61</v>
      </c>
      <c r="B853" s="23">
        <v>1</v>
      </c>
      <c r="C853" s="23">
        <v>32.299999999999997</v>
      </c>
      <c r="D853" s="23">
        <v>2</v>
      </c>
      <c r="E853" s="23">
        <v>0</v>
      </c>
      <c r="F853" s="23">
        <v>0</v>
      </c>
      <c r="G853" s="23">
        <v>0</v>
      </c>
      <c r="H853" s="23">
        <v>0</v>
      </c>
      <c r="I853" s="23">
        <v>1</v>
      </c>
      <c r="J853" s="23">
        <v>14119.62</v>
      </c>
      <c r="N853" s="23"/>
      <c r="O853" s="23"/>
      <c r="P853" s="23"/>
      <c r="Q853" s="23"/>
      <c r="R853" s="23"/>
      <c r="S853" s="23"/>
      <c r="T853" s="23"/>
      <c r="U853" s="23"/>
    </row>
    <row r="854" spans="1:21" x14ac:dyDescent="0.2">
      <c r="A854" s="23">
        <v>46</v>
      </c>
      <c r="B854" s="23">
        <v>0</v>
      </c>
      <c r="C854" s="23">
        <v>35.53</v>
      </c>
      <c r="D854" s="23">
        <v>0</v>
      </c>
      <c r="E854" s="23">
        <v>1</v>
      </c>
      <c r="F854" s="23">
        <v>1</v>
      </c>
      <c r="G854" s="23">
        <v>0</v>
      </c>
      <c r="H854" s="23">
        <v>0</v>
      </c>
      <c r="I854" s="23">
        <v>0</v>
      </c>
      <c r="J854" s="23">
        <v>42111.664700000001</v>
      </c>
      <c r="N854" s="23"/>
      <c r="O854" s="23"/>
      <c r="P854" s="23"/>
      <c r="Q854" s="23"/>
      <c r="R854" s="23"/>
      <c r="S854" s="23"/>
      <c r="T854" s="23"/>
      <c r="U854" s="23"/>
    </row>
    <row r="855" spans="1:21" x14ac:dyDescent="0.2">
      <c r="A855" s="23">
        <v>53</v>
      </c>
      <c r="B855" s="23">
        <v>0</v>
      </c>
      <c r="C855" s="23">
        <v>23.75</v>
      </c>
      <c r="D855" s="23">
        <v>2</v>
      </c>
      <c r="E855" s="23">
        <v>0</v>
      </c>
      <c r="F855" s="23">
        <v>1</v>
      </c>
      <c r="G855" s="23">
        <v>0</v>
      </c>
      <c r="H855" s="23">
        <v>0</v>
      </c>
      <c r="I855" s="23">
        <v>0</v>
      </c>
      <c r="J855" s="23">
        <v>11729.6795</v>
      </c>
      <c r="N855" s="23"/>
      <c r="O855" s="23"/>
      <c r="P855" s="23"/>
      <c r="Q855" s="23"/>
      <c r="R855" s="23"/>
      <c r="S855" s="23"/>
      <c r="T855" s="23"/>
      <c r="U855" s="23"/>
    </row>
    <row r="856" spans="1:21" x14ac:dyDescent="0.2">
      <c r="A856" s="23">
        <v>49</v>
      </c>
      <c r="B856" s="23">
        <v>0</v>
      </c>
      <c r="C856" s="23">
        <v>23.844999999999999</v>
      </c>
      <c r="D856" s="23">
        <v>3</v>
      </c>
      <c r="E856" s="23">
        <v>1</v>
      </c>
      <c r="F856" s="23">
        <v>1</v>
      </c>
      <c r="G856" s="23">
        <v>0</v>
      </c>
      <c r="H856" s="23">
        <v>0</v>
      </c>
      <c r="I856" s="23">
        <v>0</v>
      </c>
      <c r="J856" s="23">
        <v>24106.912550000001</v>
      </c>
      <c r="N856" s="23"/>
      <c r="O856" s="23"/>
      <c r="P856" s="23"/>
      <c r="Q856" s="23"/>
      <c r="R856" s="23"/>
      <c r="S856" s="23"/>
      <c r="T856" s="23"/>
      <c r="U856" s="23"/>
    </row>
    <row r="857" spans="1:21" x14ac:dyDescent="0.2">
      <c r="A857" s="23">
        <v>20</v>
      </c>
      <c r="B857" s="23">
        <v>0</v>
      </c>
      <c r="C857" s="23">
        <v>29.6</v>
      </c>
      <c r="D857" s="23">
        <v>0</v>
      </c>
      <c r="E857" s="23">
        <v>0</v>
      </c>
      <c r="F857" s="23">
        <v>0</v>
      </c>
      <c r="G857" s="23">
        <v>0</v>
      </c>
      <c r="H857" s="23">
        <v>1</v>
      </c>
      <c r="I857" s="23">
        <v>0</v>
      </c>
      <c r="J857" s="23">
        <v>1875.3440000000001</v>
      </c>
      <c r="N857" s="23"/>
      <c r="O857" s="23"/>
      <c r="P857" s="23"/>
      <c r="Q857" s="23"/>
      <c r="R857" s="23"/>
      <c r="S857" s="23"/>
      <c r="T857" s="23"/>
      <c r="U857" s="23"/>
    </row>
    <row r="858" spans="1:21" x14ac:dyDescent="0.2">
      <c r="A858" s="23">
        <v>48</v>
      </c>
      <c r="B858" s="23">
        <v>0</v>
      </c>
      <c r="C858" s="23">
        <v>33.11</v>
      </c>
      <c r="D858" s="23">
        <v>0</v>
      </c>
      <c r="E858" s="23">
        <v>1</v>
      </c>
      <c r="F858" s="23">
        <v>0</v>
      </c>
      <c r="G858" s="23">
        <v>1</v>
      </c>
      <c r="H858" s="23">
        <v>0</v>
      </c>
      <c r="I858" s="23">
        <v>0</v>
      </c>
      <c r="J858" s="23">
        <v>40974.164900000003</v>
      </c>
      <c r="N858" s="23"/>
      <c r="O858" s="23"/>
      <c r="P858" s="23"/>
      <c r="Q858" s="23"/>
      <c r="R858" s="23"/>
      <c r="S858" s="23"/>
      <c r="T858" s="23"/>
      <c r="U858" s="23"/>
    </row>
    <row r="859" spans="1:21" x14ac:dyDescent="0.2">
      <c r="A859" s="23">
        <v>25</v>
      </c>
      <c r="B859" s="23">
        <v>1</v>
      </c>
      <c r="C859" s="23">
        <v>24.13</v>
      </c>
      <c r="D859" s="23">
        <v>0</v>
      </c>
      <c r="E859" s="23">
        <v>1</v>
      </c>
      <c r="F859" s="23">
        <v>0</v>
      </c>
      <c r="G859" s="23">
        <v>0</v>
      </c>
      <c r="H859" s="23">
        <v>0</v>
      </c>
      <c r="I859" s="23">
        <v>1</v>
      </c>
      <c r="J859" s="23">
        <v>15817.985699999999</v>
      </c>
      <c r="N859" s="23"/>
      <c r="O859" s="23"/>
      <c r="P859" s="23"/>
      <c r="Q859" s="23"/>
      <c r="R859" s="23"/>
      <c r="S859" s="23"/>
      <c r="T859" s="23"/>
      <c r="U859" s="23"/>
    </row>
    <row r="860" spans="1:21" x14ac:dyDescent="0.2">
      <c r="A860" s="23">
        <v>25</v>
      </c>
      <c r="B860" s="23">
        <v>0</v>
      </c>
      <c r="C860" s="23">
        <v>32.229999999999997</v>
      </c>
      <c r="D860" s="23">
        <v>1</v>
      </c>
      <c r="E860" s="23">
        <v>0</v>
      </c>
      <c r="F860" s="23">
        <v>0</v>
      </c>
      <c r="G860" s="23">
        <v>1</v>
      </c>
      <c r="H860" s="23">
        <v>0</v>
      </c>
      <c r="I860" s="23">
        <v>0</v>
      </c>
      <c r="J860" s="23">
        <v>18218.161390000001</v>
      </c>
      <c r="N860" s="23"/>
      <c r="O860" s="23"/>
      <c r="P860" s="23"/>
      <c r="Q860" s="23"/>
      <c r="R860" s="23"/>
      <c r="S860" s="23"/>
      <c r="T860" s="23"/>
      <c r="U860" s="23"/>
    </row>
    <row r="861" spans="1:21" x14ac:dyDescent="0.2">
      <c r="A861" s="23">
        <v>57</v>
      </c>
      <c r="B861" s="23">
        <v>1</v>
      </c>
      <c r="C861" s="23">
        <v>28.1</v>
      </c>
      <c r="D861" s="23">
        <v>0</v>
      </c>
      <c r="E861" s="23">
        <v>0</v>
      </c>
      <c r="F861" s="23">
        <v>0</v>
      </c>
      <c r="G861" s="23">
        <v>0</v>
      </c>
      <c r="H861" s="23">
        <v>1</v>
      </c>
      <c r="I861" s="23">
        <v>0</v>
      </c>
      <c r="J861" s="23">
        <v>10965.446</v>
      </c>
      <c r="N861" s="23"/>
      <c r="O861" s="23"/>
      <c r="P861" s="23"/>
      <c r="Q861" s="23"/>
      <c r="R861" s="23"/>
      <c r="S861" s="23"/>
      <c r="T861" s="23"/>
      <c r="U861" s="23"/>
    </row>
    <row r="862" spans="1:21" x14ac:dyDescent="0.2">
      <c r="A862" s="23">
        <v>37</v>
      </c>
      <c r="B862" s="23">
        <v>0</v>
      </c>
      <c r="C862" s="23">
        <v>47.6</v>
      </c>
      <c r="D862" s="23">
        <v>2</v>
      </c>
      <c r="E862" s="23">
        <v>1</v>
      </c>
      <c r="F862" s="23">
        <v>0</v>
      </c>
      <c r="G862" s="23">
        <v>0</v>
      </c>
      <c r="H862" s="23">
        <v>1</v>
      </c>
      <c r="I862" s="23">
        <v>0</v>
      </c>
      <c r="J862" s="23">
        <v>46113.510999999999</v>
      </c>
      <c r="N862" s="23"/>
      <c r="O862" s="23"/>
      <c r="P862" s="23"/>
      <c r="Q862" s="23"/>
      <c r="R862" s="23"/>
      <c r="S862" s="23"/>
      <c r="T862" s="23"/>
      <c r="U862" s="23"/>
    </row>
    <row r="863" spans="1:21" x14ac:dyDescent="0.2">
      <c r="A863" s="23">
        <v>38</v>
      </c>
      <c r="B863" s="23">
        <v>0</v>
      </c>
      <c r="C863" s="23">
        <v>28</v>
      </c>
      <c r="D863" s="23">
        <v>3</v>
      </c>
      <c r="E863" s="23">
        <v>0</v>
      </c>
      <c r="F863" s="23">
        <v>0</v>
      </c>
      <c r="G863" s="23">
        <v>0</v>
      </c>
      <c r="H863" s="23">
        <v>1</v>
      </c>
      <c r="I863" s="23">
        <v>0</v>
      </c>
      <c r="J863" s="23">
        <v>7151.0919999999996</v>
      </c>
      <c r="N863" s="23"/>
      <c r="O863" s="23"/>
      <c r="P863" s="23"/>
      <c r="Q863" s="23"/>
      <c r="R863" s="23"/>
      <c r="S863" s="23"/>
      <c r="T863" s="23"/>
      <c r="U863" s="23"/>
    </row>
    <row r="864" spans="1:21" x14ac:dyDescent="0.2">
      <c r="A864" s="23">
        <v>55</v>
      </c>
      <c r="B864" s="23">
        <v>0</v>
      </c>
      <c r="C864" s="23">
        <v>33.534999999999997</v>
      </c>
      <c r="D864" s="23">
        <v>2</v>
      </c>
      <c r="E864" s="23">
        <v>0</v>
      </c>
      <c r="F864" s="23">
        <v>0</v>
      </c>
      <c r="G864" s="23">
        <v>0</v>
      </c>
      <c r="H864" s="23">
        <v>0</v>
      </c>
      <c r="I864" s="23">
        <v>1</v>
      </c>
      <c r="J864" s="23">
        <v>12269.68865</v>
      </c>
      <c r="N864" s="23"/>
      <c r="O864" s="23"/>
      <c r="P864" s="23"/>
      <c r="Q864" s="23"/>
      <c r="R864" s="23"/>
      <c r="S864" s="23"/>
      <c r="T864" s="23"/>
      <c r="U864" s="23"/>
    </row>
    <row r="865" spans="1:21" x14ac:dyDescent="0.2">
      <c r="A865" s="23">
        <v>36</v>
      </c>
      <c r="B865" s="23">
        <v>0</v>
      </c>
      <c r="C865" s="23">
        <v>19.855</v>
      </c>
      <c r="D865" s="23">
        <v>0</v>
      </c>
      <c r="E865" s="23">
        <v>0</v>
      </c>
      <c r="F865" s="23">
        <v>1</v>
      </c>
      <c r="G865" s="23">
        <v>0</v>
      </c>
      <c r="H865" s="23">
        <v>0</v>
      </c>
      <c r="I865" s="23">
        <v>0</v>
      </c>
      <c r="J865" s="23">
        <v>5458.0464499999998</v>
      </c>
      <c r="N865" s="23"/>
      <c r="O865" s="23"/>
      <c r="P865" s="23"/>
      <c r="Q865" s="23"/>
      <c r="R865" s="23"/>
      <c r="S865" s="23"/>
      <c r="T865" s="23"/>
      <c r="U865" s="23"/>
    </row>
    <row r="866" spans="1:21" x14ac:dyDescent="0.2">
      <c r="A866" s="23">
        <v>51</v>
      </c>
      <c r="B866" s="23">
        <v>1</v>
      </c>
      <c r="C866" s="23">
        <v>25.4</v>
      </c>
      <c r="D866" s="23">
        <v>0</v>
      </c>
      <c r="E866" s="23">
        <v>0</v>
      </c>
      <c r="F866" s="23">
        <v>0</v>
      </c>
      <c r="G866" s="23">
        <v>0</v>
      </c>
      <c r="H866" s="23">
        <v>1</v>
      </c>
      <c r="I866" s="23">
        <v>0</v>
      </c>
      <c r="J866" s="23">
        <v>8782.4689999999991</v>
      </c>
      <c r="N866" s="23"/>
      <c r="O866" s="23"/>
      <c r="P866" s="23"/>
      <c r="Q866" s="23"/>
      <c r="R866" s="23"/>
      <c r="S866" s="23"/>
      <c r="T866" s="23"/>
      <c r="U866" s="23"/>
    </row>
    <row r="867" spans="1:21" x14ac:dyDescent="0.2">
      <c r="A867" s="23">
        <v>40</v>
      </c>
      <c r="B867" s="23">
        <v>1</v>
      </c>
      <c r="C867" s="23">
        <v>29.9</v>
      </c>
      <c r="D867" s="23">
        <v>2</v>
      </c>
      <c r="E867" s="23">
        <v>0</v>
      </c>
      <c r="F867" s="23">
        <v>0</v>
      </c>
      <c r="G867" s="23">
        <v>0</v>
      </c>
      <c r="H867" s="23">
        <v>1</v>
      </c>
      <c r="I867" s="23">
        <v>0</v>
      </c>
      <c r="J867" s="23">
        <v>6600.3609999999999</v>
      </c>
      <c r="N867" s="23"/>
      <c r="O867" s="23"/>
      <c r="P867" s="23"/>
      <c r="Q867" s="23"/>
      <c r="R867" s="23"/>
      <c r="S867" s="23"/>
      <c r="T867" s="23"/>
      <c r="U867" s="23"/>
    </row>
    <row r="868" spans="1:21" x14ac:dyDescent="0.2">
      <c r="A868" s="23">
        <v>18</v>
      </c>
      <c r="B868" s="23">
        <v>1</v>
      </c>
      <c r="C868" s="23">
        <v>37.29</v>
      </c>
      <c r="D868" s="23">
        <v>0</v>
      </c>
      <c r="E868" s="23">
        <v>0</v>
      </c>
      <c r="F868" s="23">
        <v>0</v>
      </c>
      <c r="G868" s="23">
        <v>1</v>
      </c>
      <c r="H868" s="23">
        <v>0</v>
      </c>
      <c r="I868" s="23">
        <v>0</v>
      </c>
      <c r="J868" s="23">
        <v>1141.4450999999999</v>
      </c>
      <c r="N868" s="23"/>
      <c r="O868" s="23"/>
      <c r="P868" s="23"/>
      <c r="Q868" s="23"/>
      <c r="R868" s="23"/>
      <c r="S868" s="23"/>
      <c r="T868" s="23"/>
      <c r="U868" s="23"/>
    </row>
    <row r="869" spans="1:21" x14ac:dyDescent="0.2">
      <c r="A869" s="23">
        <v>57</v>
      </c>
      <c r="B869" s="23">
        <v>1</v>
      </c>
      <c r="C869" s="23">
        <v>43.7</v>
      </c>
      <c r="D869" s="23">
        <v>1</v>
      </c>
      <c r="E869" s="23">
        <v>0</v>
      </c>
      <c r="F869" s="23">
        <v>0</v>
      </c>
      <c r="G869" s="23">
        <v>0</v>
      </c>
      <c r="H869" s="23">
        <v>1</v>
      </c>
      <c r="I869" s="23">
        <v>0</v>
      </c>
      <c r="J869" s="23">
        <v>11576.13</v>
      </c>
      <c r="N869" s="23"/>
      <c r="O869" s="23"/>
      <c r="P869" s="23"/>
      <c r="Q869" s="23"/>
      <c r="R869" s="23"/>
      <c r="S869" s="23"/>
      <c r="T869" s="23"/>
      <c r="U869" s="23"/>
    </row>
    <row r="870" spans="1:21" x14ac:dyDescent="0.2">
      <c r="A870" s="23">
        <v>61</v>
      </c>
      <c r="B870" s="23">
        <v>1</v>
      </c>
      <c r="C870" s="23">
        <v>23.655000000000001</v>
      </c>
      <c r="D870" s="23">
        <v>0</v>
      </c>
      <c r="E870" s="23">
        <v>0</v>
      </c>
      <c r="F870" s="23">
        <v>1</v>
      </c>
      <c r="G870" s="23">
        <v>0</v>
      </c>
      <c r="H870" s="23">
        <v>0</v>
      </c>
      <c r="I870" s="23">
        <v>0</v>
      </c>
      <c r="J870" s="23">
        <v>13129.603450000001</v>
      </c>
      <c r="N870" s="23"/>
      <c r="O870" s="23"/>
      <c r="P870" s="23"/>
      <c r="Q870" s="23"/>
      <c r="R870" s="23"/>
      <c r="S870" s="23"/>
      <c r="T870" s="23"/>
      <c r="U870" s="23"/>
    </row>
    <row r="871" spans="1:21" x14ac:dyDescent="0.2">
      <c r="A871" s="23">
        <v>25</v>
      </c>
      <c r="B871" s="23">
        <v>0</v>
      </c>
      <c r="C871" s="23">
        <v>24.3</v>
      </c>
      <c r="D871" s="23">
        <v>3</v>
      </c>
      <c r="E871" s="23">
        <v>0</v>
      </c>
      <c r="F871" s="23">
        <v>0</v>
      </c>
      <c r="G871" s="23">
        <v>0</v>
      </c>
      <c r="H871" s="23">
        <v>1</v>
      </c>
      <c r="I871" s="23">
        <v>0</v>
      </c>
      <c r="J871" s="23">
        <v>4391.652</v>
      </c>
      <c r="N871" s="23"/>
      <c r="O871" s="23"/>
      <c r="P871" s="23"/>
      <c r="Q871" s="23"/>
      <c r="R871" s="23"/>
      <c r="S871" s="23"/>
      <c r="T871" s="23"/>
      <c r="U871" s="23"/>
    </row>
    <row r="872" spans="1:21" x14ac:dyDescent="0.2">
      <c r="A872" s="23">
        <v>50</v>
      </c>
      <c r="B872" s="23">
        <v>1</v>
      </c>
      <c r="C872" s="23">
        <v>36.200000000000003</v>
      </c>
      <c r="D872" s="23">
        <v>0</v>
      </c>
      <c r="E872" s="23">
        <v>0</v>
      </c>
      <c r="F872" s="23">
        <v>0</v>
      </c>
      <c r="G872" s="23">
        <v>0</v>
      </c>
      <c r="H872" s="23">
        <v>1</v>
      </c>
      <c r="I872" s="23">
        <v>0</v>
      </c>
      <c r="J872" s="23">
        <v>8457.8179999999993</v>
      </c>
      <c r="N872" s="23"/>
      <c r="O872" s="23"/>
      <c r="P872" s="23"/>
      <c r="Q872" s="23"/>
      <c r="R872" s="23"/>
      <c r="S872" s="23"/>
      <c r="T872" s="23"/>
      <c r="U872" s="23"/>
    </row>
    <row r="873" spans="1:21" x14ac:dyDescent="0.2">
      <c r="A873" s="23">
        <v>26</v>
      </c>
      <c r="B873" s="23">
        <v>0</v>
      </c>
      <c r="C873" s="23">
        <v>29.48</v>
      </c>
      <c r="D873" s="23">
        <v>1</v>
      </c>
      <c r="E873" s="23">
        <v>0</v>
      </c>
      <c r="F873" s="23">
        <v>0</v>
      </c>
      <c r="G873" s="23">
        <v>1</v>
      </c>
      <c r="H873" s="23">
        <v>0</v>
      </c>
      <c r="I873" s="23">
        <v>0</v>
      </c>
      <c r="J873" s="23">
        <v>3392.3652000000002</v>
      </c>
      <c r="N873" s="23"/>
      <c r="O873" s="23"/>
      <c r="P873" s="23"/>
      <c r="Q873" s="23"/>
      <c r="R873" s="23"/>
      <c r="S873" s="23"/>
      <c r="T873" s="23"/>
      <c r="U873" s="23"/>
    </row>
    <row r="874" spans="1:21" x14ac:dyDescent="0.2">
      <c r="A874" s="23">
        <v>42</v>
      </c>
      <c r="B874" s="23">
        <v>1</v>
      </c>
      <c r="C874" s="23">
        <v>24.86</v>
      </c>
      <c r="D874" s="23">
        <v>0</v>
      </c>
      <c r="E874" s="23">
        <v>0</v>
      </c>
      <c r="F874" s="23">
        <v>0</v>
      </c>
      <c r="G874" s="23">
        <v>1</v>
      </c>
      <c r="H874" s="23">
        <v>0</v>
      </c>
      <c r="I874" s="23">
        <v>0</v>
      </c>
      <c r="J874" s="23">
        <v>5966.8873999999996</v>
      </c>
      <c r="N874" s="23"/>
      <c r="O874" s="23"/>
      <c r="P874" s="23"/>
      <c r="Q874" s="23"/>
      <c r="R874" s="23"/>
      <c r="S874" s="23"/>
      <c r="T874" s="23"/>
      <c r="U874" s="23"/>
    </row>
    <row r="875" spans="1:21" x14ac:dyDescent="0.2">
      <c r="A875" s="23">
        <v>43</v>
      </c>
      <c r="B875" s="23">
        <v>1</v>
      </c>
      <c r="C875" s="23">
        <v>30.1</v>
      </c>
      <c r="D875" s="23">
        <v>1</v>
      </c>
      <c r="E875" s="23">
        <v>0</v>
      </c>
      <c r="F875" s="23">
        <v>0</v>
      </c>
      <c r="G875" s="23">
        <v>0</v>
      </c>
      <c r="H875" s="23">
        <v>1</v>
      </c>
      <c r="I875" s="23">
        <v>0</v>
      </c>
      <c r="J875" s="23">
        <v>6849.0259999999998</v>
      </c>
      <c r="N875" s="23"/>
      <c r="O875" s="23"/>
      <c r="P875" s="23"/>
      <c r="Q875" s="23"/>
      <c r="R875" s="23"/>
      <c r="S875" s="23"/>
      <c r="T875" s="23"/>
      <c r="U875" s="23"/>
    </row>
    <row r="876" spans="1:21" x14ac:dyDescent="0.2">
      <c r="A876" s="23">
        <v>44</v>
      </c>
      <c r="B876" s="23">
        <v>1</v>
      </c>
      <c r="C876" s="23">
        <v>21.85</v>
      </c>
      <c r="D876" s="23">
        <v>3</v>
      </c>
      <c r="E876" s="23">
        <v>0</v>
      </c>
      <c r="F876" s="23">
        <v>1</v>
      </c>
      <c r="G876" s="23">
        <v>0</v>
      </c>
      <c r="H876" s="23">
        <v>0</v>
      </c>
      <c r="I876" s="23">
        <v>0</v>
      </c>
      <c r="J876" s="23">
        <v>8891.1394999999993</v>
      </c>
      <c r="N876" s="23"/>
      <c r="O876" s="23"/>
      <c r="P876" s="23"/>
      <c r="Q876" s="23"/>
      <c r="R876" s="23"/>
      <c r="S876" s="23"/>
      <c r="T876" s="23"/>
      <c r="U876" s="23"/>
    </row>
    <row r="877" spans="1:21" x14ac:dyDescent="0.2">
      <c r="A877" s="23">
        <v>23</v>
      </c>
      <c r="B877" s="23">
        <v>0</v>
      </c>
      <c r="C877" s="23">
        <v>28.12</v>
      </c>
      <c r="D877" s="23">
        <v>0</v>
      </c>
      <c r="E877" s="23">
        <v>0</v>
      </c>
      <c r="F877" s="23">
        <v>0</v>
      </c>
      <c r="G877" s="23">
        <v>0</v>
      </c>
      <c r="H877" s="23">
        <v>0</v>
      </c>
      <c r="I877" s="23">
        <v>1</v>
      </c>
      <c r="J877" s="23">
        <v>2690.1138000000001</v>
      </c>
      <c r="N877" s="23"/>
      <c r="O877" s="23"/>
      <c r="P877" s="23"/>
      <c r="Q877" s="23"/>
      <c r="R877" s="23"/>
      <c r="S877" s="23"/>
      <c r="T877" s="23"/>
      <c r="U877" s="23"/>
    </row>
    <row r="878" spans="1:21" x14ac:dyDescent="0.2">
      <c r="A878" s="23">
        <v>49</v>
      </c>
      <c r="B878" s="23">
        <v>0</v>
      </c>
      <c r="C878" s="23">
        <v>27.1</v>
      </c>
      <c r="D878" s="23">
        <v>1</v>
      </c>
      <c r="E878" s="23">
        <v>0</v>
      </c>
      <c r="F878" s="23">
        <v>0</v>
      </c>
      <c r="G878" s="23">
        <v>0</v>
      </c>
      <c r="H878" s="23">
        <v>1</v>
      </c>
      <c r="I878" s="23">
        <v>0</v>
      </c>
      <c r="J878" s="23">
        <v>26140.3603</v>
      </c>
      <c r="N878" s="23"/>
      <c r="O878" s="23"/>
      <c r="P878" s="23"/>
      <c r="Q878" s="23"/>
      <c r="R878" s="23"/>
      <c r="S878" s="23"/>
      <c r="T878" s="23"/>
      <c r="U878" s="23"/>
    </row>
    <row r="879" spans="1:21" x14ac:dyDescent="0.2">
      <c r="A879" s="23">
        <v>33</v>
      </c>
      <c r="B879" s="23">
        <v>1</v>
      </c>
      <c r="C879" s="23">
        <v>33.44</v>
      </c>
      <c r="D879" s="23">
        <v>5</v>
      </c>
      <c r="E879" s="23">
        <v>0</v>
      </c>
      <c r="F879" s="23">
        <v>0</v>
      </c>
      <c r="G879" s="23">
        <v>1</v>
      </c>
      <c r="H879" s="23">
        <v>0</v>
      </c>
      <c r="I879" s="23">
        <v>0</v>
      </c>
      <c r="J879" s="23">
        <v>6653.7885999999999</v>
      </c>
      <c r="N879" s="23"/>
      <c r="O879" s="23"/>
      <c r="P879" s="23"/>
      <c r="Q879" s="23"/>
      <c r="R879" s="23"/>
      <c r="S879" s="23"/>
      <c r="T879" s="23"/>
      <c r="U879" s="23"/>
    </row>
    <row r="880" spans="1:21" x14ac:dyDescent="0.2">
      <c r="A880" s="23">
        <v>41</v>
      </c>
      <c r="B880" s="23">
        <v>1</v>
      </c>
      <c r="C880" s="23">
        <v>28.8</v>
      </c>
      <c r="D880" s="23">
        <v>1</v>
      </c>
      <c r="E880" s="23">
        <v>0</v>
      </c>
      <c r="F880" s="23">
        <v>0</v>
      </c>
      <c r="G880" s="23">
        <v>0</v>
      </c>
      <c r="H880" s="23">
        <v>1</v>
      </c>
      <c r="I880" s="23">
        <v>0</v>
      </c>
      <c r="J880" s="23">
        <v>6282.2349999999997</v>
      </c>
      <c r="N880" s="23"/>
      <c r="O880" s="23"/>
      <c r="P880" s="23"/>
      <c r="Q880" s="23"/>
      <c r="R880" s="23"/>
      <c r="S880" s="23"/>
      <c r="T880" s="23"/>
      <c r="U880" s="23"/>
    </row>
    <row r="881" spans="1:21" x14ac:dyDescent="0.2">
      <c r="A881" s="23">
        <v>37</v>
      </c>
      <c r="B881" s="23">
        <v>0</v>
      </c>
      <c r="C881" s="23">
        <v>29.5</v>
      </c>
      <c r="D881" s="23">
        <v>2</v>
      </c>
      <c r="E881" s="23">
        <v>0</v>
      </c>
      <c r="F881" s="23">
        <v>0</v>
      </c>
      <c r="G881" s="23">
        <v>0</v>
      </c>
      <c r="H881" s="23">
        <v>1</v>
      </c>
      <c r="I881" s="23">
        <v>0</v>
      </c>
      <c r="J881" s="23">
        <v>6311.9520000000002</v>
      </c>
      <c r="N881" s="23"/>
      <c r="O881" s="23"/>
      <c r="P881" s="23"/>
      <c r="Q881" s="23"/>
      <c r="R881" s="23"/>
      <c r="S881" s="23"/>
      <c r="T881" s="23"/>
      <c r="U881" s="23"/>
    </row>
    <row r="882" spans="1:21" x14ac:dyDescent="0.2">
      <c r="A882" s="23">
        <v>22</v>
      </c>
      <c r="B882" s="23">
        <v>1</v>
      </c>
      <c r="C882" s="23">
        <v>34.799999999999997</v>
      </c>
      <c r="D882" s="23">
        <v>3</v>
      </c>
      <c r="E882" s="23">
        <v>0</v>
      </c>
      <c r="F882" s="23">
        <v>0</v>
      </c>
      <c r="G882" s="23">
        <v>0</v>
      </c>
      <c r="H882" s="23">
        <v>1</v>
      </c>
      <c r="I882" s="23">
        <v>0</v>
      </c>
      <c r="J882" s="23">
        <v>3443.0639999999999</v>
      </c>
      <c r="N882" s="23"/>
      <c r="O882" s="23"/>
      <c r="P882" s="23"/>
      <c r="Q882" s="23"/>
      <c r="R882" s="23"/>
      <c r="S882" s="23"/>
      <c r="T882" s="23"/>
      <c r="U882" s="23"/>
    </row>
    <row r="883" spans="1:21" x14ac:dyDescent="0.2">
      <c r="A883" s="23">
        <v>23</v>
      </c>
      <c r="B883" s="23">
        <v>1</v>
      </c>
      <c r="C883" s="23">
        <v>27.36</v>
      </c>
      <c r="D883" s="23">
        <v>1</v>
      </c>
      <c r="E883" s="23">
        <v>0</v>
      </c>
      <c r="F883" s="23">
        <v>0</v>
      </c>
      <c r="G883" s="23">
        <v>0</v>
      </c>
      <c r="H883" s="23">
        <v>0</v>
      </c>
      <c r="I883" s="23">
        <v>1</v>
      </c>
      <c r="J883" s="23">
        <v>2789.0574000000001</v>
      </c>
      <c r="N883" s="23"/>
      <c r="O883" s="23"/>
      <c r="P883" s="23"/>
      <c r="Q883" s="23"/>
      <c r="R883" s="23"/>
      <c r="S883" s="23"/>
      <c r="T883" s="23"/>
      <c r="U883" s="23"/>
    </row>
    <row r="884" spans="1:21" x14ac:dyDescent="0.2">
      <c r="A884" s="23">
        <v>21</v>
      </c>
      <c r="B884" s="23">
        <v>0</v>
      </c>
      <c r="C884" s="23">
        <v>22.135000000000002</v>
      </c>
      <c r="D884" s="23">
        <v>0</v>
      </c>
      <c r="E884" s="23">
        <v>0</v>
      </c>
      <c r="F884" s="23">
        <v>1</v>
      </c>
      <c r="G884" s="23">
        <v>0</v>
      </c>
      <c r="H884" s="23">
        <v>0</v>
      </c>
      <c r="I884" s="23">
        <v>0</v>
      </c>
      <c r="J884" s="23">
        <v>2585.8506499999999</v>
      </c>
      <c r="N884" s="23"/>
      <c r="O884" s="23"/>
      <c r="P884" s="23"/>
      <c r="Q884" s="23"/>
      <c r="R884" s="23"/>
      <c r="S884" s="23"/>
      <c r="T884" s="23"/>
      <c r="U884" s="23"/>
    </row>
    <row r="885" spans="1:21" x14ac:dyDescent="0.2">
      <c r="A885" s="23">
        <v>51</v>
      </c>
      <c r="B885" s="23">
        <v>0</v>
      </c>
      <c r="C885" s="23">
        <v>37.049999999999997</v>
      </c>
      <c r="D885" s="23">
        <v>3</v>
      </c>
      <c r="E885" s="23">
        <v>1</v>
      </c>
      <c r="F885" s="23">
        <v>1</v>
      </c>
      <c r="G885" s="23">
        <v>0</v>
      </c>
      <c r="H885" s="23">
        <v>0</v>
      </c>
      <c r="I885" s="23">
        <v>0</v>
      </c>
      <c r="J885" s="23">
        <v>46255.112500000003</v>
      </c>
      <c r="N885" s="23"/>
      <c r="O885" s="23"/>
      <c r="P885" s="23"/>
      <c r="Q885" s="23"/>
      <c r="R885" s="23"/>
      <c r="S885" s="23"/>
      <c r="T885" s="23"/>
      <c r="U885" s="23"/>
    </row>
    <row r="886" spans="1:21" x14ac:dyDescent="0.2">
      <c r="A886" s="23">
        <v>25</v>
      </c>
      <c r="B886" s="23">
        <v>1</v>
      </c>
      <c r="C886" s="23">
        <v>26.695</v>
      </c>
      <c r="D886" s="23">
        <v>4</v>
      </c>
      <c r="E886" s="23">
        <v>0</v>
      </c>
      <c r="F886" s="23">
        <v>0</v>
      </c>
      <c r="G886" s="23">
        <v>0</v>
      </c>
      <c r="H886" s="23">
        <v>0</v>
      </c>
      <c r="I886" s="23">
        <v>1</v>
      </c>
      <c r="J886" s="23">
        <v>4877.9810500000003</v>
      </c>
      <c r="N886" s="23"/>
      <c r="O886" s="23"/>
      <c r="P886" s="23"/>
      <c r="Q886" s="23"/>
      <c r="R886" s="23"/>
      <c r="S886" s="23"/>
      <c r="T886" s="23"/>
      <c r="U886" s="23"/>
    </row>
    <row r="887" spans="1:21" x14ac:dyDescent="0.2">
      <c r="A887" s="23">
        <v>32</v>
      </c>
      <c r="B887" s="23">
        <v>1</v>
      </c>
      <c r="C887" s="23">
        <v>28.93</v>
      </c>
      <c r="D887" s="23">
        <v>1</v>
      </c>
      <c r="E887" s="23">
        <v>1</v>
      </c>
      <c r="F887" s="23">
        <v>0</v>
      </c>
      <c r="G887" s="23">
        <v>1</v>
      </c>
      <c r="H887" s="23">
        <v>0</v>
      </c>
      <c r="I887" s="23">
        <v>0</v>
      </c>
      <c r="J887" s="23">
        <v>19719.6947</v>
      </c>
      <c r="N887" s="23"/>
      <c r="O887" s="23"/>
      <c r="P887" s="23"/>
      <c r="Q887" s="23"/>
      <c r="R887" s="23"/>
      <c r="S887" s="23"/>
      <c r="T887" s="23"/>
      <c r="U887" s="23"/>
    </row>
    <row r="888" spans="1:21" x14ac:dyDescent="0.2">
      <c r="A888" s="23">
        <v>57</v>
      </c>
      <c r="B888" s="23">
        <v>1</v>
      </c>
      <c r="C888" s="23">
        <v>28.975000000000001</v>
      </c>
      <c r="D888" s="23">
        <v>0</v>
      </c>
      <c r="E888" s="23">
        <v>1</v>
      </c>
      <c r="F888" s="23">
        <v>1</v>
      </c>
      <c r="G888" s="23">
        <v>0</v>
      </c>
      <c r="H888" s="23">
        <v>0</v>
      </c>
      <c r="I888" s="23">
        <v>0</v>
      </c>
      <c r="J888" s="23">
        <v>27218.437249999999</v>
      </c>
      <c r="N888" s="23"/>
      <c r="O888" s="23"/>
      <c r="P888" s="23"/>
      <c r="Q888" s="23"/>
      <c r="R888" s="23"/>
      <c r="S888" s="23"/>
      <c r="T888" s="23"/>
      <c r="U888" s="23"/>
    </row>
    <row r="889" spans="1:21" x14ac:dyDescent="0.2">
      <c r="A889" s="23">
        <v>36</v>
      </c>
      <c r="B889" s="23">
        <v>0</v>
      </c>
      <c r="C889" s="23">
        <v>30.02</v>
      </c>
      <c r="D889" s="23">
        <v>0</v>
      </c>
      <c r="E889" s="23">
        <v>0</v>
      </c>
      <c r="F889" s="23">
        <v>0</v>
      </c>
      <c r="G889" s="23">
        <v>0</v>
      </c>
      <c r="H889" s="23">
        <v>0</v>
      </c>
      <c r="I889" s="23">
        <v>1</v>
      </c>
      <c r="J889" s="23">
        <v>5272.1758</v>
      </c>
      <c r="N889" s="23"/>
      <c r="O889" s="23"/>
      <c r="P889" s="23"/>
      <c r="Q889" s="23"/>
      <c r="R889" s="23"/>
      <c r="S889" s="23"/>
      <c r="T889" s="23"/>
      <c r="U889" s="23"/>
    </row>
    <row r="890" spans="1:21" x14ac:dyDescent="0.2">
      <c r="A890" s="23">
        <v>22</v>
      </c>
      <c r="B890" s="23">
        <v>1</v>
      </c>
      <c r="C890" s="23">
        <v>39.5</v>
      </c>
      <c r="D890" s="23">
        <v>0</v>
      </c>
      <c r="E890" s="23">
        <v>0</v>
      </c>
      <c r="F890" s="23">
        <v>0</v>
      </c>
      <c r="G890" s="23">
        <v>0</v>
      </c>
      <c r="H890" s="23">
        <v>1</v>
      </c>
      <c r="I890" s="23">
        <v>0</v>
      </c>
      <c r="J890" s="23">
        <v>1682.597</v>
      </c>
      <c r="N890" s="23"/>
      <c r="O890" s="23"/>
      <c r="P890" s="23"/>
      <c r="Q890" s="23"/>
      <c r="R890" s="23"/>
      <c r="S890" s="23"/>
      <c r="T890" s="23"/>
      <c r="U890" s="23"/>
    </row>
    <row r="891" spans="1:21" x14ac:dyDescent="0.2">
      <c r="A891" s="23">
        <v>57</v>
      </c>
      <c r="B891" s="23">
        <v>1</v>
      </c>
      <c r="C891" s="23">
        <v>33.630000000000003</v>
      </c>
      <c r="D891" s="23">
        <v>1</v>
      </c>
      <c r="E891" s="23">
        <v>0</v>
      </c>
      <c r="F891" s="23">
        <v>0</v>
      </c>
      <c r="G891" s="23">
        <v>0</v>
      </c>
      <c r="H891" s="23">
        <v>0</v>
      </c>
      <c r="I891" s="23">
        <v>1</v>
      </c>
      <c r="J891" s="23">
        <v>11945.1327</v>
      </c>
      <c r="N891" s="23"/>
      <c r="O891" s="23"/>
      <c r="P891" s="23"/>
      <c r="Q891" s="23"/>
      <c r="R891" s="23"/>
      <c r="S891" s="23"/>
      <c r="T891" s="23"/>
      <c r="U891" s="23"/>
    </row>
    <row r="892" spans="1:21" x14ac:dyDescent="0.2">
      <c r="A892" s="23">
        <v>64</v>
      </c>
      <c r="B892" s="23">
        <v>0</v>
      </c>
      <c r="C892" s="23">
        <v>26.885000000000002</v>
      </c>
      <c r="D892" s="23">
        <v>0</v>
      </c>
      <c r="E892" s="23">
        <v>1</v>
      </c>
      <c r="F892" s="23">
        <v>0</v>
      </c>
      <c r="G892" s="23">
        <v>0</v>
      </c>
      <c r="H892" s="23">
        <v>0</v>
      </c>
      <c r="I892" s="23">
        <v>1</v>
      </c>
      <c r="J892" s="23">
        <v>29330.98315</v>
      </c>
      <c r="N892" s="23"/>
      <c r="O892" s="23"/>
      <c r="P892" s="23"/>
      <c r="Q892" s="23"/>
      <c r="R892" s="23"/>
      <c r="S892" s="23"/>
      <c r="T892" s="23"/>
      <c r="U892" s="23"/>
    </row>
    <row r="893" spans="1:21" x14ac:dyDescent="0.2">
      <c r="A893" s="23">
        <v>36</v>
      </c>
      <c r="B893" s="23">
        <v>0</v>
      </c>
      <c r="C893" s="23">
        <v>29.04</v>
      </c>
      <c r="D893" s="23">
        <v>4</v>
      </c>
      <c r="E893" s="23">
        <v>0</v>
      </c>
      <c r="F893" s="23">
        <v>0</v>
      </c>
      <c r="G893" s="23">
        <v>1</v>
      </c>
      <c r="H893" s="23">
        <v>0</v>
      </c>
      <c r="I893" s="23">
        <v>0</v>
      </c>
      <c r="J893" s="23">
        <v>7243.8136000000004</v>
      </c>
      <c r="N893" s="23"/>
      <c r="O893" s="23"/>
      <c r="P893" s="23"/>
      <c r="Q893" s="23"/>
      <c r="R893" s="23"/>
      <c r="S893" s="23"/>
      <c r="T893" s="23"/>
      <c r="U893" s="23"/>
    </row>
    <row r="894" spans="1:21" x14ac:dyDescent="0.2">
      <c r="A894" s="23">
        <v>54</v>
      </c>
      <c r="B894" s="23">
        <v>1</v>
      </c>
      <c r="C894" s="23">
        <v>24.035</v>
      </c>
      <c r="D894" s="23">
        <v>0</v>
      </c>
      <c r="E894" s="23">
        <v>0</v>
      </c>
      <c r="F894" s="23">
        <v>1</v>
      </c>
      <c r="G894" s="23">
        <v>0</v>
      </c>
      <c r="H894" s="23">
        <v>0</v>
      </c>
      <c r="I894" s="23">
        <v>0</v>
      </c>
      <c r="J894" s="23">
        <v>10422.916649999999</v>
      </c>
      <c r="N894" s="23"/>
      <c r="O894" s="23"/>
      <c r="P894" s="23"/>
      <c r="Q894" s="23"/>
      <c r="R894" s="23"/>
      <c r="S894" s="23"/>
      <c r="T894" s="23"/>
      <c r="U894" s="23"/>
    </row>
    <row r="895" spans="1:21" x14ac:dyDescent="0.2">
      <c r="A895" s="23">
        <v>47</v>
      </c>
      <c r="B895" s="23">
        <v>1</v>
      </c>
      <c r="C895" s="23">
        <v>38.94</v>
      </c>
      <c r="D895" s="23">
        <v>2</v>
      </c>
      <c r="E895" s="23">
        <v>1</v>
      </c>
      <c r="F895" s="23">
        <v>0</v>
      </c>
      <c r="G895" s="23">
        <v>1</v>
      </c>
      <c r="H895" s="23">
        <v>0</v>
      </c>
      <c r="I895" s="23">
        <v>0</v>
      </c>
      <c r="J895" s="23">
        <v>44202.653599999998</v>
      </c>
      <c r="N895" s="23"/>
      <c r="O895" s="23"/>
      <c r="P895" s="23"/>
      <c r="Q895" s="23"/>
      <c r="R895" s="23"/>
      <c r="S895" s="23"/>
      <c r="T895" s="23"/>
      <c r="U895" s="23"/>
    </row>
    <row r="896" spans="1:21" x14ac:dyDescent="0.2">
      <c r="A896" s="23">
        <v>62</v>
      </c>
      <c r="B896" s="23">
        <v>1</v>
      </c>
      <c r="C896" s="23">
        <v>32.11</v>
      </c>
      <c r="D896" s="23">
        <v>0</v>
      </c>
      <c r="E896" s="23">
        <v>0</v>
      </c>
      <c r="F896" s="23">
        <v>1</v>
      </c>
      <c r="G896" s="23">
        <v>0</v>
      </c>
      <c r="H896" s="23">
        <v>0</v>
      </c>
      <c r="I896" s="23">
        <v>0</v>
      </c>
      <c r="J896" s="23">
        <v>13555.0049</v>
      </c>
      <c r="N896" s="23"/>
      <c r="O896" s="23"/>
      <c r="P896" s="23"/>
      <c r="Q896" s="23"/>
      <c r="R896" s="23"/>
      <c r="S896" s="23"/>
      <c r="T896" s="23"/>
      <c r="U896" s="23"/>
    </row>
    <row r="897" spans="1:21" x14ac:dyDescent="0.2">
      <c r="A897" s="23">
        <v>61</v>
      </c>
      <c r="B897" s="23">
        <v>0</v>
      </c>
      <c r="C897" s="23">
        <v>44</v>
      </c>
      <c r="D897" s="23">
        <v>0</v>
      </c>
      <c r="E897" s="23">
        <v>0</v>
      </c>
      <c r="F897" s="23">
        <v>0</v>
      </c>
      <c r="G897" s="23">
        <v>0</v>
      </c>
      <c r="H897" s="23">
        <v>1</v>
      </c>
      <c r="I897" s="23">
        <v>0</v>
      </c>
      <c r="J897" s="23">
        <v>13063.883</v>
      </c>
      <c r="N897" s="23"/>
      <c r="O897" s="23"/>
      <c r="P897" s="23"/>
      <c r="Q897" s="23"/>
      <c r="R897" s="23"/>
      <c r="S897" s="23"/>
      <c r="T897" s="23"/>
      <c r="U897" s="23"/>
    </row>
    <row r="898" spans="1:21" x14ac:dyDescent="0.2">
      <c r="A898" s="23">
        <v>43</v>
      </c>
      <c r="B898" s="23">
        <v>0</v>
      </c>
      <c r="C898" s="23">
        <v>20.045000000000002</v>
      </c>
      <c r="D898" s="23">
        <v>2</v>
      </c>
      <c r="E898" s="23">
        <v>1</v>
      </c>
      <c r="F898" s="23">
        <v>1</v>
      </c>
      <c r="G898" s="23">
        <v>0</v>
      </c>
      <c r="H898" s="23">
        <v>0</v>
      </c>
      <c r="I898" s="23">
        <v>0</v>
      </c>
      <c r="J898" s="23">
        <v>19798.054550000001</v>
      </c>
      <c r="N898" s="23"/>
      <c r="O898" s="23"/>
      <c r="P898" s="23"/>
      <c r="Q898" s="23"/>
      <c r="R898" s="23"/>
      <c r="S898" s="23"/>
      <c r="T898" s="23"/>
      <c r="U898" s="23"/>
    </row>
    <row r="899" spans="1:21" x14ac:dyDescent="0.2">
      <c r="A899" s="23">
        <v>19</v>
      </c>
      <c r="B899" s="23">
        <v>1</v>
      </c>
      <c r="C899" s="23">
        <v>25.555</v>
      </c>
      <c r="D899" s="23">
        <v>1</v>
      </c>
      <c r="E899" s="23">
        <v>0</v>
      </c>
      <c r="F899" s="23">
        <v>0</v>
      </c>
      <c r="G899" s="23">
        <v>0</v>
      </c>
      <c r="H899" s="23">
        <v>0</v>
      </c>
      <c r="I899" s="23">
        <v>1</v>
      </c>
      <c r="J899" s="23">
        <v>2221.5644499999999</v>
      </c>
      <c r="N899" s="23"/>
      <c r="O899" s="23"/>
      <c r="P899" s="23"/>
      <c r="Q899" s="23"/>
      <c r="R899" s="23"/>
      <c r="S899" s="23"/>
      <c r="T899" s="23"/>
      <c r="U899" s="23"/>
    </row>
    <row r="900" spans="1:21" x14ac:dyDescent="0.2">
      <c r="A900" s="23">
        <v>18</v>
      </c>
      <c r="B900" s="23">
        <v>0</v>
      </c>
      <c r="C900" s="23">
        <v>40.26</v>
      </c>
      <c r="D900" s="23">
        <v>0</v>
      </c>
      <c r="E900" s="23">
        <v>0</v>
      </c>
      <c r="F900" s="23">
        <v>0</v>
      </c>
      <c r="G900" s="23">
        <v>1</v>
      </c>
      <c r="H900" s="23">
        <v>0</v>
      </c>
      <c r="I900" s="23">
        <v>0</v>
      </c>
      <c r="J900" s="23">
        <v>1634.5734</v>
      </c>
      <c r="N900" s="23"/>
      <c r="O900" s="23"/>
      <c r="P900" s="23"/>
      <c r="Q900" s="23"/>
      <c r="R900" s="23"/>
      <c r="S900" s="23"/>
      <c r="T900" s="23"/>
      <c r="U900" s="23"/>
    </row>
    <row r="901" spans="1:21" x14ac:dyDescent="0.2">
      <c r="A901" s="23">
        <v>19</v>
      </c>
      <c r="B901" s="23">
        <v>0</v>
      </c>
      <c r="C901" s="23">
        <v>22.515000000000001</v>
      </c>
      <c r="D901" s="23">
        <v>0</v>
      </c>
      <c r="E901" s="23">
        <v>0</v>
      </c>
      <c r="F901" s="23">
        <v>0</v>
      </c>
      <c r="G901" s="23">
        <v>0</v>
      </c>
      <c r="H901" s="23">
        <v>0</v>
      </c>
      <c r="I901" s="23">
        <v>1</v>
      </c>
      <c r="J901" s="23">
        <v>2117.3388500000001</v>
      </c>
      <c r="N901" s="23"/>
      <c r="O901" s="23"/>
      <c r="P901" s="23"/>
      <c r="Q901" s="23"/>
      <c r="R901" s="23"/>
      <c r="S901" s="23"/>
      <c r="T901" s="23"/>
      <c r="U901" s="23"/>
    </row>
    <row r="902" spans="1:21" x14ac:dyDescent="0.2">
      <c r="A902" s="23">
        <v>49</v>
      </c>
      <c r="B902" s="23">
        <v>1</v>
      </c>
      <c r="C902" s="23">
        <v>22.515000000000001</v>
      </c>
      <c r="D902" s="23">
        <v>0</v>
      </c>
      <c r="E902" s="23">
        <v>0</v>
      </c>
      <c r="F902" s="23">
        <v>1</v>
      </c>
      <c r="G902" s="23">
        <v>0</v>
      </c>
      <c r="H902" s="23">
        <v>0</v>
      </c>
      <c r="I902" s="23">
        <v>0</v>
      </c>
      <c r="J902" s="23">
        <v>8688.8588500000005</v>
      </c>
      <c r="N902" s="23"/>
      <c r="O902" s="23"/>
      <c r="P902" s="23"/>
      <c r="Q902" s="23"/>
      <c r="R902" s="23"/>
      <c r="S902" s="23"/>
      <c r="T902" s="23"/>
      <c r="U902" s="23"/>
    </row>
    <row r="903" spans="1:21" x14ac:dyDescent="0.2">
      <c r="A903" s="23">
        <v>60</v>
      </c>
      <c r="B903" s="23">
        <v>1</v>
      </c>
      <c r="C903" s="23">
        <v>40.92</v>
      </c>
      <c r="D903" s="23">
        <v>0</v>
      </c>
      <c r="E903" s="23">
        <v>1</v>
      </c>
      <c r="F903" s="23">
        <v>0</v>
      </c>
      <c r="G903" s="23">
        <v>1</v>
      </c>
      <c r="H903" s="23">
        <v>0</v>
      </c>
      <c r="I903" s="23">
        <v>0</v>
      </c>
      <c r="J903" s="23">
        <v>48673.558799999999</v>
      </c>
      <c r="N903" s="23"/>
      <c r="O903" s="23"/>
      <c r="P903" s="23"/>
      <c r="Q903" s="23"/>
      <c r="R903" s="23"/>
      <c r="S903" s="23"/>
      <c r="T903" s="23"/>
      <c r="U903" s="23"/>
    </row>
    <row r="904" spans="1:21" x14ac:dyDescent="0.2">
      <c r="A904" s="23">
        <v>26</v>
      </c>
      <c r="B904" s="23">
        <v>1</v>
      </c>
      <c r="C904" s="23">
        <v>27.265000000000001</v>
      </c>
      <c r="D904" s="23">
        <v>3</v>
      </c>
      <c r="E904" s="23">
        <v>0</v>
      </c>
      <c r="F904" s="23">
        <v>1</v>
      </c>
      <c r="G904" s="23">
        <v>0</v>
      </c>
      <c r="H904" s="23">
        <v>0</v>
      </c>
      <c r="I904" s="23">
        <v>0</v>
      </c>
      <c r="J904" s="23">
        <v>4661.2863500000003</v>
      </c>
      <c r="N904" s="23"/>
      <c r="O904" s="23"/>
      <c r="P904" s="23"/>
      <c r="Q904" s="23"/>
      <c r="R904" s="23"/>
      <c r="S904" s="23"/>
      <c r="T904" s="23"/>
      <c r="U904" s="23"/>
    </row>
    <row r="905" spans="1:21" x14ac:dyDescent="0.2">
      <c r="A905" s="23">
        <v>49</v>
      </c>
      <c r="B905" s="23">
        <v>1</v>
      </c>
      <c r="C905" s="23">
        <v>36.85</v>
      </c>
      <c r="D905" s="23">
        <v>0</v>
      </c>
      <c r="E905" s="23">
        <v>0</v>
      </c>
      <c r="F905" s="23">
        <v>0</v>
      </c>
      <c r="G905" s="23">
        <v>1</v>
      </c>
      <c r="H905" s="23">
        <v>0</v>
      </c>
      <c r="I905" s="23">
        <v>0</v>
      </c>
      <c r="J905" s="23">
        <v>8125.7844999999998</v>
      </c>
      <c r="N905" s="23"/>
      <c r="O905" s="23"/>
      <c r="P905" s="23"/>
      <c r="Q905" s="23"/>
      <c r="R905" s="23"/>
      <c r="S905" s="23"/>
      <c r="T905" s="23"/>
      <c r="U905" s="23"/>
    </row>
    <row r="906" spans="1:21" x14ac:dyDescent="0.2">
      <c r="A906" s="23">
        <v>60</v>
      </c>
      <c r="B906" s="23">
        <v>0</v>
      </c>
      <c r="C906" s="23">
        <v>35.1</v>
      </c>
      <c r="D906" s="23">
        <v>0</v>
      </c>
      <c r="E906" s="23">
        <v>0</v>
      </c>
      <c r="F906" s="23">
        <v>0</v>
      </c>
      <c r="G906" s="23">
        <v>0</v>
      </c>
      <c r="H906" s="23">
        <v>1</v>
      </c>
      <c r="I906" s="23">
        <v>0</v>
      </c>
      <c r="J906" s="23">
        <v>12644.589</v>
      </c>
      <c r="N906" s="23"/>
      <c r="O906" s="23"/>
      <c r="P906" s="23"/>
      <c r="Q906" s="23"/>
      <c r="R906" s="23"/>
      <c r="S906" s="23"/>
      <c r="T906" s="23"/>
      <c r="U906" s="23"/>
    </row>
    <row r="907" spans="1:21" x14ac:dyDescent="0.2">
      <c r="A907" s="23">
        <v>26</v>
      </c>
      <c r="B907" s="23">
        <v>0</v>
      </c>
      <c r="C907" s="23">
        <v>29.355</v>
      </c>
      <c r="D907" s="23">
        <v>2</v>
      </c>
      <c r="E907" s="23">
        <v>0</v>
      </c>
      <c r="F907" s="23">
        <v>1</v>
      </c>
      <c r="G907" s="23">
        <v>0</v>
      </c>
      <c r="H907" s="23">
        <v>0</v>
      </c>
      <c r="I907" s="23">
        <v>0</v>
      </c>
      <c r="J907" s="23">
        <v>4564.1914500000003</v>
      </c>
      <c r="N907" s="23"/>
      <c r="O907" s="23"/>
      <c r="P907" s="23"/>
      <c r="Q907" s="23"/>
      <c r="R907" s="23"/>
      <c r="S907" s="23"/>
      <c r="T907" s="23"/>
      <c r="U907" s="23"/>
    </row>
    <row r="908" spans="1:21" x14ac:dyDescent="0.2">
      <c r="A908" s="23">
        <v>27</v>
      </c>
      <c r="B908" s="23">
        <v>1</v>
      </c>
      <c r="C908" s="23">
        <v>32.585000000000001</v>
      </c>
      <c r="D908" s="23">
        <v>3</v>
      </c>
      <c r="E908" s="23">
        <v>0</v>
      </c>
      <c r="F908" s="23">
        <v>1</v>
      </c>
      <c r="G908" s="23">
        <v>0</v>
      </c>
      <c r="H908" s="23">
        <v>0</v>
      </c>
      <c r="I908" s="23">
        <v>0</v>
      </c>
      <c r="J908" s="23">
        <v>4846.9201499999999</v>
      </c>
      <c r="N908" s="23"/>
      <c r="O908" s="23"/>
      <c r="P908" s="23"/>
      <c r="Q908" s="23"/>
      <c r="R908" s="23"/>
      <c r="S908" s="23"/>
      <c r="T908" s="23"/>
      <c r="U908" s="23"/>
    </row>
    <row r="909" spans="1:21" x14ac:dyDescent="0.2">
      <c r="A909" s="23">
        <v>44</v>
      </c>
      <c r="B909" s="23">
        <v>0</v>
      </c>
      <c r="C909" s="23">
        <v>32.340000000000003</v>
      </c>
      <c r="D909" s="23">
        <v>1</v>
      </c>
      <c r="E909" s="23">
        <v>0</v>
      </c>
      <c r="F909" s="23">
        <v>0</v>
      </c>
      <c r="G909" s="23">
        <v>1</v>
      </c>
      <c r="H909" s="23">
        <v>0</v>
      </c>
      <c r="I909" s="23">
        <v>0</v>
      </c>
      <c r="J909" s="23">
        <v>7633.7205999999996</v>
      </c>
      <c r="N909" s="23"/>
      <c r="O909" s="23"/>
      <c r="P909" s="23"/>
      <c r="Q909" s="23"/>
      <c r="R909" s="23"/>
      <c r="S909" s="23"/>
      <c r="T909" s="23"/>
      <c r="U909" s="23"/>
    </row>
    <row r="910" spans="1:21" x14ac:dyDescent="0.2">
      <c r="A910" s="23">
        <v>63</v>
      </c>
      <c r="B910" s="23">
        <v>1</v>
      </c>
      <c r="C910" s="23">
        <v>39.799999999999997</v>
      </c>
      <c r="D910" s="23">
        <v>3</v>
      </c>
      <c r="E910" s="23">
        <v>0</v>
      </c>
      <c r="F910" s="23">
        <v>0</v>
      </c>
      <c r="G910" s="23">
        <v>0</v>
      </c>
      <c r="H910" s="23">
        <v>1</v>
      </c>
      <c r="I910" s="23">
        <v>0</v>
      </c>
      <c r="J910" s="23">
        <v>15170.069</v>
      </c>
      <c r="N910" s="23"/>
      <c r="O910" s="23"/>
      <c r="P910" s="23"/>
      <c r="Q910" s="23"/>
      <c r="R910" s="23"/>
      <c r="S910" s="23"/>
      <c r="T910" s="23"/>
      <c r="U910" s="23"/>
    </row>
    <row r="911" spans="1:21" x14ac:dyDescent="0.2">
      <c r="A911" s="23">
        <v>32</v>
      </c>
      <c r="B911" s="23">
        <v>0</v>
      </c>
      <c r="C911" s="23">
        <v>24.6</v>
      </c>
      <c r="D911" s="23">
        <v>0</v>
      </c>
      <c r="E911" s="23">
        <v>1</v>
      </c>
      <c r="F911" s="23">
        <v>0</v>
      </c>
      <c r="G911" s="23">
        <v>0</v>
      </c>
      <c r="H911" s="23">
        <v>1</v>
      </c>
      <c r="I911" s="23">
        <v>0</v>
      </c>
      <c r="J911" s="23">
        <v>17496.306</v>
      </c>
      <c r="N911" s="23"/>
      <c r="O911" s="23"/>
      <c r="P911" s="23"/>
      <c r="Q911" s="23"/>
      <c r="R911" s="23"/>
      <c r="S911" s="23"/>
      <c r="T911" s="23"/>
      <c r="U911" s="23"/>
    </row>
    <row r="912" spans="1:21" x14ac:dyDescent="0.2">
      <c r="A912" s="23">
        <v>22</v>
      </c>
      <c r="B912" s="23">
        <v>1</v>
      </c>
      <c r="C912" s="23">
        <v>28.31</v>
      </c>
      <c r="D912" s="23">
        <v>1</v>
      </c>
      <c r="E912" s="23">
        <v>0</v>
      </c>
      <c r="F912" s="23">
        <v>0</v>
      </c>
      <c r="G912" s="23">
        <v>0</v>
      </c>
      <c r="H912" s="23">
        <v>0</v>
      </c>
      <c r="I912" s="23">
        <v>1</v>
      </c>
      <c r="J912" s="23">
        <v>2639.0428999999999</v>
      </c>
      <c r="N912" s="23"/>
      <c r="O912" s="23"/>
      <c r="P912" s="23"/>
      <c r="Q912" s="23"/>
      <c r="R912" s="23"/>
      <c r="S912" s="23"/>
      <c r="T912" s="23"/>
      <c r="U912" s="23"/>
    </row>
    <row r="913" spans="1:21" x14ac:dyDescent="0.2">
      <c r="A913" s="23">
        <v>18</v>
      </c>
      <c r="B913" s="23">
        <v>1</v>
      </c>
      <c r="C913" s="23">
        <v>31.73</v>
      </c>
      <c r="D913" s="23">
        <v>0</v>
      </c>
      <c r="E913" s="23">
        <v>1</v>
      </c>
      <c r="F913" s="23">
        <v>1</v>
      </c>
      <c r="G913" s="23">
        <v>0</v>
      </c>
      <c r="H913" s="23">
        <v>0</v>
      </c>
      <c r="I913" s="23">
        <v>0</v>
      </c>
      <c r="J913" s="23">
        <v>33732.686699999998</v>
      </c>
      <c r="N913" s="23"/>
      <c r="O913" s="23"/>
      <c r="P913" s="23"/>
      <c r="Q913" s="23"/>
      <c r="R913" s="23"/>
      <c r="S913" s="23"/>
      <c r="T913" s="23"/>
      <c r="U913" s="23"/>
    </row>
    <row r="914" spans="1:21" x14ac:dyDescent="0.2">
      <c r="A914" s="23">
        <v>59</v>
      </c>
      <c r="B914" s="23">
        <v>0</v>
      </c>
      <c r="C914" s="23">
        <v>26.695</v>
      </c>
      <c r="D914" s="23">
        <v>3</v>
      </c>
      <c r="E914" s="23">
        <v>0</v>
      </c>
      <c r="F914" s="23">
        <v>0</v>
      </c>
      <c r="G914" s="23">
        <v>0</v>
      </c>
      <c r="H914" s="23">
        <v>0</v>
      </c>
      <c r="I914" s="23">
        <v>1</v>
      </c>
      <c r="J914" s="23">
        <v>14382.709049999999</v>
      </c>
      <c r="N914" s="23"/>
      <c r="O914" s="23"/>
      <c r="P914" s="23"/>
      <c r="Q914" s="23"/>
      <c r="R914" s="23"/>
      <c r="S914" s="23"/>
      <c r="T914" s="23"/>
      <c r="U914" s="23"/>
    </row>
    <row r="915" spans="1:21" x14ac:dyDescent="0.2">
      <c r="A915" s="23">
        <v>44</v>
      </c>
      <c r="B915" s="23">
        <v>0</v>
      </c>
      <c r="C915" s="23">
        <v>27.5</v>
      </c>
      <c r="D915" s="23">
        <v>1</v>
      </c>
      <c r="E915" s="23">
        <v>0</v>
      </c>
      <c r="F915" s="23">
        <v>0</v>
      </c>
      <c r="G915" s="23">
        <v>0</v>
      </c>
      <c r="H915" s="23">
        <v>1</v>
      </c>
      <c r="I915" s="23">
        <v>0</v>
      </c>
      <c r="J915" s="23">
        <v>7626.9930000000004</v>
      </c>
      <c r="N915" s="23"/>
      <c r="O915" s="23"/>
      <c r="P915" s="23"/>
      <c r="Q915" s="23"/>
      <c r="R915" s="23"/>
      <c r="S915" s="23"/>
      <c r="T915" s="23"/>
      <c r="U915" s="23"/>
    </row>
    <row r="916" spans="1:21" x14ac:dyDescent="0.2">
      <c r="A916" s="23">
        <v>33</v>
      </c>
      <c r="B916" s="23">
        <v>1</v>
      </c>
      <c r="C916" s="23">
        <v>24.605</v>
      </c>
      <c r="D916" s="23">
        <v>2</v>
      </c>
      <c r="E916" s="23">
        <v>0</v>
      </c>
      <c r="F916" s="23">
        <v>0</v>
      </c>
      <c r="G916" s="23">
        <v>0</v>
      </c>
      <c r="H916" s="23">
        <v>0</v>
      </c>
      <c r="I916" s="23">
        <v>1</v>
      </c>
      <c r="J916" s="23">
        <v>5257.5079500000002</v>
      </c>
      <c r="N916" s="23"/>
      <c r="O916" s="23"/>
      <c r="P916" s="23"/>
      <c r="Q916" s="23"/>
      <c r="R916" s="23"/>
      <c r="S916" s="23"/>
      <c r="T916" s="23"/>
      <c r="U916" s="23"/>
    </row>
    <row r="917" spans="1:21" x14ac:dyDescent="0.2">
      <c r="A917" s="23">
        <v>24</v>
      </c>
      <c r="B917" s="23">
        <v>0</v>
      </c>
      <c r="C917" s="23">
        <v>33.99</v>
      </c>
      <c r="D917" s="23">
        <v>0</v>
      </c>
      <c r="E917" s="23">
        <v>0</v>
      </c>
      <c r="F917" s="23">
        <v>0</v>
      </c>
      <c r="G917" s="23">
        <v>1</v>
      </c>
      <c r="H917" s="23">
        <v>0</v>
      </c>
      <c r="I917" s="23">
        <v>0</v>
      </c>
      <c r="J917" s="23">
        <v>2473.3341</v>
      </c>
      <c r="N917" s="23"/>
      <c r="O917" s="23"/>
      <c r="P917" s="23"/>
      <c r="Q917" s="23"/>
      <c r="R917" s="23"/>
      <c r="S917" s="23"/>
      <c r="T917" s="23"/>
      <c r="U917" s="23"/>
    </row>
    <row r="918" spans="1:21" x14ac:dyDescent="0.2">
      <c r="A918" s="23">
        <v>43</v>
      </c>
      <c r="B918" s="23">
        <v>0</v>
      </c>
      <c r="C918" s="23">
        <v>26.885000000000002</v>
      </c>
      <c r="D918" s="23">
        <v>0</v>
      </c>
      <c r="E918" s="23">
        <v>1</v>
      </c>
      <c r="F918" s="23">
        <v>0</v>
      </c>
      <c r="G918" s="23">
        <v>0</v>
      </c>
      <c r="H918" s="23">
        <v>0</v>
      </c>
      <c r="I918" s="23">
        <v>1</v>
      </c>
      <c r="J918" s="23">
        <v>21774.32215</v>
      </c>
      <c r="N918" s="23"/>
      <c r="O918" s="23"/>
      <c r="P918" s="23"/>
      <c r="Q918" s="23"/>
      <c r="R918" s="23"/>
      <c r="S918" s="23"/>
      <c r="T918" s="23"/>
      <c r="U918" s="23"/>
    </row>
    <row r="919" spans="1:21" x14ac:dyDescent="0.2">
      <c r="A919" s="23">
        <v>45</v>
      </c>
      <c r="B919" s="23">
        <v>1</v>
      </c>
      <c r="C919" s="23">
        <v>22.895</v>
      </c>
      <c r="D919" s="23">
        <v>0</v>
      </c>
      <c r="E919" s="23">
        <v>1</v>
      </c>
      <c r="F919" s="23">
        <v>1</v>
      </c>
      <c r="G919" s="23">
        <v>0</v>
      </c>
      <c r="H919" s="23">
        <v>0</v>
      </c>
      <c r="I919" s="23">
        <v>0</v>
      </c>
      <c r="J919" s="23">
        <v>35069.374519999998</v>
      </c>
      <c r="N919" s="23"/>
      <c r="O919" s="23"/>
      <c r="P919" s="23"/>
      <c r="Q919" s="23"/>
      <c r="R919" s="23"/>
      <c r="S919" s="23"/>
      <c r="T919" s="23"/>
      <c r="U919" s="23"/>
    </row>
    <row r="920" spans="1:21" x14ac:dyDescent="0.2">
      <c r="A920" s="23">
        <v>61</v>
      </c>
      <c r="B920" s="23">
        <v>0</v>
      </c>
      <c r="C920" s="23">
        <v>28.2</v>
      </c>
      <c r="D920" s="23">
        <v>0</v>
      </c>
      <c r="E920" s="23">
        <v>0</v>
      </c>
      <c r="F920" s="23">
        <v>0</v>
      </c>
      <c r="G920" s="23">
        <v>0</v>
      </c>
      <c r="H920" s="23">
        <v>1</v>
      </c>
      <c r="I920" s="23">
        <v>0</v>
      </c>
      <c r="J920" s="23">
        <v>13041.921</v>
      </c>
      <c r="N920" s="23"/>
      <c r="O920" s="23"/>
      <c r="P920" s="23"/>
      <c r="Q920" s="23"/>
      <c r="R920" s="23"/>
      <c r="S920" s="23"/>
      <c r="T920" s="23"/>
      <c r="U920" s="23"/>
    </row>
    <row r="921" spans="1:21" x14ac:dyDescent="0.2">
      <c r="A921" s="23">
        <v>35</v>
      </c>
      <c r="B921" s="23">
        <v>0</v>
      </c>
      <c r="C921" s="23">
        <v>34.21</v>
      </c>
      <c r="D921" s="23">
        <v>1</v>
      </c>
      <c r="E921" s="23">
        <v>0</v>
      </c>
      <c r="F921" s="23">
        <v>0</v>
      </c>
      <c r="G921" s="23">
        <v>1</v>
      </c>
      <c r="H921" s="23">
        <v>0</v>
      </c>
      <c r="I921" s="23">
        <v>0</v>
      </c>
      <c r="J921" s="23">
        <v>5245.2268999999997</v>
      </c>
      <c r="N921" s="23"/>
      <c r="O921" s="23"/>
      <c r="P921" s="23"/>
      <c r="Q921" s="23"/>
      <c r="R921" s="23"/>
      <c r="S921" s="23"/>
      <c r="T921" s="23"/>
      <c r="U921" s="23"/>
    </row>
    <row r="922" spans="1:21" x14ac:dyDescent="0.2">
      <c r="A922" s="23">
        <v>62</v>
      </c>
      <c r="B922" s="23">
        <v>0</v>
      </c>
      <c r="C922" s="23">
        <v>25</v>
      </c>
      <c r="D922" s="23">
        <v>0</v>
      </c>
      <c r="E922" s="23">
        <v>0</v>
      </c>
      <c r="F922" s="23">
        <v>0</v>
      </c>
      <c r="G922" s="23">
        <v>0</v>
      </c>
      <c r="H922" s="23">
        <v>1</v>
      </c>
      <c r="I922" s="23">
        <v>0</v>
      </c>
      <c r="J922" s="23">
        <v>13451.121999999999</v>
      </c>
      <c r="N922" s="23"/>
      <c r="O922" s="23"/>
      <c r="P922" s="23"/>
      <c r="Q922" s="23"/>
      <c r="R922" s="23"/>
      <c r="S922" s="23"/>
      <c r="T922" s="23"/>
      <c r="U922" s="23"/>
    </row>
    <row r="923" spans="1:21" x14ac:dyDescent="0.2">
      <c r="A923" s="23">
        <v>62</v>
      </c>
      <c r="B923" s="23">
        <v>0</v>
      </c>
      <c r="C923" s="23">
        <v>33.200000000000003</v>
      </c>
      <c r="D923" s="23">
        <v>0</v>
      </c>
      <c r="E923" s="23">
        <v>0</v>
      </c>
      <c r="F923" s="23">
        <v>0</v>
      </c>
      <c r="G923" s="23">
        <v>0</v>
      </c>
      <c r="H923" s="23">
        <v>1</v>
      </c>
      <c r="I923" s="23">
        <v>0</v>
      </c>
      <c r="J923" s="23">
        <v>13462.52</v>
      </c>
      <c r="N923" s="23"/>
      <c r="O923" s="23"/>
      <c r="P923" s="23"/>
      <c r="Q923" s="23"/>
      <c r="R923" s="23"/>
      <c r="S923" s="23"/>
      <c r="T923" s="23"/>
      <c r="U923" s="23"/>
    </row>
    <row r="924" spans="1:21" x14ac:dyDescent="0.2">
      <c r="A924" s="23">
        <v>38</v>
      </c>
      <c r="B924" s="23">
        <v>1</v>
      </c>
      <c r="C924" s="23">
        <v>31</v>
      </c>
      <c r="D924" s="23">
        <v>1</v>
      </c>
      <c r="E924" s="23">
        <v>0</v>
      </c>
      <c r="F924" s="23">
        <v>0</v>
      </c>
      <c r="G924" s="23">
        <v>0</v>
      </c>
      <c r="H924" s="23">
        <v>1</v>
      </c>
      <c r="I924" s="23">
        <v>0</v>
      </c>
      <c r="J924" s="23">
        <v>5488.2619999999997</v>
      </c>
      <c r="N924" s="23"/>
      <c r="O924" s="23"/>
      <c r="P924" s="23"/>
      <c r="Q924" s="23"/>
      <c r="R924" s="23"/>
      <c r="S924" s="23"/>
      <c r="T924" s="23"/>
      <c r="U924" s="23"/>
    </row>
    <row r="925" spans="1:21" x14ac:dyDescent="0.2">
      <c r="A925" s="23">
        <v>34</v>
      </c>
      <c r="B925" s="23">
        <v>1</v>
      </c>
      <c r="C925" s="23">
        <v>35.814999999999998</v>
      </c>
      <c r="D925" s="23">
        <v>0</v>
      </c>
      <c r="E925" s="23">
        <v>0</v>
      </c>
      <c r="F925" s="23">
        <v>0</v>
      </c>
      <c r="G925" s="23">
        <v>0</v>
      </c>
      <c r="H925" s="23">
        <v>0</v>
      </c>
      <c r="I925" s="23">
        <v>1</v>
      </c>
      <c r="J925" s="23">
        <v>4320.4108500000002</v>
      </c>
      <c r="N925" s="23"/>
      <c r="O925" s="23"/>
      <c r="P925" s="23"/>
      <c r="Q925" s="23"/>
      <c r="R925" s="23"/>
      <c r="S925" s="23"/>
      <c r="T925" s="23"/>
      <c r="U925" s="23"/>
    </row>
    <row r="926" spans="1:21" x14ac:dyDescent="0.2">
      <c r="A926" s="23">
        <v>43</v>
      </c>
      <c r="B926" s="23">
        <v>1</v>
      </c>
      <c r="C926" s="23">
        <v>23.2</v>
      </c>
      <c r="D926" s="23">
        <v>0</v>
      </c>
      <c r="E926" s="23">
        <v>0</v>
      </c>
      <c r="F926" s="23">
        <v>0</v>
      </c>
      <c r="G926" s="23">
        <v>0</v>
      </c>
      <c r="H926" s="23">
        <v>1</v>
      </c>
      <c r="I926" s="23">
        <v>0</v>
      </c>
      <c r="J926" s="23">
        <v>6250.4350000000004</v>
      </c>
      <c r="N926" s="23"/>
      <c r="O926" s="23"/>
      <c r="P926" s="23"/>
      <c r="Q926" s="23"/>
      <c r="R926" s="23"/>
      <c r="S926" s="23"/>
      <c r="T926" s="23"/>
      <c r="U926" s="23"/>
    </row>
    <row r="927" spans="1:21" x14ac:dyDescent="0.2">
      <c r="A927" s="23">
        <v>50</v>
      </c>
      <c r="B927" s="23">
        <v>1</v>
      </c>
      <c r="C927" s="23">
        <v>32.11</v>
      </c>
      <c r="D927" s="23">
        <v>2</v>
      </c>
      <c r="E927" s="23">
        <v>0</v>
      </c>
      <c r="F927" s="23">
        <v>1</v>
      </c>
      <c r="G927" s="23">
        <v>0</v>
      </c>
      <c r="H927" s="23">
        <v>0</v>
      </c>
      <c r="I927" s="23">
        <v>0</v>
      </c>
      <c r="J927" s="23">
        <v>25333.332839999999</v>
      </c>
      <c r="N927" s="23"/>
      <c r="O927" s="23"/>
      <c r="P927" s="23"/>
      <c r="Q927" s="23"/>
      <c r="R927" s="23"/>
      <c r="S927" s="23"/>
      <c r="T927" s="23"/>
      <c r="U927" s="23"/>
    </row>
    <row r="928" spans="1:21" x14ac:dyDescent="0.2">
      <c r="A928" s="23">
        <v>19</v>
      </c>
      <c r="B928" s="23">
        <v>0</v>
      </c>
      <c r="C928" s="23">
        <v>23.4</v>
      </c>
      <c r="D928" s="23">
        <v>2</v>
      </c>
      <c r="E928" s="23">
        <v>0</v>
      </c>
      <c r="F928" s="23">
        <v>0</v>
      </c>
      <c r="G928" s="23">
        <v>0</v>
      </c>
      <c r="H928" s="23">
        <v>1</v>
      </c>
      <c r="I928" s="23">
        <v>0</v>
      </c>
      <c r="J928" s="23">
        <v>2913.569</v>
      </c>
      <c r="N928" s="23"/>
      <c r="O928" s="23"/>
      <c r="P928" s="23"/>
      <c r="Q928" s="23"/>
      <c r="R928" s="23"/>
      <c r="S928" s="23"/>
      <c r="T928" s="23"/>
      <c r="U928" s="23"/>
    </row>
    <row r="929" spans="1:21" x14ac:dyDescent="0.2">
      <c r="A929" s="23">
        <v>57</v>
      </c>
      <c r="B929" s="23">
        <v>0</v>
      </c>
      <c r="C929" s="23">
        <v>20.100000000000001</v>
      </c>
      <c r="D929" s="23">
        <v>1</v>
      </c>
      <c r="E929" s="23">
        <v>0</v>
      </c>
      <c r="F929" s="23">
        <v>0</v>
      </c>
      <c r="G929" s="23">
        <v>0</v>
      </c>
      <c r="H929" s="23">
        <v>1</v>
      </c>
      <c r="I929" s="23">
        <v>0</v>
      </c>
      <c r="J929" s="23">
        <v>12032.325999999999</v>
      </c>
      <c r="N929" s="23"/>
      <c r="O929" s="23"/>
      <c r="P929" s="23"/>
      <c r="Q929" s="23"/>
      <c r="R929" s="23"/>
      <c r="S929" s="23"/>
      <c r="T929" s="23"/>
      <c r="U929" s="23"/>
    </row>
    <row r="930" spans="1:21" x14ac:dyDescent="0.2">
      <c r="A930" s="23">
        <v>62</v>
      </c>
      <c r="B930" s="23">
        <v>0</v>
      </c>
      <c r="C930" s="23">
        <v>39.159999999999997</v>
      </c>
      <c r="D930" s="23">
        <v>0</v>
      </c>
      <c r="E930" s="23">
        <v>0</v>
      </c>
      <c r="F930" s="23">
        <v>0</v>
      </c>
      <c r="G930" s="23">
        <v>1</v>
      </c>
      <c r="H930" s="23">
        <v>0</v>
      </c>
      <c r="I930" s="23">
        <v>0</v>
      </c>
      <c r="J930" s="23">
        <v>13470.804400000001</v>
      </c>
      <c r="N930" s="23"/>
      <c r="O930" s="23"/>
      <c r="P930" s="23"/>
      <c r="Q930" s="23"/>
      <c r="R930" s="23"/>
      <c r="S930" s="23"/>
      <c r="T930" s="23"/>
      <c r="U930" s="23"/>
    </row>
    <row r="931" spans="1:21" x14ac:dyDescent="0.2">
      <c r="A931" s="23">
        <v>41</v>
      </c>
      <c r="B931" s="23">
        <v>1</v>
      </c>
      <c r="C931" s="23">
        <v>34.21</v>
      </c>
      <c r="D931" s="23">
        <v>1</v>
      </c>
      <c r="E931" s="23">
        <v>0</v>
      </c>
      <c r="F931" s="23">
        <v>0</v>
      </c>
      <c r="G931" s="23">
        <v>1</v>
      </c>
      <c r="H931" s="23">
        <v>0</v>
      </c>
      <c r="I931" s="23">
        <v>0</v>
      </c>
      <c r="J931" s="23">
        <v>6289.7548999999999</v>
      </c>
      <c r="N931" s="23"/>
      <c r="O931" s="23"/>
      <c r="P931" s="23"/>
      <c r="Q931" s="23"/>
      <c r="R931" s="23"/>
      <c r="S931" s="23"/>
      <c r="T931" s="23"/>
      <c r="U931" s="23"/>
    </row>
    <row r="932" spans="1:21" x14ac:dyDescent="0.2">
      <c r="A932" s="23">
        <v>26</v>
      </c>
      <c r="B932" s="23">
        <v>1</v>
      </c>
      <c r="C932" s="23">
        <v>46.53</v>
      </c>
      <c r="D932" s="23">
        <v>1</v>
      </c>
      <c r="E932" s="23">
        <v>0</v>
      </c>
      <c r="F932" s="23">
        <v>0</v>
      </c>
      <c r="G932" s="23">
        <v>1</v>
      </c>
      <c r="H932" s="23">
        <v>0</v>
      </c>
      <c r="I932" s="23">
        <v>0</v>
      </c>
      <c r="J932" s="23">
        <v>2927.0646999999999</v>
      </c>
      <c r="N932" s="23"/>
      <c r="O932" s="23"/>
      <c r="P932" s="23"/>
      <c r="Q932" s="23"/>
      <c r="R932" s="23"/>
      <c r="S932" s="23"/>
      <c r="T932" s="23"/>
      <c r="U932" s="23"/>
    </row>
    <row r="933" spans="1:21" x14ac:dyDescent="0.2">
      <c r="A933" s="23">
        <v>39</v>
      </c>
      <c r="B933" s="23">
        <v>0</v>
      </c>
      <c r="C933" s="23">
        <v>32.5</v>
      </c>
      <c r="D933" s="23">
        <v>1</v>
      </c>
      <c r="E933" s="23">
        <v>0</v>
      </c>
      <c r="F933" s="23">
        <v>0</v>
      </c>
      <c r="G933" s="23">
        <v>0</v>
      </c>
      <c r="H933" s="23">
        <v>1</v>
      </c>
      <c r="I933" s="23">
        <v>0</v>
      </c>
      <c r="J933" s="23">
        <v>6238.2979999999998</v>
      </c>
      <c r="N933" s="23"/>
      <c r="O933" s="23"/>
      <c r="P933" s="23"/>
      <c r="Q933" s="23"/>
      <c r="R933" s="23"/>
      <c r="S933" s="23"/>
      <c r="T933" s="23"/>
      <c r="U933" s="23"/>
    </row>
    <row r="934" spans="1:21" x14ac:dyDescent="0.2">
      <c r="A934" s="23">
        <v>46</v>
      </c>
      <c r="B934" s="23">
        <v>1</v>
      </c>
      <c r="C934" s="23">
        <v>25.8</v>
      </c>
      <c r="D934" s="23">
        <v>5</v>
      </c>
      <c r="E934" s="23">
        <v>0</v>
      </c>
      <c r="F934" s="23">
        <v>0</v>
      </c>
      <c r="G934" s="23">
        <v>0</v>
      </c>
      <c r="H934" s="23">
        <v>1</v>
      </c>
      <c r="I934" s="23">
        <v>0</v>
      </c>
      <c r="J934" s="23">
        <v>10096.969999999999</v>
      </c>
      <c r="N934" s="23"/>
      <c r="O934" s="23"/>
      <c r="P934" s="23"/>
      <c r="Q934" s="23"/>
      <c r="R934" s="23"/>
      <c r="S934" s="23"/>
      <c r="T934" s="23"/>
      <c r="U934" s="23"/>
    </row>
    <row r="935" spans="1:21" x14ac:dyDescent="0.2">
      <c r="A935" s="23">
        <v>45</v>
      </c>
      <c r="B935" s="23">
        <v>0</v>
      </c>
      <c r="C935" s="23">
        <v>35.299999999999997</v>
      </c>
      <c r="D935" s="23">
        <v>0</v>
      </c>
      <c r="E935" s="23">
        <v>0</v>
      </c>
      <c r="F935" s="23">
        <v>0</v>
      </c>
      <c r="G935" s="23">
        <v>0</v>
      </c>
      <c r="H935" s="23">
        <v>1</v>
      </c>
      <c r="I935" s="23">
        <v>0</v>
      </c>
      <c r="J935" s="23">
        <v>7348.1419999999998</v>
      </c>
      <c r="N935" s="23"/>
      <c r="O935" s="23"/>
      <c r="P935" s="23"/>
      <c r="Q935" s="23"/>
      <c r="R935" s="23"/>
      <c r="S935" s="23"/>
      <c r="T935" s="23"/>
      <c r="U935" s="23"/>
    </row>
    <row r="936" spans="1:21" x14ac:dyDescent="0.2">
      <c r="A936" s="23">
        <v>32</v>
      </c>
      <c r="B936" s="23">
        <v>1</v>
      </c>
      <c r="C936" s="23">
        <v>37.18</v>
      </c>
      <c r="D936" s="23">
        <v>2</v>
      </c>
      <c r="E936" s="23">
        <v>0</v>
      </c>
      <c r="F936" s="23">
        <v>0</v>
      </c>
      <c r="G936" s="23">
        <v>1</v>
      </c>
      <c r="H936" s="23">
        <v>0</v>
      </c>
      <c r="I936" s="23">
        <v>0</v>
      </c>
      <c r="J936" s="23">
        <v>4673.3922000000002</v>
      </c>
      <c r="N936" s="23"/>
      <c r="O936" s="23"/>
      <c r="P936" s="23"/>
      <c r="Q936" s="23"/>
      <c r="R936" s="23"/>
      <c r="S936" s="23"/>
      <c r="T936" s="23"/>
      <c r="U936" s="23"/>
    </row>
    <row r="937" spans="1:21" x14ac:dyDescent="0.2">
      <c r="A937" s="23">
        <v>59</v>
      </c>
      <c r="B937" s="23">
        <v>0</v>
      </c>
      <c r="C937" s="23">
        <v>27.5</v>
      </c>
      <c r="D937" s="23">
        <v>0</v>
      </c>
      <c r="E937" s="23">
        <v>0</v>
      </c>
      <c r="F937" s="23">
        <v>0</v>
      </c>
      <c r="G937" s="23">
        <v>0</v>
      </c>
      <c r="H937" s="23">
        <v>1</v>
      </c>
      <c r="I937" s="23">
        <v>0</v>
      </c>
      <c r="J937" s="23">
        <v>12233.828</v>
      </c>
      <c r="N937" s="23"/>
      <c r="O937" s="23"/>
      <c r="P937" s="23"/>
      <c r="Q937" s="23"/>
      <c r="R937" s="23"/>
      <c r="S937" s="23"/>
      <c r="T937" s="23"/>
      <c r="U937" s="23"/>
    </row>
    <row r="938" spans="1:21" x14ac:dyDescent="0.2">
      <c r="A938" s="23">
        <v>44</v>
      </c>
      <c r="B938" s="23">
        <v>1</v>
      </c>
      <c r="C938" s="23">
        <v>29.734999999999999</v>
      </c>
      <c r="D938" s="23">
        <v>2</v>
      </c>
      <c r="E938" s="23">
        <v>0</v>
      </c>
      <c r="F938" s="23">
        <v>1</v>
      </c>
      <c r="G938" s="23">
        <v>0</v>
      </c>
      <c r="H938" s="23">
        <v>0</v>
      </c>
      <c r="I938" s="23">
        <v>0</v>
      </c>
      <c r="J938" s="23">
        <v>32108.662820000001</v>
      </c>
      <c r="N938" s="23"/>
      <c r="O938" s="23"/>
      <c r="P938" s="23"/>
      <c r="Q938" s="23"/>
      <c r="R938" s="23"/>
      <c r="S938" s="23"/>
      <c r="T938" s="23"/>
      <c r="U938" s="23"/>
    </row>
    <row r="939" spans="1:21" x14ac:dyDescent="0.2">
      <c r="A939" s="23">
        <v>39</v>
      </c>
      <c r="B939" s="23">
        <v>0</v>
      </c>
      <c r="C939" s="23">
        <v>24.225000000000001</v>
      </c>
      <c r="D939" s="23">
        <v>5</v>
      </c>
      <c r="E939" s="23">
        <v>0</v>
      </c>
      <c r="F939" s="23">
        <v>0</v>
      </c>
      <c r="G939" s="23">
        <v>0</v>
      </c>
      <c r="H939" s="23">
        <v>0</v>
      </c>
      <c r="I939" s="23">
        <v>1</v>
      </c>
      <c r="J939" s="23">
        <v>8965.7957499999993</v>
      </c>
      <c r="N939" s="23"/>
      <c r="O939" s="23"/>
      <c r="P939" s="23"/>
      <c r="Q939" s="23"/>
      <c r="R939" s="23"/>
      <c r="S939" s="23"/>
      <c r="T939" s="23"/>
      <c r="U939" s="23"/>
    </row>
    <row r="940" spans="1:21" x14ac:dyDescent="0.2">
      <c r="A940" s="23">
        <v>18</v>
      </c>
      <c r="B940" s="23">
        <v>1</v>
      </c>
      <c r="C940" s="23">
        <v>26.18</v>
      </c>
      <c r="D940" s="23">
        <v>2</v>
      </c>
      <c r="E940" s="23">
        <v>0</v>
      </c>
      <c r="F940" s="23">
        <v>0</v>
      </c>
      <c r="G940" s="23">
        <v>1</v>
      </c>
      <c r="H940" s="23">
        <v>0</v>
      </c>
      <c r="I940" s="23">
        <v>0</v>
      </c>
      <c r="J940" s="23">
        <v>2304.0021999999999</v>
      </c>
      <c r="N940" s="23"/>
      <c r="O940" s="23"/>
      <c r="P940" s="23"/>
      <c r="Q940" s="23"/>
      <c r="R940" s="23"/>
      <c r="S940" s="23"/>
      <c r="T940" s="23"/>
      <c r="U940" s="23"/>
    </row>
    <row r="941" spans="1:21" x14ac:dyDescent="0.2">
      <c r="A941" s="23">
        <v>53</v>
      </c>
      <c r="B941" s="23">
        <v>1</v>
      </c>
      <c r="C941" s="23">
        <v>29.48</v>
      </c>
      <c r="D941" s="23">
        <v>0</v>
      </c>
      <c r="E941" s="23">
        <v>0</v>
      </c>
      <c r="F941" s="23">
        <v>0</v>
      </c>
      <c r="G941" s="23">
        <v>1</v>
      </c>
      <c r="H941" s="23">
        <v>0</v>
      </c>
      <c r="I941" s="23">
        <v>0</v>
      </c>
      <c r="J941" s="23">
        <v>9487.6442000000006</v>
      </c>
      <c r="N941" s="23"/>
      <c r="O941" s="23"/>
      <c r="P941" s="23"/>
      <c r="Q941" s="23"/>
      <c r="R941" s="23"/>
      <c r="S941" s="23"/>
      <c r="T941" s="23"/>
      <c r="U941" s="23"/>
    </row>
    <row r="942" spans="1:21" x14ac:dyDescent="0.2">
      <c r="A942" s="23">
        <v>18</v>
      </c>
      <c r="B942" s="23">
        <v>1</v>
      </c>
      <c r="C942" s="23">
        <v>23.21</v>
      </c>
      <c r="D942" s="23">
        <v>0</v>
      </c>
      <c r="E942" s="23">
        <v>0</v>
      </c>
      <c r="F942" s="23">
        <v>0</v>
      </c>
      <c r="G942" s="23">
        <v>1</v>
      </c>
      <c r="H942" s="23">
        <v>0</v>
      </c>
      <c r="I942" s="23">
        <v>0</v>
      </c>
      <c r="J942" s="23">
        <v>1121.8739</v>
      </c>
      <c r="N942" s="23"/>
      <c r="O942" s="23"/>
      <c r="P942" s="23"/>
      <c r="Q942" s="23"/>
      <c r="R942" s="23"/>
      <c r="S942" s="23"/>
      <c r="T942" s="23"/>
      <c r="U942" s="23"/>
    </row>
    <row r="943" spans="1:21" x14ac:dyDescent="0.2">
      <c r="A943" s="23">
        <v>50</v>
      </c>
      <c r="B943" s="23">
        <v>0</v>
      </c>
      <c r="C943" s="23">
        <v>46.09</v>
      </c>
      <c r="D943" s="23">
        <v>1</v>
      </c>
      <c r="E943" s="23">
        <v>0</v>
      </c>
      <c r="F943" s="23">
        <v>0</v>
      </c>
      <c r="G943" s="23">
        <v>1</v>
      </c>
      <c r="H943" s="23">
        <v>0</v>
      </c>
      <c r="I943" s="23">
        <v>0</v>
      </c>
      <c r="J943" s="23">
        <v>9549.5650999999998</v>
      </c>
      <c r="N943" s="23"/>
      <c r="O943" s="23"/>
      <c r="P943" s="23"/>
      <c r="Q943" s="23"/>
      <c r="R943" s="23"/>
      <c r="S943" s="23"/>
      <c r="T943" s="23"/>
      <c r="U943" s="23"/>
    </row>
    <row r="944" spans="1:21" x14ac:dyDescent="0.2">
      <c r="A944" s="23">
        <v>18</v>
      </c>
      <c r="B944" s="23">
        <v>0</v>
      </c>
      <c r="C944" s="23">
        <v>40.185000000000002</v>
      </c>
      <c r="D944" s="23">
        <v>0</v>
      </c>
      <c r="E944" s="23">
        <v>0</v>
      </c>
      <c r="F944" s="23">
        <v>1</v>
      </c>
      <c r="G944" s="23">
        <v>0</v>
      </c>
      <c r="H944" s="23">
        <v>0</v>
      </c>
      <c r="I944" s="23">
        <v>0</v>
      </c>
      <c r="J944" s="23">
        <v>2217.4691499999999</v>
      </c>
      <c r="N944" s="23"/>
      <c r="O944" s="23"/>
      <c r="P944" s="23"/>
      <c r="Q944" s="23"/>
      <c r="R944" s="23"/>
      <c r="S944" s="23"/>
      <c r="T944" s="23"/>
      <c r="U944" s="23"/>
    </row>
    <row r="945" spans="1:21" x14ac:dyDescent="0.2">
      <c r="A945" s="23">
        <v>19</v>
      </c>
      <c r="B945" s="23">
        <v>1</v>
      </c>
      <c r="C945" s="23">
        <v>22.61</v>
      </c>
      <c r="D945" s="23">
        <v>0</v>
      </c>
      <c r="E945" s="23">
        <v>0</v>
      </c>
      <c r="F945" s="23">
        <v>0</v>
      </c>
      <c r="G945" s="23">
        <v>0</v>
      </c>
      <c r="H945" s="23">
        <v>0</v>
      </c>
      <c r="I945" s="23">
        <v>1</v>
      </c>
      <c r="J945" s="23">
        <v>1628.4709</v>
      </c>
      <c r="N945" s="23"/>
      <c r="O945" s="23"/>
      <c r="P945" s="23"/>
      <c r="Q945" s="23"/>
      <c r="R945" s="23"/>
      <c r="S945" s="23"/>
      <c r="T945" s="23"/>
      <c r="U945" s="23"/>
    </row>
    <row r="946" spans="1:21" x14ac:dyDescent="0.2">
      <c r="A946" s="23">
        <v>62</v>
      </c>
      <c r="B946" s="23">
        <v>1</v>
      </c>
      <c r="C946" s="23">
        <v>39.93</v>
      </c>
      <c r="D946" s="23">
        <v>0</v>
      </c>
      <c r="E946" s="23">
        <v>0</v>
      </c>
      <c r="F946" s="23">
        <v>0</v>
      </c>
      <c r="G946" s="23">
        <v>1</v>
      </c>
      <c r="H946" s="23">
        <v>0</v>
      </c>
      <c r="I946" s="23">
        <v>0</v>
      </c>
      <c r="J946" s="23">
        <v>12982.8747</v>
      </c>
      <c r="N946" s="23"/>
      <c r="O946" s="23"/>
      <c r="P946" s="23"/>
      <c r="Q946" s="23"/>
      <c r="R946" s="23"/>
      <c r="S946" s="23"/>
      <c r="T946" s="23"/>
      <c r="U946" s="23"/>
    </row>
    <row r="947" spans="1:21" x14ac:dyDescent="0.2">
      <c r="A947" s="23">
        <v>56</v>
      </c>
      <c r="B947" s="23">
        <v>0</v>
      </c>
      <c r="C947" s="23">
        <v>35.799999999999997</v>
      </c>
      <c r="D947" s="23">
        <v>1</v>
      </c>
      <c r="E947" s="23">
        <v>0</v>
      </c>
      <c r="F947" s="23">
        <v>0</v>
      </c>
      <c r="G947" s="23">
        <v>0</v>
      </c>
      <c r="H947" s="23">
        <v>1</v>
      </c>
      <c r="I947" s="23">
        <v>0</v>
      </c>
      <c r="J947" s="23">
        <v>11674.13</v>
      </c>
      <c r="N947" s="23"/>
      <c r="O947" s="23"/>
      <c r="P947" s="23"/>
      <c r="Q947" s="23"/>
      <c r="R947" s="23"/>
      <c r="S947" s="23"/>
      <c r="T947" s="23"/>
      <c r="U947" s="23"/>
    </row>
    <row r="948" spans="1:21" x14ac:dyDescent="0.2">
      <c r="A948" s="23">
        <v>42</v>
      </c>
      <c r="B948" s="23">
        <v>1</v>
      </c>
      <c r="C948" s="23">
        <v>35.799999999999997</v>
      </c>
      <c r="D948" s="23">
        <v>2</v>
      </c>
      <c r="E948" s="23">
        <v>0</v>
      </c>
      <c r="F948" s="23">
        <v>0</v>
      </c>
      <c r="G948" s="23">
        <v>0</v>
      </c>
      <c r="H948" s="23">
        <v>1</v>
      </c>
      <c r="I948" s="23">
        <v>0</v>
      </c>
      <c r="J948" s="23">
        <v>7160.0940000000001</v>
      </c>
      <c r="N948" s="23"/>
      <c r="O948" s="23"/>
      <c r="P948" s="23"/>
      <c r="Q948" s="23"/>
      <c r="R948" s="23"/>
      <c r="S948" s="23"/>
      <c r="T948" s="23"/>
      <c r="U948" s="23"/>
    </row>
    <row r="949" spans="1:21" x14ac:dyDescent="0.2">
      <c r="A949" s="23">
        <v>37</v>
      </c>
      <c r="B949" s="23">
        <v>1</v>
      </c>
      <c r="C949" s="23">
        <v>34.200000000000003</v>
      </c>
      <c r="D949" s="23">
        <v>1</v>
      </c>
      <c r="E949" s="23">
        <v>1</v>
      </c>
      <c r="F949" s="23">
        <v>1</v>
      </c>
      <c r="G949" s="23">
        <v>0</v>
      </c>
      <c r="H949" s="23">
        <v>0</v>
      </c>
      <c r="I949" s="23">
        <v>0</v>
      </c>
      <c r="J949" s="23">
        <v>39047.285000000003</v>
      </c>
      <c r="N949" s="23"/>
      <c r="O949" s="23"/>
      <c r="P949" s="23"/>
      <c r="Q949" s="23"/>
      <c r="R949" s="23"/>
      <c r="S949" s="23"/>
      <c r="T949" s="23"/>
      <c r="U949" s="23"/>
    </row>
    <row r="950" spans="1:21" x14ac:dyDescent="0.2">
      <c r="A950" s="23">
        <v>42</v>
      </c>
      <c r="B950" s="23">
        <v>1</v>
      </c>
      <c r="C950" s="23">
        <v>31.254999999999999</v>
      </c>
      <c r="D950" s="23">
        <v>0</v>
      </c>
      <c r="E950" s="23">
        <v>0</v>
      </c>
      <c r="F950" s="23">
        <v>0</v>
      </c>
      <c r="G950" s="23">
        <v>0</v>
      </c>
      <c r="H950" s="23">
        <v>0</v>
      </c>
      <c r="I950" s="23">
        <v>1</v>
      </c>
      <c r="J950" s="23">
        <v>6358.7764500000003</v>
      </c>
      <c r="N950" s="23"/>
      <c r="O950" s="23"/>
      <c r="P950" s="23"/>
      <c r="Q950" s="23"/>
      <c r="R950" s="23"/>
      <c r="S950" s="23"/>
      <c r="T950" s="23"/>
      <c r="U950" s="23"/>
    </row>
    <row r="951" spans="1:21" x14ac:dyDescent="0.2">
      <c r="A951" s="23">
        <v>25</v>
      </c>
      <c r="B951" s="23">
        <v>1</v>
      </c>
      <c r="C951" s="23">
        <v>29.7</v>
      </c>
      <c r="D951" s="23">
        <v>3</v>
      </c>
      <c r="E951" s="23">
        <v>1</v>
      </c>
      <c r="F951" s="23">
        <v>0</v>
      </c>
      <c r="G951" s="23">
        <v>0</v>
      </c>
      <c r="H951" s="23">
        <v>1</v>
      </c>
      <c r="I951" s="23">
        <v>0</v>
      </c>
      <c r="J951" s="23">
        <v>19933.457999999999</v>
      </c>
      <c r="N951" s="23"/>
      <c r="O951" s="23"/>
      <c r="P951" s="23"/>
      <c r="Q951" s="23"/>
      <c r="R951" s="23"/>
      <c r="S951" s="23"/>
      <c r="T951" s="23"/>
      <c r="U951" s="23"/>
    </row>
    <row r="952" spans="1:21" x14ac:dyDescent="0.2">
      <c r="A952" s="23">
        <v>57</v>
      </c>
      <c r="B952" s="23">
        <v>1</v>
      </c>
      <c r="C952" s="23">
        <v>18.335000000000001</v>
      </c>
      <c r="D952" s="23">
        <v>0</v>
      </c>
      <c r="E952" s="23">
        <v>0</v>
      </c>
      <c r="F952" s="23">
        <v>1</v>
      </c>
      <c r="G952" s="23">
        <v>0</v>
      </c>
      <c r="H952" s="23">
        <v>0</v>
      </c>
      <c r="I952" s="23">
        <v>0</v>
      </c>
      <c r="J952" s="23">
        <v>11534.872649999999</v>
      </c>
      <c r="N952" s="23"/>
      <c r="O952" s="23"/>
      <c r="P952" s="23"/>
      <c r="Q952" s="23"/>
      <c r="R952" s="23"/>
      <c r="S952" s="23"/>
      <c r="T952" s="23"/>
      <c r="U952" s="23"/>
    </row>
    <row r="953" spans="1:21" x14ac:dyDescent="0.2">
      <c r="A953" s="23">
        <v>51</v>
      </c>
      <c r="B953" s="23">
        <v>1</v>
      </c>
      <c r="C953" s="23">
        <v>42.9</v>
      </c>
      <c r="D953" s="23">
        <v>2</v>
      </c>
      <c r="E953" s="23">
        <v>1</v>
      </c>
      <c r="F953" s="23">
        <v>0</v>
      </c>
      <c r="G953" s="23">
        <v>1</v>
      </c>
      <c r="H953" s="23">
        <v>0</v>
      </c>
      <c r="I953" s="23">
        <v>0</v>
      </c>
      <c r="J953" s="23">
        <v>47462.894</v>
      </c>
      <c r="N953" s="23"/>
      <c r="O953" s="23"/>
      <c r="P953" s="23"/>
      <c r="Q953" s="23"/>
      <c r="R953" s="23"/>
      <c r="S953" s="23"/>
      <c r="T953" s="23"/>
      <c r="U953" s="23"/>
    </row>
    <row r="954" spans="1:21" x14ac:dyDescent="0.2">
      <c r="A954" s="23">
        <v>30</v>
      </c>
      <c r="B954" s="23">
        <v>0</v>
      </c>
      <c r="C954" s="23">
        <v>28.405000000000001</v>
      </c>
      <c r="D954" s="23">
        <v>1</v>
      </c>
      <c r="E954" s="23">
        <v>0</v>
      </c>
      <c r="F954" s="23">
        <v>0</v>
      </c>
      <c r="G954" s="23">
        <v>0</v>
      </c>
      <c r="H954" s="23">
        <v>0</v>
      </c>
      <c r="I954" s="23">
        <v>1</v>
      </c>
      <c r="J954" s="23">
        <v>4527.1829500000003</v>
      </c>
      <c r="N954" s="23"/>
      <c r="O954" s="23"/>
      <c r="P954" s="23"/>
      <c r="Q954" s="23"/>
      <c r="R954" s="23"/>
      <c r="S954" s="23"/>
      <c r="T954" s="23"/>
      <c r="U954" s="23"/>
    </row>
    <row r="955" spans="1:21" x14ac:dyDescent="0.2">
      <c r="A955" s="23">
        <v>44</v>
      </c>
      <c r="B955" s="23">
        <v>1</v>
      </c>
      <c r="C955" s="23">
        <v>30.2</v>
      </c>
      <c r="D955" s="23">
        <v>2</v>
      </c>
      <c r="E955" s="23">
        <v>1</v>
      </c>
      <c r="F955" s="23">
        <v>0</v>
      </c>
      <c r="G955" s="23">
        <v>0</v>
      </c>
      <c r="H955" s="23">
        <v>1</v>
      </c>
      <c r="I955" s="23">
        <v>0</v>
      </c>
      <c r="J955" s="23">
        <v>38998.546000000002</v>
      </c>
      <c r="N955" s="23"/>
      <c r="O955" s="23"/>
      <c r="P955" s="23"/>
      <c r="Q955" s="23"/>
      <c r="R955" s="23"/>
      <c r="S955" s="23"/>
      <c r="T955" s="23"/>
      <c r="U955" s="23"/>
    </row>
    <row r="956" spans="1:21" x14ac:dyDescent="0.2">
      <c r="A956" s="23">
        <v>34</v>
      </c>
      <c r="B956" s="23">
        <v>1</v>
      </c>
      <c r="C956" s="23">
        <v>27.835000000000001</v>
      </c>
      <c r="D956" s="23">
        <v>1</v>
      </c>
      <c r="E956" s="23">
        <v>1</v>
      </c>
      <c r="F956" s="23">
        <v>0</v>
      </c>
      <c r="G956" s="23">
        <v>0</v>
      </c>
      <c r="H956" s="23">
        <v>0</v>
      </c>
      <c r="I956" s="23">
        <v>1</v>
      </c>
      <c r="J956" s="23">
        <v>20009.63365</v>
      </c>
      <c r="N956" s="23"/>
      <c r="O956" s="23"/>
      <c r="P956" s="23"/>
      <c r="Q956" s="23"/>
      <c r="R956" s="23"/>
      <c r="S956" s="23"/>
      <c r="T956" s="23"/>
      <c r="U956" s="23"/>
    </row>
    <row r="957" spans="1:21" x14ac:dyDescent="0.2">
      <c r="A957" s="23">
        <v>31</v>
      </c>
      <c r="B957" s="23">
        <v>1</v>
      </c>
      <c r="C957" s="23">
        <v>39.49</v>
      </c>
      <c r="D957" s="23">
        <v>1</v>
      </c>
      <c r="E957" s="23">
        <v>0</v>
      </c>
      <c r="F957" s="23">
        <v>0</v>
      </c>
      <c r="G957" s="23">
        <v>1</v>
      </c>
      <c r="H957" s="23">
        <v>0</v>
      </c>
      <c r="I957" s="23">
        <v>0</v>
      </c>
      <c r="J957" s="23">
        <v>3875.7341000000001</v>
      </c>
      <c r="N957" s="23"/>
      <c r="O957" s="23"/>
      <c r="P957" s="23"/>
      <c r="Q957" s="23"/>
      <c r="R957" s="23"/>
      <c r="S957" s="23"/>
      <c r="T957" s="23"/>
      <c r="U957" s="23"/>
    </row>
    <row r="958" spans="1:21" x14ac:dyDescent="0.2">
      <c r="A958" s="23">
        <v>54</v>
      </c>
      <c r="B958" s="23">
        <v>1</v>
      </c>
      <c r="C958" s="23">
        <v>30.8</v>
      </c>
      <c r="D958" s="23">
        <v>1</v>
      </c>
      <c r="E958" s="23">
        <v>1</v>
      </c>
      <c r="F958" s="23">
        <v>0</v>
      </c>
      <c r="G958" s="23">
        <v>1</v>
      </c>
      <c r="H958" s="23">
        <v>0</v>
      </c>
      <c r="I958" s="23">
        <v>0</v>
      </c>
      <c r="J958" s="23">
        <v>41999.519999999997</v>
      </c>
      <c r="N958" s="23"/>
      <c r="O958" s="23"/>
      <c r="P958" s="23"/>
      <c r="Q958" s="23"/>
      <c r="R958" s="23"/>
      <c r="S958" s="23"/>
      <c r="T958" s="23"/>
      <c r="U958" s="23"/>
    </row>
    <row r="959" spans="1:21" x14ac:dyDescent="0.2">
      <c r="A959" s="23">
        <v>24</v>
      </c>
      <c r="B959" s="23">
        <v>1</v>
      </c>
      <c r="C959" s="23">
        <v>26.79</v>
      </c>
      <c r="D959" s="23">
        <v>1</v>
      </c>
      <c r="E959" s="23">
        <v>0</v>
      </c>
      <c r="F959" s="23">
        <v>0</v>
      </c>
      <c r="G959" s="23">
        <v>0</v>
      </c>
      <c r="H959" s="23">
        <v>0</v>
      </c>
      <c r="I959" s="23">
        <v>1</v>
      </c>
      <c r="J959" s="23">
        <v>12609.88702</v>
      </c>
      <c r="N959" s="23"/>
      <c r="O959" s="23"/>
      <c r="P959" s="23"/>
      <c r="Q959" s="23"/>
      <c r="R959" s="23"/>
      <c r="S959" s="23"/>
      <c r="T959" s="23"/>
      <c r="U959" s="23"/>
    </row>
    <row r="960" spans="1:21" x14ac:dyDescent="0.2">
      <c r="A960" s="23">
        <v>43</v>
      </c>
      <c r="B960" s="23">
        <v>1</v>
      </c>
      <c r="C960" s="23">
        <v>34.96</v>
      </c>
      <c r="D960" s="23">
        <v>1</v>
      </c>
      <c r="E960" s="23">
        <v>1</v>
      </c>
      <c r="F960" s="23">
        <v>1</v>
      </c>
      <c r="G960" s="23">
        <v>0</v>
      </c>
      <c r="H960" s="23">
        <v>0</v>
      </c>
      <c r="I960" s="23">
        <v>0</v>
      </c>
      <c r="J960" s="23">
        <v>41034.221400000002</v>
      </c>
      <c r="N960" s="23"/>
      <c r="O960" s="23"/>
      <c r="P960" s="23"/>
      <c r="Q960" s="23"/>
      <c r="R960" s="23"/>
      <c r="S960" s="23"/>
      <c r="T960" s="23"/>
      <c r="U960" s="23"/>
    </row>
    <row r="961" spans="1:21" x14ac:dyDescent="0.2">
      <c r="A961" s="23">
        <v>48</v>
      </c>
      <c r="B961" s="23">
        <v>1</v>
      </c>
      <c r="C961" s="23">
        <v>36.67</v>
      </c>
      <c r="D961" s="23">
        <v>1</v>
      </c>
      <c r="E961" s="23">
        <v>0</v>
      </c>
      <c r="F961" s="23">
        <v>0</v>
      </c>
      <c r="G961" s="23">
        <v>0</v>
      </c>
      <c r="H961" s="23">
        <v>0</v>
      </c>
      <c r="I961" s="23">
        <v>1</v>
      </c>
      <c r="J961" s="23">
        <v>28468.919010000001</v>
      </c>
      <c r="N961" s="23"/>
      <c r="O961" s="23"/>
      <c r="P961" s="23"/>
      <c r="Q961" s="23"/>
      <c r="R961" s="23"/>
      <c r="S961" s="23"/>
      <c r="T961" s="23"/>
      <c r="U961" s="23"/>
    </row>
    <row r="962" spans="1:21" x14ac:dyDescent="0.2">
      <c r="A962" s="23">
        <v>19</v>
      </c>
      <c r="B962" s="23">
        <v>0</v>
      </c>
      <c r="C962" s="23">
        <v>39.615000000000002</v>
      </c>
      <c r="D962" s="23">
        <v>1</v>
      </c>
      <c r="E962" s="23">
        <v>0</v>
      </c>
      <c r="F962" s="23">
        <v>0</v>
      </c>
      <c r="G962" s="23">
        <v>0</v>
      </c>
      <c r="H962" s="23">
        <v>0</v>
      </c>
      <c r="I962" s="23">
        <v>1</v>
      </c>
      <c r="J962" s="23">
        <v>2730.1078499999999</v>
      </c>
      <c r="N962" s="23"/>
      <c r="O962" s="23"/>
      <c r="P962" s="23"/>
      <c r="Q962" s="23"/>
      <c r="R962" s="23"/>
      <c r="S962" s="23"/>
      <c r="T962" s="23"/>
      <c r="U962" s="23"/>
    </row>
    <row r="963" spans="1:21" x14ac:dyDescent="0.2">
      <c r="A963" s="23">
        <v>29</v>
      </c>
      <c r="B963" s="23">
        <v>0</v>
      </c>
      <c r="C963" s="23">
        <v>25.9</v>
      </c>
      <c r="D963" s="23">
        <v>0</v>
      </c>
      <c r="E963" s="23">
        <v>0</v>
      </c>
      <c r="F963" s="23">
        <v>0</v>
      </c>
      <c r="G963" s="23">
        <v>0</v>
      </c>
      <c r="H963" s="23">
        <v>1</v>
      </c>
      <c r="I963" s="23">
        <v>0</v>
      </c>
      <c r="J963" s="23">
        <v>3353.2840000000001</v>
      </c>
      <c r="N963" s="23"/>
      <c r="O963" s="23"/>
      <c r="P963" s="23"/>
      <c r="Q963" s="23"/>
      <c r="R963" s="23"/>
      <c r="S963" s="23"/>
      <c r="T963" s="23"/>
      <c r="U963" s="23"/>
    </row>
    <row r="964" spans="1:21" x14ac:dyDescent="0.2">
      <c r="A964" s="23">
        <v>63</v>
      </c>
      <c r="B964" s="23">
        <v>0</v>
      </c>
      <c r="C964" s="23">
        <v>35.200000000000003</v>
      </c>
      <c r="D964" s="23">
        <v>1</v>
      </c>
      <c r="E964" s="23">
        <v>0</v>
      </c>
      <c r="F964" s="23">
        <v>0</v>
      </c>
      <c r="G964" s="23">
        <v>1</v>
      </c>
      <c r="H964" s="23">
        <v>0</v>
      </c>
      <c r="I964" s="23">
        <v>0</v>
      </c>
      <c r="J964" s="23">
        <v>14474.674999999999</v>
      </c>
      <c r="N964" s="23"/>
      <c r="O964" s="23"/>
      <c r="P964" s="23"/>
      <c r="Q964" s="23"/>
      <c r="R964" s="23"/>
      <c r="S964" s="23"/>
      <c r="T964" s="23"/>
      <c r="U964" s="23"/>
    </row>
    <row r="965" spans="1:21" x14ac:dyDescent="0.2">
      <c r="A965" s="23">
        <v>46</v>
      </c>
      <c r="B965" s="23">
        <v>1</v>
      </c>
      <c r="C965" s="23">
        <v>24.795000000000002</v>
      </c>
      <c r="D965" s="23">
        <v>3</v>
      </c>
      <c r="E965" s="23">
        <v>0</v>
      </c>
      <c r="F965" s="23">
        <v>1</v>
      </c>
      <c r="G965" s="23">
        <v>0</v>
      </c>
      <c r="H965" s="23">
        <v>0</v>
      </c>
      <c r="I965" s="23">
        <v>0</v>
      </c>
      <c r="J965" s="23">
        <v>9500.5730500000009</v>
      </c>
      <c r="N965" s="23"/>
      <c r="O965" s="23"/>
      <c r="P965" s="23"/>
      <c r="Q965" s="23"/>
      <c r="R965" s="23"/>
      <c r="S965" s="23"/>
      <c r="T965" s="23"/>
      <c r="U965" s="23"/>
    </row>
    <row r="966" spans="1:21" x14ac:dyDescent="0.2">
      <c r="A966" s="23">
        <v>52</v>
      </c>
      <c r="B966" s="23">
        <v>1</v>
      </c>
      <c r="C966" s="23">
        <v>36.765000000000001</v>
      </c>
      <c r="D966" s="23">
        <v>2</v>
      </c>
      <c r="E966" s="23">
        <v>0</v>
      </c>
      <c r="F966" s="23">
        <v>0</v>
      </c>
      <c r="G966" s="23">
        <v>0</v>
      </c>
      <c r="H966" s="23">
        <v>0</v>
      </c>
      <c r="I966" s="23">
        <v>1</v>
      </c>
      <c r="J966" s="23">
        <v>26467.09737</v>
      </c>
      <c r="N966" s="23"/>
      <c r="O966" s="23"/>
      <c r="P966" s="23"/>
      <c r="Q966" s="23"/>
      <c r="R966" s="23"/>
      <c r="S966" s="23"/>
      <c r="T966" s="23"/>
      <c r="U966" s="23"/>
    </row>
    <row r="967" spans="1:21" x14ac:dyDescent="0.2">
      <c r="A967" s="23">
        <v>35</v>
      </c>
      <c r="B967" s="23">
        <v>1</v>
      </c>
      <c r="C967" s="23">
        <v>27.1</v>
      </c>
      <c r="D967" s="23">
        <v>1</v>
      </c>
      <c r="E967" s="23">
        <v>0</v>
      </c>
      <c r="F967" s="23">
        <v>0</v>
      </c>
      <c r="G967" s="23">
        <v>0</v>
      </c>
      <c r="H967" s="23">
        <v>1</v>
      </c>
      <c r="I967" s="23">
        <v>0</v>
      </c>
      <c r="J967" s="23">
        <v>4746.3440000000001</v>
      </c>
      <c r="N967" s="23"/>
      <c r="O967" s="23"/>
      <c r="P967" s="23"/>
      <c r="Q967" s="23"/>
      <c r="R967" s="23"/>
      <c r="S967" s="23"/>
      <c r="T967" s="23"/>
      <c r="U967" s="23"/>
    </row>
    <row r="968" spans="1:21" x14ac:dyDescent="0.2">
      <c r="A968" s="23">
        <v>51</v>
      </c>
      <c r="B968" s="23">
        <v>1</v>
      </c>
      <c r="C968" s="23">
        <v>24.795000000000002</v>
      </c>
      <c r="D968" s="23">
        <v>2</v>
      </c>
      <c r="E968" s="23">
        <v>1</v>
      </c>
      <c r="F968" s="23">
        <v>0</v>
      </c>
      <c r="G968" s="23">
        <v>0</v>
      </c>
      <c r="H968" s="23">
        <v>0</v>
      </c>
      <c r="I968" s="23">
        <v>1</v>
      </c>
      <c r="J968" s="23">
        <v>23967.38305</v>
      </c>
      <c r="N968" s="23"/>
      <c r="O968" s="23"/>
      <c r="P968" s="23"/>
      <c r="Q968" s="23"/>
      <c r="R968" s="23"/>
      <c r="S968" s="23"/>
      <c r="T968" s="23"/>
      <c r="U968" s="23"/>
    </row>
    <row r="969" spans="1:21" x14ac:dyDescent="0.2">
      <c r="A969" s="23">
        <v>44</v>
      </c>
      <c r="B969" s="23">
        <v>1</v>
      </c>
      <c r="C969" s="23">
        <v>25.364999999999998</v>
      </c>
      <c r="D969" s="23">
        <v>1</v>
      </c>
      <c r="E969" s="23">
        <v>0</v>
      </c>
      <c r="F969" s="23">
        <v>0</v>
      </c>
      <c r="G969" s="23">
        <v>0</v>
      </c>
      <c r="H969" s="23">
        <v>0</v>
      </c>
      <c r="I969" s="23">
        <v>1</v>
      </c>
      <c r="J969" s="23">
        <v>7518.0253499999999</v>
      </c>
      <c r="N969" s="23"/>
      <c r="O969" s="23"/>
      <c r="P969" s="23"/>
      <c r="Q969" s="23"/>
      <c r="R969" s="23"/>
      <c r="S969" s="23"/>
      <c r="T969" s="23"/>
      <c r="U969" s="23"/>
    </row>
    <row r="970" spans="1:21" x14ac:dyDescent="0.2">
      <c r="A970" s="23">
        <v>21</v>
      </c>
      <c r="B970" s="23">
        <v>1</v>
      </c>
      <c r="C970" s="23">
        <v>25.745000000000001</v>
      </c>
      <c r="D970" s="23">
        <v>2</v>
      </c>
      <c r="E970" s="23">
        <v>0</v>
      </c>
      <c r="F970" s="23">
        <v>1</v>
      </c>
      <c r="G970" s="23">
        <v>0</v>
      </c>
      <c r="H970" s="23">
        <v>0</v>
      </c>
      <c r="I970" s="23">
        <v>0</v>
      </c>
      <c r="J970" s="23">
        <v>3279.8685500000001</v>
      </c>
      <c r="N970" s="23"/>
      <c r="O970" s="23"/>
      <c r="P970" s="23"/>
      <c r="Q970" s="23"/>
      <c r="R970" s="23"/>
      <c r="S970" s="23"/>
      <c r="T970" s="23"/>
      <c r="U970" s="23"/>
    </row>
    <row r="971" spans="1:21" x14ac:dyDescent="0.2">
      <c r="A971" s="23">
        <v>39</v>
      </c>
      <c r="B971" s="23">
        <v>0</v>
      </c>
      <c r="C971" s="23">
        <v>34.32</v>
      </c>
      <c r="D971" s="23">
        <v>5</v>
      </c>
      <c r="E971" s="23">
        <v>0</v>
      </c>
      <c r="F971" s="23">
        <v>0</v>
      </c>
      <c r="G971" s="23">
        <v>1</v>
      </c>
      <c r="H971" s="23">
        <v>0</v>
      </c>
      <c r="I971" s="23">
        <v>0</v>
      </c>
      <c r="J971" s="23">
        <v>8596.8277999999991</v>
      </c>
      <c r="N971" s="23"/>
      <c r="O971" s="23"/>
      <c r="P971" s="23"/>
      <c r="Q971" s="23"/>
      <c r="R971" s="23"/>
      <c r="S971" s="23"/>
      <c r="T971" s="23"/>
      <c r="U971" s="23"/>
    </row>
    <row r="972" spans="1:21" x14ac:dyDescent="0.2">
      <c r="A972" s="23">
        <v>50</v>
      </c>
      <c r="B972" s="23">
        <v>0</v>
      </c>
      <c r="C972" s="23">
        <v>28.16</v>
      </c>
      <c r="D972" s="23">
        <v>3</v>
      </c>
      <c r="E972" s="23">
        <v>0</v>
      </c>
      <c r="F972" s="23">
        <v>0</v>
      </c>
      <c r="G972" s="23">
        <v>1</v>
      </c>
      <c r="H972" s="23">
        <v>0</v>
      </c>
      <c r="I972" s="23">
        <v>0</v>
      </c>
      <c r="J972" s="23">
        <v>10702.642400000001</v>
      </c>
      <c r="N972" s="23"/>
      <c r="O972" s="23"/>
      <c r="P972" s="23"/>
      <c r="Q972" s="23"/>
      <c r="R972" s="23"/>
      <c r="S972" s="23"/>
      <c r="T972" s="23"/>
      <c r="U972" s="23"/>
    </row>
    <row r="973" spans="1:21" x14ac:dyDescent="0.2">
      <c r="A973" s="23">
        <v>34</v>
      </c>
      <c r="B973" s="23">
        <v>0</v>
      </c>
      <c r="C973" s="23">
        <v>23.56</v>
      </c>
      <c r="D973" s="23">
        <v>0</v>
      </c>
      <c r="E973" s="23">
        <v>0</v>
      </c>
      <c r="F973" s="23">
        <v>1</v>
      </c>
      <c r="G973" s="23">
        <v>0</v>
      </c>
      <c r="H973" s="23">
        <v>0</v>
      </c>
      <c r="I973" s="23">
        <v>0</v>
      </c>
      <c r="J973" s="23">
        <v>4992.3764000000001</v>
      </c>
      <c r="N973" s="23"/>
      <c r="O973" s="23"/>
      <c r="P973" s="23"/>
      <c r="Q973" s="23"/>
      <c r="R973" s="23"/>
      <c r="S973" s="23"/>
      <c r="T973" s="23"/>
      <c r="U973" s="23"/>
    </row>
    <row r="974" spans="1:21" x14ac:dyDescent="0.2">
      <c r="A974" s="23">
        <v>22</v>
      </c>
      <c r="B974" s="23">
        <v>0</v>
      </c>
      <c r="C974" s="23">
        <v>20.234999999999999</v>
      </c>
      <c r="D974" s="23">
        <v>0</v>
      </c>
      <c r="E974" s="23">
        <v>0</v>
      </c>
      <c r="F974" s="23">
        <v>0</v>
      </c>
      <c r="G974" s="23">
        <v>0</v>
      </c>
      <c r="H974" s="23">
        <v>0</v>
      </c>
      <c r="I974" s="23">
        <v>1</v>
      </c>
      <c r="J974" s="23">
        <v>2527.8186500000002</v>
      </c>
      <c r="N974" s="23"/>
      <c r="O974" s="23"/>
      <c r="P974" s="23"/>
      <c r="Q974" s="23"/>
      <c r="R974" s="23"/>
      <c r="S974" s="23"/>
      <c r="T974" s="23"/>
      <c r="U974" s="23"/>
    </row>
    <row r="975" spans="1:21" x14ac:dyDescent="0.2">
      <c r="A975" s="23">
        <v>19</v>
      </c>
      <c r="B975" s="23">
        <v>0</v>
      </c>
      <c r="C975" s="23">
        <v>40.5</v>
      </c>
      <c r="D975" s="23">
        <v>0</v>
      </c>
      <c r="E975" s="23">
        <v>0</v>
      </c>
      <c r="F975" s="23">
        <v>0</v>
      </c>
      <c r="G975" s="23">
        <v>0</v>
      </c>
      <c r="H975" s="23">
        <v>1</v>
      </c>
      <c r="I975" s="23">
        <v>0</v>
      </c>
      <c r="J975" s="23">
        <v>1759.338</v>
      </c>
      <c r="N975" s="23"/>
      <c r="O975" s="23"/>
      <c r="P975" s="23"/>
      <c r="Q975" s="23"/>
      <c r="R975" s="23"/>
      <c r="S975" s="23"/>
      <c r="T975" s="23"/>
      <c r="U975" s="23"/>
    </row>
    <row r="976" spans="1:21" x14ac:dyDescent="0.2">
      <c r="A976" s="23">
        <v>26</v>
      </c>
      <c r="B976" s="23">
        <v>1</v>
      </c>
      <c r="C976" s="23">
        <v>35.42</v>
      </c>
      <c r="D976" s="23">
        <v>0</v>
      </c>
      <c r="E976" s="23">
        <v>0</v>
      </c>
      <c r="F976" s="23">
        <v>0</v>
      </c>
      <c r="G976" s="23">
        <v>1</v>
      </c>
      <c r="H976" s="23">
        <v>0</v>
      </c>
      <c r="I976" s="23">
        <v>0</v>
      </c>
      <c r="J976" s="23">
        <v>2322.6217999999999</v>
      </c>
      <c r="N976" s="23"/>
      <c r="O976" s="23"/>
      <c r="P976" s="23"/>
      <c r="Q976" s="23"/>
      <c r="R976" s="23"/>
      <c r="S976" s="23"/>
      <c r="T976" s="23"/>
      <c r="U976" s="23"/>
    </row>
    <row r="977" spans="1:21" x14ac:dyDescent="0.2">
      <c r="A977" s="23">
        <v>29</v>
      </c>
      <c r="B977" s="23">
        <v>1</v>
      </c>
      <c r="C977" s="23">
        <v>22.895</v>
      </c>
      <c r="D977" s="23">
        <v>0</v>
      </c>
      <c r="E977" s="23">
        <v>1</v>
      </c>
      <c r="F977" s="23">
        <v>1</v>
      </c>
      <c r="G977" s="23">
        <v>0</v>
      </c>
      <c r="H977" s="23">
        <v>0</v>
      </c>
      <c r="I977" s="23">
        <v>0</v>
      </c>
      <c r="J977" s="23">
        <v>16138.762049999999</v>
      </c>
      <c r="N977" s="23"/>
      <c r="O977" s="23"/>
      <c r="P977" s="23"/>
      <c r="Q977" s="23"/>
      <c r="R977" s="23"/>
      <c r="S977" s="23"/>
      <c r="T977" s="23"/>
      <c r="U977" s="23"/>
    </row>
    <row r="978" spans="1:21" x14ac:dyDescent="0.2">
      <c r="A978" s="23">
        <v>48</v>
      </c>
      <c r="B978" s="23">
        <v>1</v>
      </c>
      <c r="C978" s="23">
        <v>40.15</v>
      </c>
      <c r="D978" s="23">
        <v>0</v>
      </c>
      <c r="E978" s="23">
        <v>0</v>
      </c>
      <c r="F978" s="23">
        <v>0</v>
      </c>
      <c r="G978" s="23">
        <v>1</v>
      </c>
      <c r="H978" s="23">
        <v>0</v>
      </c>
      <c r="I978" s="23">
        <v>0</v>
      </c>
      <c r="J978" s="23">
        <v>7804.1605</v>
      </c>
      <c r="N978" s="23"/>
      <c r="O978" s="23"/>
      <c r="P978" s="23"/>
      <c r="Q978" s="23"/>
      <c r="R978" s="23"/>
      <c r="S978" s="23"/>
      <c r="T978" s="23"/>
      <c r="U978" s="23"/>
    </row>
    <row r="979" spans="1:21" x14ac:dyDescent="0.2">
      <c r="A979" s="23">
        <v>26</v>
      </c>
      <c r="B979" s="23">
        <v>1</v>
      </c>
      <c r="C979" s="23">
        <v>29.15</v>
      </c>
      <c r="D979" s="23">
        <v>1</v>
      </c>
      <c r="E979" s="23">
        <v>0</v>
      </c>
      <c r="F979" s="23">
        <v>0</v>
      </c>
      <c r="G979" s="23">
        <v>1</v>
      </c>
      <c r="H979" s="23">
        <v>0</v>
      </c>
      <c r="I979" s="23">
        <v>0</v>
      </c>
      <c r="J979" s="23">
        <v>2902.9065000000001</v>
      </c>
      <c r="N979" s="23"/>
      <c r="O979" s="23"/>
      <c r="P979" s="23"/>
      <c r="Q979" s="23"/>
      <c r="R979" s="23"/>
      <c r="S979" s="23"/>
      <c r="T979" s="23"/>
      <c r="U979" s="23"/>
    </row>
    <row r="980" spans="1:21" x14ac:dyDescent="0.2">
      <c r="A980" s="23">
        <v>45</v>
      </c>
      <c r="B980" s="23">
        <v>0</v>
      </c>
      <c r="C980" s="23">
        <v>39.994999999999997</v>
      </c>
      <c r="D980" s="23">
        <v>3</v>
      </c>
      <c r="E980" s="23">
        <v>0</v>
      </c>
      <c r="F980" s="23">
        <v>1</v>
      </c>
      <c r="G980" s="23">
        <v>0</v>
      </c>
      <c r="H980" s="23">
        <v>0</v>
      </c>
      <c r="I980" s="23">
        <v>0</v>
      </c>
      <c r="J980" s="23">
        <v>9704.6680500000002</v>
      </c>
      <c r="N980" s="23"/>
      <c r="O980" s="23"/>
      <c r="P980" s="23"/>
      <c r="Q980" s="23"/>
      <c r="R980" s="23"/>
      <c r="S980" s="23"/>
      <c r="T980" s="23"/>
      <c r="U980" s="23"/>
    </row>
    <row r="981" spans="1:21" x14ac:dyDescent="0.2">
      <c r="A981" s="23">
        <v>36</v>
      </c>
      <c r="B981" s="23">
        <v>0</v>
      </c>
      <c r="C981" s="23">
        <v>29.92</v>
      </c>
      <c r="D981" s="23">
        <v>0</v>
      </c>
      <c r="E981" s="23">
        <v>0</v>
      </c>
      <c r="F981" s="23">
        <v>0</v>
      </c>
      <c r="G981" s="23">
        <v>1</v>
      </c>
      <c r="H981" s="23">
        <v>0</v>
      </c>
      <c r="I981" s="23">
        <v>0</v>
      </c>
      <c r="J981" s="23">
        <v>4889.0367999999999</v>
      </c>
      <c r="N981" s="23"/>
      <c r="O981" s="23"/>
      <c r="P981" s="23"/>
      <c r="Q981" s="23"/>
      <c r="R981" s="23"/>
      <c r="S981" s="23"/>
      <c r="T981" s="23"/>
      <c r="U981" s="23"/>
    </row>
    <row r="982" spans="1:21" x14ac:dyDescent="0.2">
      <c r="A982" s="23">
        <v>54</v>
      </c>
      <c r="B982" s="23">
        <v>1</v>
      </c>
      <c r="C982" s="23">
        <v>25.46</v>
      </c>
      <c r="D982" s="23">
        <v>1</v>
      </c>
      <c r="E982" s="23">
        <v>0</v>
      </c>
      <c r="F982" s="23">
        <v>1</v>
      </c>
      <c r="G982" s="23">
        <v>0</v>
      </c>
      <c r="H982" s="23">
        <v>0</v>
      </c>
      <c r="I982" s="23">
        <v>0</v>
      </c>
      <c r="J982" s="23">
        <v>25517.11363</v>
      </c>
      <c r="N982" s="23"/>
      <c r="O982" s="23"/>
      <c r="P982" s="23"/>
      <c r="Q982" s="23"/>
      <c r="R982" s="23"/>
      <c r="S982" s="23"/>
      <c r="T982" s="23"/>
      <c r="U982" s="23"/>
    </row>
    <row r="983" spans="1:21" x14ac:dyDescent="0.2">
      <c r="A983" s="23">
        <v>34</v>
      </c>
      <c r="B983" s="23">
        <v>1</v>
      </c>
      <c r="C983" s="23">
        <v>21.375</v>
      </c>
      <c r="D983" s="23">
        <v>0</v>
      </c>
      <c r="E983" s="23">
        <v>0</v>
      </c>
      <c r="F983" s="23">
        <v>1</v>
      </c>
      <c r="G983" s="23">
        <v>0</v>
      </c>
      <c r="H983" s="23">
        <v>0</v>
      </c>
      <c r="I983" s="23">
        <v>0</v>
      </c>
      <c r="J983" s="23">
        <v>4500.33925</v>
      </c>
      <c r="N983" s="23"/>
      <c r="O983" s="23"/>
      <c r="P983" s="23"/>
      <c r="Q983" s="23"/>
      <c r="R983" s="23"/>
      <c r="S983" s="23"/>
      <c r="T983" s="23"/>
      <c r="U983" s="23"/>
    </row>
    <row r="984" spans="1:21" x14ac:dyDescent="0.2">
      <c r="A984" s="23">
        <v>31</v>
      </c>
      <c r="B984" s="23">
        <v>1</v>
      </c>
      <c r="C984" s="23">
        <v>25.9</v>
      </c>
      <c r="D984" s="23">
        <v>3</v>
      </c>
      <c r="E984" s="23">
        <v>1</v>
      </c>
      <c r="F984" s="23">
        <v>0</v>
      </c>
      <c r="G984" s="23">
        <v>0</v>
      </c>
      <c r="H984" s="23">
        <v>1</v>
      </c>
      <c r="I984" s="23">
        <v>0</v>
      </c>
      <c r="J984" s="23">
        <v>19199.944</v>
      </c>
      <c r="N984" s="23"/>
      <c r="O984" s="23"/>
      <c r="P984" s="23"/>
      <c r="Q984" s="23"/>
      <c r="R984" s="23"/>
      <c r="S984" s="23"/>
      <c r="T984" s="23"/>
      <c r="U984" s="23"/>
    </row>
    <row r="985" spans="1:21" x14ac:dyDescent="0.2">
      <c r="A985" s="23">
        <v>27</v>
      </c>
      <c r="B985" s="23">
        <v>0</v>
      </c>
      <c r="C985" s="23">
        <v>30.59</v>
      </c>
      <c r="D985" s="23">
        <v>1</v>
      </c>
      <c r="E985" s="23">
        <v>0</v>
      </c>
      <c r="F985" s="23">
        <v>1</v>
      </c>
      <c r="G985" s="23">
        <v>0</v>
      </c>
      <c r="H985" s="23">
        <v>0</v>
      </c>
      <c r="I985" s="23">
        <v>0</v>
      </c>
      <c r="J985" s="23">
        <v>16796.411940000002</v>
      </c>
      <c r="N985" s="23"/>
      <c r="O985" s="23"/>
      <c r="P985" s="23"/>
      <c r="Q985" s="23"/>
      <c r="R985" s="23"/>
      <c r="S985" s="23"/>
      <c r="T985" s="23"/>
      <c r="U985" s="23"/>
    </row>
    <row r="986" spans="1:21" x14ac:dyDescent="0.2">
      <c r="A986" s="23">
        <v>20</v>
      </c>
      <c r="B986" s="23">
        <v>1</v>
      </c>
      <c r="C986" s="23">
        <v>30.114999999999998</v>
      </c>
      <c r="D986" s="23">
        <v>5</v>
      </c>
      <c r="E986" s="23">
        <v>0</v>
      </c>
      <c r="F986" s="23">
        <v>1</v>
      </c>
      <c r="G986" s="23">
        <v>0</v>
      </c>
      <c r="H986" s="23">
        <v>0</v>
      </c>
      <c r="I986" s="23">
        <v>0</v>
      </c>
      <c r="J986" s="23">
        <v>4915.0598499999996</v>
      </c>
      <c r="N986" s="23"/>
      <c r="O986" s="23"/>
      <c r="P986" s="23"/>
      <c r="Q986" s="23"/>
      <c r="R986" s="23"/>
      <c r="S986" s="23"/>
      <c r="T986" s="23"/>
      <c r="U986" s="23"/>
    </row>
    <row r="987" spans="1:21" x14ac:dyDescent="0.2">
      <c r="A987" s="23">
        <v>44</v>
      </c>
      <c r="B987" s="23">
        <v>0</v>
      </c>
      <c r="C987" s="23">
        <v>25.8</v>
      </c>
      <c r="D987" s="23">
        <v>1</v>
      </c>
      <c r="E987" s="23">
        <v>0</v>
      </c>
      <c r="F987" s="23">
        <v>0</v>
      </c>
      <c r="G987" s="23">
        <v>0</v>
      </c>
      <c r="H987" s="23">
        <v>1</v>
      </c>
      <c r="I987" s="23">
        <v>0</v>
      </c>
      <c r="J987" s="23">
        <v>7624.63</v>
      </c>
      <c r="N987" s="23"/>
      <c r="O987" s="23"/>
      <c r="P987" s="23"/>
      <c r="Q987" s="23"/>
      <c r="R987" s="23"/>
      <c r="S987" s="23"/>
      <c r="T987" s="23"/>
      <c r="U987" s="23"/>
    </row>
    <row r="988" spans="1:21" x14ac:dyDescent="0.2">
      <c r="A988" s="23">
        <v>43</v>
      </c>
      <c r="B988" s="23">
        <v>1</v>
      </c>
      <c r="C988" s="23">
        <v>30.114999999999998</v>
      </c>
      <c r="D988" s="23">
        <v>3</v>
      </c>
      <c r="E988" s="23">
        <v>0</v>
      </c>
      <c r="F988" s="23">
        <v>0</v>
      </c>
      <c r="G988" s="23">
        <v>0</v>
      </c>
      <c r="H988" s="23">
        <v>0</v>
      </c>
      <c r="I988" s="23">
        <v>1</v>
      </c>
      <c r="J988" s="23">
        <v>8410.0468500000006</v>
      </c>
      <c r="N988" s="23"/>
      <c r="O988" s="23"/>
      <c r="P988" s="23"/>
      <c r="Q988" s="23"/>
      <c r="R988" s="23"/>
      <c r="S988" s="23"/>
      <c r="T988" s="23"/>
      <c r="U988" s="23"/>
    </row>
    <row r="989" spans="1:21" x14ac:dyDescent="0.2">
      <c r="A989" s="23">
        <v>45</v>
      </c>
      <c r="B989" s="23">
        <v>0</v>
      </c>
      <c r="C989" s="23">
        <v>27.645</v>
      </c>
      <c r="D989" s="23">
        <v>1</v>
      </c>
      <c r="E989" s="23">
        <v>0</v>
      </c>
      <c r="F989" s="23">
        <v>0</v>
      </c>
      <c r="G989" s="23">
        <v>0</v>
      </c>
      <c r="H989" s="23">
        <v>0</v>
      </c>
      <c r="I989" s="23">
        <v>1</v>
      </c>
      <c r="J989" s="23">
        <v>28340.188849999999</v>
      </c>
      <c r="N989" s="23"/>
      <c r="O989" s="23"/>
      <c r="P989" s="23"/>
      <c r="Q989" s="23"/>
      <c r="R989" s="23"/>
      <c r="S989" s="23"/>
      <c r="T989" s="23"/>
      <c r="U989" s="23"/>
    </row>
    <row r="990" spans="1:21" x14ac:dyDescent="0.2">
      <c r="A990" s="23">
        <v>34</v>
      </c>
      <c r="B990" s="23">
        <v>1</v>
      </c>
      <c r="C990" s="23">
        <v>34.674999999999997</v>
      </c>
      <c r="D990" s="23">
        <v>0</v>
      </c>
      <c r="E990" s="23">
        <v>0</v>
      </c>
      <c r="F990" s="23">
        <v>1</v>
      </c>
      <c r="G990" s="23">
        <v>0</v>
      </c>
      <c r="H990" s="23">
        <v>0</v>
      </c>
      <c r="I990" s="23">
        <v>0</v>
      </c>
      <c r="J990" s="23">
        <v>4518.8262500000001</v>
      </c>
      <c r="N990" s="23"/>
      <c r="O990" s="23"/>
      <c r="P990" s="23"/>
      <c r="Q990" s="23"/>
      <c r="R990" s="23"/>
      <c r="S990" s="23"/>
      <c r="T990" s="23"/>
      <c r="U990" s="23"/>
    </row>
    <row r="991" spans="1:21" x14ac:dyDescent="0.2">
      <c r="A991" s="23">
        <v>24</v>
      </c>
      <c r="B991" s="23">
        <v>0</v>
      </c>
      <c r="C991" s="23">
        <v>20.52</v>
      </c>
      <c r="D991" s="23">
        <v>0</v>
      </c>
      <c r="E991" s="23">
        <v>1</v>
      </c>
      <c r="F991" s="23">
        <v>1</v>
      </c>
      <c r="G991" s="23">
        <v>0</v>
      </c>
      <c r="H991" s="23">
        <v>0</v>
      </c>
      <c r="I991" s="23">
        <v>0</v>
      </c>
      <c r="J991" s="23">
        <v>14571.890799999999</v>
      </c>
      <c r="N991" s="23"/>
      <c r="O991" s="23"/>
      <c r="P991" s="23"/>
      <c r="Q991" s="23"/>
      <c r="R991" s="23"/>
      <c r="S991" s="23"/>
      <c r="T991" s="23"/>
      <c r="U991" s="23"/>
    </row>
    <row r="992" spans="1:21" x14ac:dyDescent="0.2">
      <c r="A992" s="23">
        <v>26</v>
      </c>
      <c r="B992" s="23">
        <v>0</v>
      </c>
      <c r="C992" s="23">
        <v>19.8</v>
      </c>
      <c r="D992" s="23">
        <v>1</v>
      </c>
      <c r="E992" s="23">
        <v>0</v>
      </c>
      <c r="F992" s="23">
        <v>0</v>
      </c>
      <c r="G992" s="23">
        <v>0</v>
      </c>
      <c r="H992" s="23">
        <v>1</v>
      </c>
      <c r="I992" s="23">
        <v>0</v>
      </c>
      <c r="J992" s="23">
        <v>3378.91</v>
      </c>
      <c r="N992" s="23"/>
      <c r="O992" s="23"/>
      <c r="P992" s="23"/>
      <c r="Q992" s="23"/>
      <c r="R992" s="23"/>
      <c r="S992" s="23"/>
      <c r="T992" s="23"/>
      <c r="U992" s="23"/>
    </row>
    <row r="993" spans="1:21" x14ac:dyDescent="0.2">
      <c r="A993" s="23">
        <v>38</v>
      </c>
      <c r="B993" s="23">
        <v>0</v>
      </c>
      <c r="C993" s="23">
        <v>27.835000000000001</v>
      </c>
      <c r="D993" s="23">
        <v>2</v>
      </c>
      <c r="E993" s="23">
        <v>0</v>
      </c>
      <c r="F993" s="23">
        <v>1</v>
      </c>
      <c r="G993" s="23">
        <v>0</v>
      </c>
      <c r="H993" s="23">
        <v>0</v>
      </c>
      <c r="I993" s="23">
        <v>0</v>
      </c>
      <c r="J993" s="23">
        <v>7144.86265</v>
      </c>
      <c r="N993" s="23"/>
      <c r="O993" s="23"/>
      <c r="P993" s="23"/>
      <c r="Q993" s="23"/>
      <c r="R993" s="23"/>
      <c r="S993" s="23"/>
      <c r="T993" s="23"/>
      <c r="U993" s="23"/>
    </row>
    <row r="994" spans="1:21" x14ac:dyDescent="0.2">
      <c r="A994" s="23">
        <v>50</v>
      </c>
      <c r="B994" s="23">
        <v>0</v>
      </c>
      <c r="C994" s="23">
        <v>31.6</v>
      </c>
      <c r="D994" s="23">
        <v>2</v>
      </c>
      <c r="E994" s="23">
        <v>0</v>
      </c>
      <c r="F994" s="23">
        <v>0</v>
      </c>
      <c r="G994" s="23">
        <v>0</v>
      </c>
      <c r="H994" s="23">
        <v>1</v>
      </c>
      <c r="I994" s="23">
        <v>0</v>
      </c>
      <c r="J994" s="23">
        <v>10118.424000000001</v>
      </c>
      <c r="N994" s="23"/>
      <c r="O994" s="23"/>
      <c r="P994" s="23"/>
      <c r="Q994" s="23"/>
      <c r="R994" s="23"/>
      <c r="S994" s="23"/>
      <c r="T994" s="23"/>
      <c r="U994" s="23"/>
    </row>
    <row r="995" spans="1:21" x14ac:dyDescent="0.2">
      <c r="A995" s="23">
        <v>38</v>
      </c>
      <c r="B995" s="23">
        <v>1</v>
      </c>
      <c r="C995" s="23">
        <v>28.27</v>
      </c>
      <c r="D995" s="23">
        <v>1</v>
      </c>
      <c r="E995" s="23">
        <v>0</v>
      </c>
      <c r="F995" s="23">
        <v>0</v>
      </c>
      <c r="G995" s="23">
        <v>1</v>
      </c>
      <c r="H995" s="23">
        <v>0</v>
      </c>
      <c r="I995" s="23">
        <v>0</v>
      </c>
      <c r="J995" s="23">
        <v>5484.4673000000003</v>
      </c>
      <c r="N995" s="23"/>
      <c r="O995" s="23"/>
      <c r="P995" s="23"/>
      <c r="Q995" s="23"/>
      <c r="R995" s="23"/>
      <c r="S995" s="23"/>
      <c r="T995" s="23"/>
      <c r="U995" s="23"/>
    </row>
    <row r="996" spans="1:21" x14ac:dyDescent="0.2">
      <c r="A996" s="23">
        <v>27</v>
      </c>
      <c r="B996" s="23">
        <v>0</v>
      </c>
      <c r="C996" s="23">
        <v>20.045000000000002</v>
      </c>
      <c r="D996" s="23">
        <v>3</v>
      </c>
      <c r="E996" s="23">
        <v>1</v>
      </c>
      <c r="F996" s="23">
        <v>0</v>
      </c>
      <c r="G996" s="23">
        <v>0</v>
      </c>
      <c r="H996" s="23">
        <v>0</v>
      </c>
      <c r="I996" s="23">
        <v>1</v>
      </c>
      <c r="J996" s="23">
        <v>16420.494549999999</v>
      </c>
      <c r="N996" s="23"/>
      <c r="O996" s="23"/>
      <c r="P996" s="23"/>
      <c r="Q996" s="23"/>
      <c r="R996" s="23"/>
      <c r="S996" s="23"/>
      <c r="T996" s="23"/>
      <c r="U996" s="23"/>
    </row>
    <row r="997" spans="1:21" x14ac:dyDescent="0.2">
      <c r="A997" s="23">
        <v>39</v>
      </c>
      <c r="B997" s="23">
        <v>0</v>
      </c>
      <c r="C997" s="23">
        <v>23.274999999999999</v>
      </c>
      <c r="D997" s="23">
        <v>3</v>
      </c>
      <c r="E997" s="23">
        <v>0</v>
      </c>
      <c r="F997" s="23">
        <v>1</v>
      </c>
      <c r="G997" s="23">
        <v>0</v>
      </c>
      <c r="H997" s="23">
        <v>0</v>
      </c>
      <c r="I997" s="23">
        <v>0</v>
      </c>
      <c r="J997" s="23">
        <v>7986.4752500000004</v>
      </c>
      <c r="N997" s="23"/>
      <c r="O997" s="23"/>
      <c r="P997" s="23"/>
      <c r="Q997" s="23"/>
      <c r="R997" s="23"/>
      <c r="S997" s="23"/>
      <c r="T997" s="23"/>
      <c r="U997" s="23"/>
    </row>
    <row r="998" spans="1:21" x14ac:dyDescent="0.2">
      <c r="A998" s="23">
        <v>39</v>
      </c>
      <c r="B998" s="23">
        <v>0</v>
      </c>
      <c r="C998" s="23">
        <v>34.1</v>
      </c>
      <c r="D998" s="23">
        <v>3</v>
      </c>
      <c r="E998" s="23">
        <v>0</v>
      </c>
      <c r="F998" s="23">
        <v>0</v>
      </c>
      <c r="G998" s="23">
        <v>0</v>
      </c>
      <c r="H998" s="23">
        <v>1</v>
      </c>
      <c r="I998" s="23">
        <v>0</v>
      </c>
      <c r="J998" s="23">
        <v>7418.5219999999999</v>
      </c>
      <c r="N998" s="23"/>
      <c r="O998" s="23"/>
      <c r="P998" s="23"/>
      <c r="Q998" s="23"/>
      <c r="R998" s="23"/>
      <c r="S998" s="23"/>
      <c r="T998" s="23"/>
      <c r="U998" s="23"/>
    </row>
    <row r="999" spans="1:21" x14ac:dyDescent="0.2">
      <c r="A999" s="23">
        <v>63</v>
      </c>
      <c r="B999" s="23">
        <v>0</v>
      </c>
      <c r="C999" s="23">
        <v>36.85</v>
      </c>
      <c r="D999" s="23">
        <v>0</v>
      </c>
      <c r="E999" s="23">
        <v>0</v>
      </c>
      <c r="F999" s="23">
        <v>0</v>
      </c>
      <c r="G999" s="23">
        <v>1</v>
      </c>
      <c r="H999" s="23">
        <v>0</v>
      </c>
      <c r="I999" s="23">
        <v>0</v>
      </c>
      <c r="J999" s="23">
        <v>13887.968500000001</v>
      </c>
      <c r="N999" s="23"/>
      <c r="O999" s="23"/>
      <c r="P999" s="23"/>
      <c r="Q999" s="23"/>
      <c r="R999" s="23"/>
      <c r="S999" s="23"/>
      <c r="T999" s="23"/>
      <c r="U999" s="23"/>
    </row>
    <row r="1000" spans="1:21" x14ac:dyDescent="0.2">
      <c r="A1000" s="23">
        <v>33</v>
      </c>
      <c r="B1000" s="23">
        <v>0</v>
      </c>
      <c r="C1000" s="23">
        <v>36.29</v>
      </c>
      <c r="D1000" s="23">
        <v>3</v>
      </c>
      <c r="E1000" s="23">
        <v>0</v>
      </c>
      <c r="F1000" s="23">
        <v>1</v>
      </c>
      <c r="G1000" s="23">
        <v>0</v>
      </c>
      <c r="H1000" s="23">
        <v>0</v>
      </c>
      <c r="I1000" s="23">
        <v>0</v>
      </c>
      <c r="J1000" s="23">
        <v>6551.7501000000002</v>
      </c>
      <c r="N1000" s="23"/>
      <c r="O1000" s="23"/>
      <c r="P1000" s="23"/>
      <c r="Q1000" s="23"/>
      <c r="R1000" s="23"/>
      <c r="S1000" s="23"/>
      <c r="T1000" s="23"/>
      <c r="U1000" s="23"/>
    </row>
    <row r="1001" spans="1:21" x14ac:dyDescent="0.2">
      <c r="A1001" s="23">
        <v>36</v>
      </c>
      <c r="B1001" s="23">
        <v>0</v>
      </c>
      <c r="C1001" s="23">
        <v>26.885000000000002</v>
      </c>
      <c r="D1001" s="23">
        <v>0</v>
      </c>
      <c r="E1001" s="23">
        <v>0</v>
      </c>
      <c r="F1001" s="23">
        <v>0</v>
      </c>
      <c r="G1001" s="23">
        <v>0</v>
      </c>
      <c r="H1001" s="23">
        <v>0</v>
      </c>
      <c r="I1001" s="23">
        <v>1</v>
      </c>
      <c r="J1001" s="23">
        <v>5267.8181500000001</v>
      </c>
      <c r="N1001" s="23"/>
      <c r="O1001" s="23"/>
      <c r="P1001" s="23"/>
      <c r="Q1001" s="23"/>
      <c r="R1001" s="23"/>
      <c r="S1001" s="23"/>
      <c r="T1001" s="23"/>
      <c r="U1001" s="23"/>
    </row>
    <row r="1002" spans="1:21" x14ac:dyDescent="0.2">
      <c r="A1002" s="23">
        <v>30</v>
      </c>
      <c r="B1002" s="23">
        <v>1</v>
      </c>
      <c r="C1002" s="23">
        <v>22.99</v>
      </c>
      <c r="D1002" s="23">
        <v>2</v>
      </c>
      <c r="E1002" s="23">
        <v>1</v>
      </c>
      <c r="F1002" s="23">
        <v>0</v>
      </c>
      <c r="G1002" s="23">
        <v>0</v>
      </c>
      <c r="H1002" s="23">
        <v>0</v>
      </c>
      <c r="I1002" s="23">
        <v>1</v>
      </c>
      <c r="J1002" s="23">
        <v>17361.766100000001</v>
      </c>
      <c r="N1002" s="23"/>
      <c r="O1002" s="23"/>
      <c r="P1002" s="23"/>
      <c r="Q1002" s="23"/>
      <c r="R1002" s="23"/>
      <c r="S1002" s="23"/>
      <c r="T1002" s="23"/>
      <c r="U1002" s="23"/>
    </row>
    <row r="1003" spans="1:21" x14ac:dyDescent="0.2">
      <c r="A1003" s="23">
        <v>24</v>
      </c>
      <c r="B1003" s="23">
        <v>1</v>
      </c>
      <c r="C1003" s="23">
        <v>32.700000000000003</v>
      </c>
      <c r="D1003" s="23">
        <v>0</v>
      </c>
      <c r="E1003" s="23">
        <v>1</v>
      </c>
      <c r="F1003" s="23">
        <v>0</v>
      </c>
      <c r="G1003" s="23">
        <v>0</v>
      </c>
      <c r="H1003" s="23">
        <v>1</v>
      </c>
      <c r="I1003" s="23">
        <v>0</v>
      </c>
      <c r="J1003" s="23">
        <v>34472.841</v>
      </c>
      <c r="N1003" s="23"/>
      <c r="O1003" s="23"/>
      <c r="P1003" s="23"/>
      <c r="Q1003" s="23"/>
      <c r="R1003" s="23"/>
      <c r="S1003" s="23"/>
      <c r="T1003" s="23"/>
      <c r="U1003" s="23"/>
    </row>
    <row r="1004" spans="1:21" x14ac:dyDescent="0.2">
      <c r="A1004" s="23">
        <v>24</v>
      </c>
      <c r="B1004" s="23">
        <v>1</v>
      </c>
      <c r="C1004" s="23">
        <v>25.8</v>
      </c>
      <c r="D1004" s="23">
        <v>0</v>
      </c>
      <c r="E1004" s="23">
        <v>0</v>
      </c>
      <c r="F1004" s="23">
        <v>0</v>
      </c>
      <c r="G1004" s="23">
        <v>0</v>
      </c>
      <c r="H1004" s="23">
        <v>1</v>
      </c>
      <c r="I1004" s="23">
        <v>0</v>
      </c>
      <c r="J1004" s="23">
        <v>1972.95</v>
      </c>
      <c r="N1004" s="23"/>
      <c r="O1004" s="23"/>
      <c r="P1004" s="23"/>
      <c r="Q1004" s="23"/>
      <c r="R1004" s="23"/>
      <c r="S1004" s="23"/>
      <c r="T1004" s="23"/>
      <c r="U1004" s="23"/>
    </row>
    <row r="1005" spans="1:21" x14ac:dyDescent="0.2">
      <c r="A1005" s="23">
        <v>48</v>
      </c>
      <c r="B1005" s="23">
        <v>1</v>
      </c>
      <c r="C1005" s="23">
        <v>29.6</v>
      </c>
      <c r="D1005" s="23">
        <v>0</v>
      </c>
      <c r="E1005" s="23">
        <v>0</v>
      </c>
      <c r="F1005" s="23">
        <v>0</v>
      </c>
      <c r="G1005" s="23">
        <v>0</v>
      </c>
      <c r="H1005" s="23">
        <v>1</v>
      </c>
      <c r="I1005" s="23">
        <v>0</v>
      </c>
      <c r="J1005" s="23">
        <v>21232.182260000001</v>
      </c>
      <c r="N1005" s="23"/>
      <c r="O1005" s="23"/>
      <c r="P1005" s="23"/>
      <c r="Q1005" s="23"/>
      <c r="R1005" s="23"/>
      <c r="S1005" s="23"/>
      <c r="T1005" s="23"/>
      <c r="U1005" s="23"/>
    </row>
    <row r="1006" spans="1:21" x14ac:dyDescent="0.2">
      <c r="A1006" s="23">
        <v>47</v>
      </c>
      <c r="B1006" s="23">
        <v>1</v>
      </c>
      <c r="C1006" s="23">
        <v>19.190000000000001</v>
      </c>
      <c r="D1006" s="23">
        <v>1</v>
      </c>
      <c r="E1006" s="23">
        <v>0</v>
      </c>
      <c r="F1006" s="23">
        <v>1</v>
      </c>
      <c r="G1006" s="23">
        <v>0</v>
      </c>
      <c r="H1006" s="23">
        <v>0</v>
      </c>
      <c r="I1006" s="23">
        <v>0</v>
      </c>
      <c r="J1006" s="23">
        <v>8627.5411000000004</v>
      </c>
      <c r="N1006" s="23"/>
      <c r="O1006" s="23"/>
      <c r="P1006" s="23"/>
      <c r="Q1006" s="23"/>
      <c r="R1006" s="23"/>
      <c r="S1006" s="23"/>
      <c r="T1006" s="23"/>
      <c r="U1006" s="23"/>
    </row>
    <row r="1007" spans="1:21" x14ac:dyDescent="0.2">
      <c r="A1007" s="23">
        <v>29</v>
      </c>
      <c r="B1007" s="23">
        <v>1</v>
      </c>
      <c r="C1007" s="23">
        <v>31.73</v>
      </c>
      <c r="D1007" s="23">
        <v>2</v>
      </c>
      <c r="E1007" s="23">
        <v>0</v>
      </c>
      <c r="F1007" s="23">
        <v>0</v>
      </c>
      <c r="G1007" s="23">
        <v>0</v>
      </c>
      <c r="H1007" s="23">
        <v>0</v>
      </c>
      <c r="I1007" s="23">
        <v>1</v>
      </c>
      <c r="J1007" s="23">
        <v>4433.3877000000002</v>
      </c>
      <c r="N1007" s="23"/>
      <c r="O1007" s="23"/>
      <c r="P1007" s="23"/>
      <c r="Q1007" s="23"/>
      <c r="R1007" s="23"/>
      <c r="S1007" s="23"/>
      <c r="T1007" s="23"/>
      <c r="U1007" s="23"/>
    </row>
    <row r="1008" spans="1:21" x14ac:dyDescent="0.2">
      <c r="A1008" s="23">
        <v>28</v>
      </c>
      <c r="B1008" s="23">
        <v>1</v>
      </c>
      <c r="C1008" s="23">
        <v>29.26</v>
      </c>
      <c r="D1008" s="23">
        <v>2</v>
      </c>
      <c r="E1008" s="23">
        <v>0</v>
      </c>
      <c r="F1008" s="23">
        <v>1</v>
      </c>
      <c r="G1008" s="23">
        <v>0</v>
      </c>
      <c r="H1008" s="23">
        <v>0</v>
      </c>
      <c r="I1008" s="23">
        <v>0</v>
      </c>
      <c r="J1008" s="23">
        <v>4438.2633999999998</v>
      </c>
      <c r="N1008" s="23"/>
      <c r="O1008" s="23"/>
      <c r="P1008" s="23"/>
      <c r="Q1008" s="23"/>
      <c r="R1008" s="23"/>
      <c r="S1008" s="23"/>
      <c r="T1008" s="23"/>
      <c r="U1008" s="23"/>
    </row>
    <row r="1009" spans="1:21" x14ac:dyDescent="0.2">
      <c r="A1009" s="23">
        <v>47</v>
      </c>
      <c r="B1009" s="23">
        <v>1</v>
      </c>
      <c r="C1009" s="23">
        <v>28.215</v>
      </c>
      <c r="D1009" s="23">
        <v>3</v>
      </c>
      <c r="E1009" s="23">
        <v>1</v>
      </c>
      <c r="F1009" s="23">
        <v>0</v>
      </c>
      <c r="G1009" s="23">
        <v>0</v>
      </c>
      <c r="H1009" s="23">
        <v>0</v>
      </c>
      <c r="I1009" s="23">
        <v>1</v>
      </c>
      <c r="J1009" s="23">
        <v>24915.220850000002</v>
      </c>
      <c r="N1009" s="23"/>
      <c r="O1009" s="23"/>
      <c r="P1009" s="23"/>
      <c r="Q1009" s="23"/>
      <c r="R1009" s="23"/>
      <c r="S1009" s="23"/>
      <c r="T1009" s="23"/>
      <c r="U1009" s="23"/>
    </row>
    <row r="1010" spans="1:21" x14ac:dyDescent="0.2">
      <c r="A1010" s="23">
        <v>25</v>
      </c>
      <c r="B1010" s="23">
        <v>1</v>
      </c>
      <c r="C1010" s="23">
        <v>24.984999999999999</v>
      </c>
      <c r="D1010" s="23">
        <v>2</v>
      </c>
      <c r="E1010" s="23">
        <v>0</v>
      </c>
      <c r="F1010" s="23">
        <v>1</v>
      </c>
      <c r="G1010" s="23">
        <v>0</v>
      </c>
      <c r="H1010" s="23">
        <v>0</v>
      </c>
      <c r="I1010" s="23">
        <v>0</v>
      </c>
      <c r="J1010" s="23">
        <v>23241.47453</v>
      </c>
      <c r="N1010" s="23"/>
      <c r="O1010" s="23"/>
      <c r="P1010" s="23"/>
      <c r="Q1010" s="23"/>
      <c r="R1010" s="23"/>
      <c r="S1010" s="23"/>
      <c r="T1010" s="23"/>
      <c r="U1010" s="23"/>
    </row>
    <row r="1011" spans="1:21" x14ac:dyDescent="0.2">
      <c r="A1011" s="23">
        <v>51</v>
      </c>
      <c r="B1011" s="23">
        <v>1</v>
      </c>
      <c r="C1011" s="23">
        <v>27.74</v>
      </c>
      <c r="D1011" s="23">
        <v>1</v>
      </c>
      <c r="E1011" s="23">
        <v>0</v>
      </c>
      <c r="F1011" s="23">
        <v>1</v>
      </c>
      <c r="G1011" s="23">
        <v>0</v>
      </c>
      <c r="H1011" s="23">
        <v>0</v>
      </c>
      <c r="I1011" s="23">
        <v>0</v>
      </c>
      <c r="J1011" s="23">
        <v>9957.7216000000008</v>
      </c>
      <c r="N1011" s="23"/>
      <c r="O1011" s="23"/>
      <c r="P1011" s="23"/>
      <c r="Q1011" s="23"/>
      <c r="R1011" s="23"/>
      <c r="S1011" s="23"/>
      <c r="T1011" s="23"/>
      <c r="U1011" s="23"/>
    </row>
    <row r="1012" spans="1:21" x14ac:dyDescent="0.2">
      <c r="A1012" s="23">
        <v>48</v>
      </c>
      <c r="B1012" s="23">
        <v>0</v>
      </c>
      <c r="C1012" s="23">
        <v>22.8</v>
      </c>
      <c r="D1012" s="23">
        <v>0</v>
      </c>
      <c r="E1012" s="23">
        <v>0</v>
      </c>
      <c r="F1012" s="23">
        <v>0</v>
      </c>
      <c r="G1012" s="23">
        <v>0</v>
      </c>
      <c r="H1012" s="23">
        <v>1</v>
      </c>
      <c r="I1012" s="23">
        <v>0</v>
      </c>
      <c r="J1012" s="23">
        <v>8269.0439999999999</v>
      </c>
      <c r="N1012" s="23"/>
      <c r="O1012" s="23"/>
      <c r="P1012" s="23"/>
      <c r="Q1012" s="23"/>
      <c r="R1012" s="23"/>
      <c r="S1012" s="23"/>
      <c r="T1012" s="23"/>
      <c r="U1012" s="23"/>
    </row>
    <row r="1013" spans="1:21" x14ac:dyDescent="0.2">
      <c r="A1013" s="23">
        <v>43</v>
      </c>
      <c r="B1013" s="23">
        <v>1</v>
      </c>
      <c r="C1013" s="23">
        <v>20.13</v>
      </c>
      <c r="D1013" s="23">
        <v>2</v>
      </c>
      <c r="E1013" s="23">
        <v>1</v>
      </c>
      <c r="F1013" s="23">
        <v>0</v>
      </c>
      <c r="G1013" s="23">
        <v>1</v>
      </c>
      <c r="H1013" s="23">
        <v>0</v>
      </c>
      <c r="I1013" s="23">
        <v>0</v>
      </c>
      <c r="J1013" s="23">
        <v>18767.737700000001</v>
      </c>
      <c r="N1013" s="23"/>
      <c r="O1013" s="23"/>
      <c r="P1013" s="23"/>
      <c r="Q1013" s="23"/>
      <c r="R1013" s="23"/>
      <c r="S1013" s="23"/>
      <c r="T1013" s="23"/>
      <c r="U1013" s="23"/>
    </row>
    <row r="1014" spans="1:21" x14ac:dyDescent="0.2">
      <c r="A1014" s="23">
        <v>61</v>
      </c>
      <c r="B1014" s="23">
        <v>0</v>
      </c>
      <c r="C1014" s="23">
        <v>33.33</v>
      </c>
      <c r="D1014" s="23">
        <v>4</v>
      </c>
      <c r="E1014" s="23">
        <v>0</v>
      </c>
      <c r="F1014" s="23">
        <v>0</v>
      </c>
      <c r="G1014" s="23">
        <v>1</v>
      </c>
      <c r="H1014" s="23">
        <v>0</v>
      </c>
      <c r="I1014" s="23">
        <v>0</v>
      </c>
      <c r="J1014" s="23">
        <v>36580.282160000002</v>
      </c>
      <c r="N1014" s="23"/>
      <c r="O1014" s="23"/>
      <c r="P1014" s="23"/>
      <c r="Q1014" s="23"/>
      <c r="R1014" s="23"/>
      <c r="S1014" s="23"/>
      <c r="T1014" s="23"/>
      <c r="U1014" s="23"/>
    </row>
    <row r="1015" spans="1:21" x14ac:dyDescent="0.2">
      <c r="A1015" s="23">
        <v>48</v>
      </c>
      <c r="B1015" s="23">
        <v>1</v>
      </c>
      <c r="C1015" s="23">
        <v>32.299999999999997</v>
      </c>
      <c r="D1015" s="23">
        <v>1</v>
      </c>
      <c r="E1015" s="23">
        <v>0</v>
      </c>
      <c r="F1015" s="23">
        <v>0</v>
      </c>
      <c r="G1015" s="23">
        <v>0</v>
      </c>
      <c r="H1015" s="23">
        <v>0</v>
      </c>
      <c r="I1015" s="23">
        <v>1</v>
      </c>
      <c r="J1015" s="23">
        <v>8765.2489999999998</v>
      </c>
      <c r="N1015" s="23"/>
      <c r="O1015" s="23"/>
      <c r="P1015" s="23"/>
      <c r="Q1015" s="23"/>
      <c r="R1015" s="23"/>
      <c r="S1015" s="23"/>
      <c r="T1015" s="23"/>
      <c r="U1015" s="23"/>
    </row>
    <row r="1016" spans="1:21" x14ac:dyDescent="0.2">
      <c r="A1016" s="23">
        <v>38</v>
      </c>
      <c r="B1016" s="23">
        <v>0</v>
      </c>
      <c r="C1016" s="23">
        <v>27.6</v>
      </c>
      <c r="D1016" s="23">
        <v>0</v>
      </c>
      <c r="E1016" s="23">
        <v>0</v>
      </c>
      <c r="F1016" s="23">
        <v>0</v>
      </c>
      <c r="G1016" s="23">
        <v>0</v>
      </c>
      <c r="H1016" s="23">
        <v>1</v>
      </c>
      <c r="I1016" s="23">
        <v>0</v>
      </c>
      <c r="J1016" s="23">
        <v>5383.5360000000001</v>
      </c>
      <c r="N1016" s="23"/>
      <c r="O1016" s="23"/>
      <c r="P1016" s="23"/>
      <c r="Q1016" s="23"/>
      <c r="R1016" s="23"/>
      <c r="S1016" s="23"/>
      <c r="T1016" s="23"/>
      <c r="U1016" s="23"/>
    </row>
    <row r="1017" spans="1:21" x14ac:dyDescent="0.2">
      <c r="A1017" s="23">
        <v>59</v>
      </c>
      <c r="B1017" s="23">
        <v>1</v>
      </c>
      <c r="C1017" s="23">
        <v>25.46</v>
      </c>
      <c r="D1017" s="23">
        <v>0</v>
      </c>
      <c r="E1017" s="23">
        <v>0</v>
      </c>
      <c r="F1017" s="23">
        <v>0</v>
      </c>
      <c r="G1017" s="23">
        <v>0</v>
      </c>
      <c r="H1017" s="23">
        <v>0</v>
      </c>
      <c r="I1017" s="23">
        <v>1</v>
      </c>
      <c r="J1017" s="23">
        <v>12124.992399999999</v>
      </c>
      <c r="N1017" s="23"/>
      <c r="O1017" s="23"/>
      <c r="P1017" s="23"/>
      <c r="Q1017" s="23"/>
      <c r="R1017" s="23"/>
      <c r="S1017" s="23"/>
      <c r="T1017" s="23"/>
      <c r="U1017" s="23"/>
    </row>
    <row r="1018" spans="1:21" x14ac:dyDescent="0.2">
      <c r="A1018" s="23">
        <v>19</v>
      </c>
      <c r="B1018" s="23">
        <v>0</v>
      </c>
      <c r="C1018" s="23">
        <v>24.605</v>
      </c>
      <c r="D1018" s="23">
        <v>1</v>
      </c>
      <c r="E1018" s="23">
        <v>0</v>
      </c>
      <c r="F1018" s="23">
        <v>0</v>
      </c>
      <c r="G1018" s="23">
        <v>0</v>
      </c>
      <c r="H1018" s="23">
        <v>0</v>
      </c>
      <c r="I1018" s="23">
        <v>1</v>
      </c>
      <c r="J1018" s="23">
        <v>2709.24395</v>
      </c>
      <c r="N1018" s="23"/>
      <c r="O1018" s="23"/>
      <c r="P1018" s="23"/>
      <c r="Q1018" s="23"/>
      <c r="R1018" s="23"/>
      <c r="S1018" s="23"/>
      <c r="T1018" s="23"/>
      <c r="U1018" s="23"/>
    </row>
    <row r="1019" spans="1:21" x14ac:dyDescent="0.2">
      <c r="A1019" s="23">
        <v>26</v>
      </c>
      <c r="B1019" s="23">
        <v>0</v>
      </c>
      <c r="C1019" s="23">
        <v>34.200000000000003</v>
      </c>
      <c r="D1019" s="23">
        <v>2</v>
      </c>
      <c r="E1019" s="23">
        <v>0</v>
      </c>
      <c r="F1019" s="23">
        <v>0</v>
      </c>
      <c r="G1019" s="23">
        <v>0</v>
      </c>
      <c r="H1019" s="23">
        <v>1</v>
      </c>
      <c r="I1019" s="23">
        <v>0</v>
      </c>
      <c r="J1019" s="23">
        <v>3987.9259999999999</v>
      </c>
      <c r="N1019" s="23"/>
      <c r="O1019" s="23"/>
      <c r="P1019" s="23"/>
      <c r="Q1019" s="23"/>
      <c r="R1019" s="23"/>
      <c r="S1019" s="23"/>
      <c r="T1019" s="23"/>
      <c r="U1019" s="23"/>
    </row>
    <row r="1020" spans="1:21" x14ac:dyDescent="0.2">
      <c r="A1020" s="23">
        <v>54</v>
      </c>
      <c r="B1020" s="23">
        <v>0</v>
      </c>
      <c r="C1020" s="23">
        <v>35.814999999999998</v>
      </c>
      <c r="D1020" s="23">
        <v>3</v>
      </c>
      <c r="E1020" s="23">
        <v>0</v>
      </c>
      <c r="F1020" s="23">
        <v>0</v>
      </c>
      <c r="G1020" s="23">
        <v>0</v>
      </c>
      <c r="H1020" s="23">
        <v>0</v>
      </c>
      <c r="I1020" s="23">
        <v>1</v>
      </c>
      <c r="J1020" s="23">
        <v>12495.290849999999</v>
      </c>
      <c r="N1020" s="23"/>
      <c r="O1020" s="23"/>
      <c r="P1020" s="23"/>
      <c r="Q1020" s="23"/>
      <c r="R1020" s="23"/>
      <c r="S1020" s="23"/>
      <c r="T1020" s="23"/>
      <c r="U1020" s="23"/>
    </row>
    <row r="1021" spans="1:21" x14ac:dyDescent="0.2">
      <c r="A1021" s="23">
        <v>21</v>
      </c>
      <c r="B1021" s="23">
        <v>0</v>
      </c>
      <c r="C1021" s="23">
        <v>32.68</v>
      </c>
      <c r="D1021" s="23">
        <v>2</v>
      </c>
      <c r="E1021" s="23">
        <v>0</v>
      </c>
      <c r="F1021" s="23">
        <v>0</v>
      </c>
      <c r="G1021" s="23">
        <v>0</v>
      </c>
      <c r="H1021" s="23">
        <v>0</v>
      </c>
      <c r="I1021" s="23">
        <v>1</v>
      </c>
      <c r="J1021" s="23">
        <v>26018.950519999999</v>
      </c>
      <c r="N1021" s="23"/>
      <c r="O1021" s="23"/>
      <c r="P1021" s="23"/>
      <c r="Q1021" s="23"/>
      <c r="R1021" s="23"/>
      <c r="S1021" s="23"/>
      <c r="T1021" s="23"/>
      <c r="U1021" s="23"/>
    </row>
    <row r="1022" spans="1:21" x14ac:dyDescent="0.2">
      <c r="A1022" s="23">
        <v>51</v>
      </c>
      <c r="B1022" s="23">
        <v>1</v>
      </c>
      <c r="C1022" s="23">
        <v>37</v>
      </c>
      <c r="D1022" s="23">
        <v>0</v>
      </c>
      <c r="E1022" s="23">
        <v>0</v>
      </c>
      <c r="F1022" s="23">
        <v>0</v>
      </c>
      <c r="G1022" s="23">
        <v>0</v>
      </c>
      <c r="H1022" s="23">
        <v>1</v>
      </c>
      <c r="I1022" s="23">
        <v>0</v>
      </c>
      <c r="J1022" s="23">
        <v>8798.5930000000008</v>
      </c>
      <c r="N1022" s="23"/>
      <c r="O1022" s="23"/>
      <c r="P1022" s="23"/>
      <c r="Q1022" s="23"/>
      <c r="R1022" s="23"/>
      <c r="S1022" s="23"/>
      <c r="T1022" s="23"/>
      <c r="U1022" s="23"/>
    </row>
    <row r="1023" spans="1:21" x14ac:dyDescent="0.2">
      <c r="A1023" s="23">
        <v>22</v>
      </c>
      <c r="B1023" s="23">
        <v>0</v>
      </c>
      <c r="C1023" s="23">
        <v>31.02</v>
      </c>
      <c r="D1023" s="23">
        <v>3</v>
      </c>
      <c r="E1023" s="23">
        <v>1</v>
      </c>
      <c r="F1023" s="23">
        <v>0</v>
      </c>
      <c r="G1023" s="23">
        <v>1</v>
      </c>
      <c r="H1023" s="23">
        <v>0</v>
      </c>
      <c r="I1023" s="23">
        <v>0</v>
      </c>
      <c r="J1023" s="23">
        <v>35595.589800000002</v>
      </c>
      <c r="N1023" s="23"/>
      <c r="O1023" s="23"/>
      <c r="P1023" s="23"/>
      <c r="Q1023" s="23"/>
      <c r="R1023" s="23"/>
      <c r="S1023" s="23"/>
      <c r="T1023" s="23"/>
      <c r="U1023" s="23"/>
    </row>
    <row r="1024" spans="1:21" x14ac:dyDescent="0.2">
      <c r="A1024" s="23">
        <v>47</v>
      </c>
      <c r="B1024" s="23">
        <v>1</v>
      </c>
      <c r="C1024" s="23">
        <v>36.08</v>
      </c>
      <c r="D1024" s="23">
        <v>1</v>
      </c>
      <c r="E1024" s="23">
        <v>1</v>
      </c>
      <c r="F1024" s="23">
        <v>0</v>
      </c>
      <c r="G1024" s="23">
        <v>1</v>
      </c>
      <c r="H1024" s="23">
        <v>0</v>
      </c>
      <c r="I1024" s="23">
        <v>0</v>
      </c>
      <c r="J1024" s="23">
        <v>42211.138200000001</v>
      </c>
      <c r="N1024" s="23"/>
      <c r="O1024" s="23"/>
      <c r="P1024" s="23"/>
      <c r="Q1024" s="23"/>
      <c r="R1024" s="23"/>
      <c r="S1024" s="23"/>
      <c r="T1024" s="23"/>
      <c r="U1024" s="23"/>
    </row>
    <row r="1025" spans="1:21" x14ac:dyDescent="0.2">
      <c r="A1025" s="23">
        <v>18</v>
      </c>
      <c r="B1025" s="23">
        <v>1</v>
      </c>
      <c r="C1025" s="23">
        <v>23.32</v>
      </c>
      <c r="D1025" s="23">
        <v>1</v>
      </c>
      <c r="E1025" s="23">
        <v>0</v>
      </c>
      <c r="F1025" s="23">
        <v>0</v>
      </c>
      <c r="G1025" s="23">
        <v>1</v>
      </c>
      <c r="H1025" s="23">
        <v>0</v>
      </c>
      <c r="I1025" s="23">
        <v>0</v>
      </c>
      <c r="J1025" s="23">
        <v>1711.0268000000001</v>
      </c>
      <c r="N1025" s="23"/>
      <c r="O1025" s="23"/>
      <c r="P1025" s="23"/>
      <c r="Q1025" s="23"/>
      <c r="R1025" s="23"/>
      <c r="S1025" s="23"/>
      <c r="T1025" s="23"/>
      <c r="U1025" s="23"/>
    </row>
    <row r="1026" spans="1:21" x14ac:dyDescent="0.2">
      <c r="A1026" s="23">
        <v>47</v>
      </c>
      <c r="B1026" s="23">
        <v>0</v>
      </c>
      <c r="C1026" s="23">
        <v>45.32</v>
      </c>
      <c r="D1026" s="23">
        <v>1</v>
      </c>
      <c r="E1026" s="23">
        <v>0</v>
      </c>
      <c r="F1026" s="23">
        <v>0</v>
      </c>
      <c r="G1026" s="23">
        <v>1</v>
      </c>
      <c r="H1026" s="23">
        <v>0</v>
      </c>
      <c r="I1026" s="23">
        <v>0</v>
      </c>
      <c r="J1026" s="23">
        <v>8569.8618000000006</v>
      </c>
      <c r="N1026" s="23"/>
      <c r="O1026" s="23"/>
      <c r="P1026" s="23"/>
      <c r="Q1026" s="23"/>
      <c r="R1026" s="23"/>
      <c r="S1026" s="23"/>
      <c r="T1026" s="23"/>
      <c r="U1026" s="23"/>
    </row>
    <row r="1027" spans="1:21" x14ac:dyDescent="0.2">
      <c r="A1027" s="23">
        <v>21</v>
      </c>
      <c r="B1027" s="23">
        <v>0</v>
      </c>
      <c r="C1027" s="23">
        <v>34.6</v>
      </c>
      <c r="D1027" s="23">
        <v>0</v>
      </c>
      <c r="E1027" s="23">
        <v>0</v>
      </c>
      <c r="F1027" s="23">
        <v>0</v>
      </c>
      <c r="G1027" s="23">
        <v>0</v>
      </c>
      <c r="H1027" s="23">
        <v>1</v>
      </c>
      <c r="I1027" s="23">
        <v>0</v>
      </c>
      <c r="J1027" s="23">
        <v>2020.1769999999999</v>
      </c>
      <c r="N1027" s="23"/>
      <c r="O1027" s="23"/>
      <c r="P1027" s="23"/>
      <c r="Q1027" s="23"/>
      <c r="R1027" s="23"/>
      <c r="S1027" s="23"/>
      <c r="T1027" s="23"/>
      <c r="U1027" s="23"/>
    </row>
    <row r="1028" spans="1:21" x14ac:dyDescent="0.2">
      <c r="A1028" s="23">
        <v>19</v>
      </c>
      <c r="B1028" s="23">
        <v>1</v>
      </c>
      <c r="C1028" s="23">
        <v>26.03</v>
      </c>
      <c r="D1028" s="23">
        <v>1</v>
      </c>
      <c r="E1028" s="23">
        <v>1</v>
      </c>
      <c r="F1028" s="23">
        <v>0</v>
      </c>
      <c r="G1028" s="23">
        <v>0</v>
      </c>
      <c r="H1028" s="23">
        <v>0</v>
      </c>
      <c r="I1028" s="23">
        <v>1</v>
      </c>
      <c r="J1028" s="23">
        <v>16450.894700000001</v>
      </c>
      <c r="N1028" s="23"/>
      <c r="O1028" s="23"/>
      <c r="P1028" s="23"/>
      <c r="Q1028" s="23"/>
      <c r="R1028" s="23"/>
      <c r="S1028" s="23"/>
      <c r="T1028" s="23"/>
      <c r="U1028" s="23"/>
    </row>
    <row r="1029" spans="1:21" x14ac:dyDescent="0.2">
      <c r="A1029" s="23">
        <v>23</v>
      </c>
      <c r="B1029" s="23">
        <v>1</v>
      </c>
      <c r="C1029" s="23">
        <v>18.715</v>
      </c>
      <c r="D1029" s="23">
        <v>0</v>
      </c>
      <c r="E1029" s="23">
        <v>0</v>
      </c>
      <c r="F1029" s="23">
        <v>0</v>
      </c>
      <c r="G1029" s="23">
        <v>0</v>
      </c>
      <c r="H1029" s="23">
        <v>0</v>
      </c>
      <c r="I1029" s="23">
        <v>1</v>
      </c>
      <c r="J1029" s="23">
        <v>21595.382290000001</v>
      </c>
      <c r="N1029" s="23"/>
      <c r="O1029" s="23"/>
      <c r="P1029" s="23"/>
      <c r="Q1029" s="23"/>
      <c r="R1029" s="23"/>
      <c r="S1029" s="23"/>
      <c r="T1029" s="23"/>
      <c r="U1029" s="23"/>
    </row>
    <row r="1030" spans="1:21" x14ac:dyDescent="0.2">
      <c r="A1030" s="23">
        <v>54</v>
      </c>
      <c r="B1030" s="23">
        <v>1</v>
      </c>
      <c r="C1030" s="23">
        <v>31.6</v>
      </c>
      <c r="D1030" s="23">
        <v>0</v>
      </c>
      <c r="E1030" s="23">
        <v>0</v>
      </c>
      <c r="F1030" s="23">
        <v>0</v>
      </c>
      <c r="G1030" s="23">
        <v>0</v>
      </c>
      <c r="H1030" s="23">
        <v>1</v>
      </c>
      <c r="I1030" s="23">
        <v>0</v>
      </c>
      <c r="J1030" s="23">
        <v>9850.4320000000007</v>
      </c>
      <c r="N1030" s="23"/>
      <c r="O1030" s="23"/>
      <c r="P1030" s="23"/>
      <c r="Q1030" s="23"/>
      <c r="R1030" s="23"/>
      <c r="S1030" s="23"/>
      <c r="T1030" s="23"/>
      <c r="U1030" s="23"/>
    </row>
    <row r="1031" spans="1:21" x14ac:dyDescent="0.2">
      <c r="A1031" s="23">
        <v>37</v>
      </c>
      <c r="B1031" s="23">
        <v>0</v>
      </c>
      <c r="C1031" s="23">
        <v>17.29</v>
      </c>
      <c r="D1031" s="23">
        <v>2</v>
      </c>
      <c r="E1031" s="23">
        <v>0</v>
      </c>
      <c r="F1031" s="23">
        <v>1</v>
      </c>
      <c r="G1031" s="23">
        <v>0</v>
      </c>
      <c r="H1031" s="23">
        <v>0</v>
      </c>
      <c r="I1031" s="23">
        <v>0</v>
      </c>
      <c r="J1031" s="23">
        <v>6877.9800999999998</v>
      </c>
      <c r="N1031" s="23"/>
      <c r="O1031" s="23"/>
      <c r="P1031" s="23"/>
      <c r="Q1031" s="23"/>
      <c r="R1031" s="23"/>
      <c r="S1031" s="23"/>
      <c r="T1031" s="23"/>
      <c r="U1031" s="23"/>
    </row>
    <row r="1032" spans="1:21" x14ac:dyDescent="0.2">
      <c r="A1032" s="23">
        <v>46</v>
      </c>
      <c r="B1032" s="23">
        <v>0</v>
      </c>
      <c r="C1032" s="23">
        <v>23.655000000000001</v>
      </c>
      <c r="D1032" s="23">
        <v>1</v>
      </c>
      <c r="E1032" s="23">
        <v>1</v>
      </c>
      <c r="F1032" s="23">
        <v>0</v>
      </c>
      <c r="G1032" s="23">
        <v>0</v>
      </c>
      <c r="H1032" s="23">
        <v>0</v>
      </c>
      <c r="I1032" s="23">
        <v>1</v>
      </c>
      <c r="J1032" s="23">
        <v>21677.283449999999</v>
      </c>
      <c r="N1032" s="23"/>
      <c r="O1032" s="23"/>
      <c r="P1032" s="23"/>
      <c r="Q1032" s="23"/>
      <c r="R1032" s="23"/>
      <c r="S1032" s="23"/>
      <c r="T1032" s="23"/>
      <c r="U1032" s="23"/>
    </row>
    <row r="1033" spans="1:21" x14ac:dyDescent="0.2">
      <c r="A1033" s="23">
        <v>55</v>
      </c>
      <c r="B1033" s="23">
        <v>0</v>
      </c>
      <c r="C1033" s="23">
        <v>35.200000000000003</v>
      </c>
      <c r="D1033" s="23">
        <v>0</v>
      </c>
      <c r="E1033" s="23">
        <v>1</v>
      </c>
      <c r="F1033" s="23">
        <v>0</v>
      </c>
      <c r="G1033" s="23">
        <v>1</v>
      </c>
      <c r="H1033" s="23">
        <v>0</v>
      </c>
      <c r="I1033" s="23">
        <v>0</v>
      </c>
      <c r="J1033" s="23">
        <v>44423.803</v>
      </c>
      <c r="N1033" s="23"/>
      <c r="O1033" s="23"/>
      <c r="P1033" s="23"/>
      <c r="Q1033" s="23"/>
      <c r="R1033" s="23"/>
      <c r="S1033" s="23"/>
      <c r="T1033" s="23"/>
      <c r="U1033" s="23"/>
    </row>
    <row r="1034" spans="1:21" x14ac:dyDescent="0.2">
      <c r="A1034" s="23">
        <v>30</v>
      </c>
      <c r="B1034" s="23">
        <v>0</v>
      </c>
      <c r="C1034" s="23">
        <v>27.93</v>
      </c>
      <c r="D1034" s="23">
        <v>0</v>
      </c>
      <c r="E1034" s="23">
        <v>0</v>
      </c>
      <c r="F1034" s="23">
        <v>1</v>
      </c>
      <c r="G1034" s="23">
        <v>0</v>
      </c>
      <c r="H1034" s="23">
        <v>0</v>
      </c>
      <c r="I1034" s="23">
        <v>0</v>
      </c>
      <c r="J1034" s="23">
        <v>4137.5227000000004</v>
      </c>
      <c r="N1034" s="23"/>
      <c r="O1034" s="23"/>
      <c r="P1034" s="23"/>
      <c r="Q1034" s="23"/>
      <c r="R1034" s="23"/>
      <c r="S1034" s="23"/>
      <c r="T1034" s="23"/>
      <c r="U1034" s="23"/>
    </row>
    <row r="1035" spans="1:21" x14ac:dyDescent="0.2">
      <c r="A1035" s="23">
        <v>18</v>
      </c>
      <c r="B1035" s="23">
        <v>1</v>
      </c>
      <c r="C1035" s="23">
        <v>21.565000000000001</v>
      </c>
      <c r="D1035" s="23">
        <v>0</v>
      </c>
      <c r="E1035" s="23">
        <v>1</v>
      </c>
      <c r="F1035" s="23">
        <v>1</v>
      </c>
      <c r="G1035" s="23">
        <v>0</v>
      </c>
      <c r="H1035" s="23">
        <v>0</v>
      </c>
      <c r="I1035" s="23">
        <v>0</v>
      </c>
      <c r="J1035" s="23">
        <v>13747.87235</v>
      </c>
      <c r="N1035" s="23"/>
      <c r="O1035" s="23"/>
      <c r="P1035" s="23"/>
      <c r="Q1035" s="23"/>
      <c r="R1035" s="23"/>
      <c r="S1035" s="23"/>
      <c r="T1035" s="23"/>
      <c r="U1035" s="23"/>
    </row>
    <row r="1036" spans="1:21" x14ac:dyDescent="0.2">
      <c r="A1036" s="23">
        <v>61</v>
      </c>
      <c r="B1036" s="23">
        <v>1</v>
      </c>
      <c r="C1036" s="23">
        <v>38.380000000000003</v>
      </c>
      <c r="D1036" s="23">
        <v>0</v>
      </c>
      <c r="E1036" s="23">
        <v>0</v>
      </c>
      <c r="F1036" s="23">
        <v>0</v>
      </c>
      <c r="G1036" s="23">
        <v>0</v>
      </c>
      <c r="H1036" s="23">
        <v>0</v>
      </c>
      <c r="I1036" s="23">
        <v>1</v>
      </c>
      <c r="J1036" s="23">
        <v>12950.0712</v>
      </c>
      <c r="N1036" s="23"/>
      <c r="O1036" s="23"/>
      <c r="P1036" s="23"/>
      <c r="Q1036" s="23"/>
      <c r="R1036" s="23"/>
      <c r="S1036" s="23"/>
      <c r="T1036" s="23"/>
      <c r="U1036" s="23"/>
    </row>
    <row r="1037" spans="1:21" x14ac:dyDescent="0.2">
      <c r="A1037" s="23">
        <v>54</v>
      </c>
      <c r="B1037" s="23">
        <v>0</v>
      </c>
      <c r="C1037" s="23">
        <v>23</v>
      </c>
      <c r="D1037" s="23">
        <v>3</v>
      </c>
      <c r="E1037" s="23">
        <v>0</v>
      </c>
      <c r="F1037" s="23">
        <v>0</v>
      </c>
      <c r="G1037" s="23">
        <v>0</v>
      </c>
      <c r="H1037" s="23">
        <v>1</v>
      </c>
      <c r="I1037" s="23">
        <v>0</v>
      </c>
      <c r="J1037" s="23">
        <v>12094.477999999999</v>
      </c>
      <c r="N1037" s="23"/>
      <c r="O1037" s="23"/>
      <c r="P1037" s="23"/>
      <c r="Q1037" s="23"/>
      <c r="R1037" s="23"/>
      <c r="S1037" s="23"/>
      <c r="T1037" s="23"/>
      <c r="U1037" s="23"/>
    </row>
    <row r="1038" spans="1:21" x14ac:dyDescent="0.2">
      <c r="A1038" s="23">
        <v>22</v>
      </c>
      <c r="B1038" s="23">
        <v>1</v>
      </c>
      <c r="C1038" s="23">
        <v>37.07</v>
      </c>
      <c r="D1038" s="23">
        <v>2</v>
      </c>
      <c r="E1038" s="23">
        <v>1</v>
      </c>
      <c r="F1038" s="23">
        <v>0</v>
      </c>
      <c r="G1038" s="23">
        <v>1</v>
      </c>
      <c r="H1038" s="23">
        <v>0</v>
      </c>
      <c r="I1038" s="23">
        <v>0</v>
      </c>
      <c r="J1038" s="23">
        <v>37484.4493</v>
      </c>
      <c r="N1038" s="23"/>
      <c r="O1038" s="23"/>
      <c r="P1038" s="23"/>
      <c r="Q1038" s="23"/>
      <c r="R1038" s="23"/>
      <c r="S1038" s="23"/>
      <c r="T1038" s="23"/>
      <c r="U1038" s="23"/>
    </row>
    <row r="1039" spans="1:21" x14ac:dyDescent="0.2">
      <c r="A1039" s="23">
        <v>45</v>
      </c>
      <c r="B1039" s="23">
        <v>0</v>
      </c>
      <c r="C1039" s="23">
        <v>30.495000000000001</v>
      </c>
      <c r="D1039" s="23">
        <v>1</v>
      </c>
      <c r="E1039" s="23">
        <v>1</v>
      </c>
      <c r="F1039" s="23">
        <v>0</v>
      </c>
      <c r="G1039" s="23">
        <v>0</v>
      </c>
      <c r="H1039" s="23">
        <v>0</v>
      </c>
      <c r="I1039" s="23">
        <v>1</v>
      </c>
      <c r="J1039" s="23">
        <v>39725.518049999999</v>
      </c>
      <c r="N1039" s="23"/>
      <c r="O1039" s="23"/>
      <c r="P1039" s="23"/>
      <c r="Q1039" s="23"/>
      <c r="R1039" s="23"/>
      <c r="S1039" s="23"/>
      <c r="T1039" s="23"/>
      <c r="U1039" s="23"/>
    </row>
    <row r="1040" spans="1:21" x14ac:dyDescent="0.2">
      <c r="A1040" s="23">
        <v>22</v>
      </c>
      <c r="B1040" s="23">
        <v>1</v>
      </c>
      <c r="C1040" s="23">
        <v>28.88</v>
      </c>
      <c r="D1040" s="23">
        <v>0</v>
      </c>
      <c r="E1040" s="23">
        <v>0</v>
      </c>
      <c r="F1040" s="23">
        <v>1</v>
      </c>
      <c r="G1040" s="23">
        <v>0</v>
      </c>
      <c r="H1040" s="23">
        <v>0</v>
      </c>
      <c r="I1040" s="23">
        <v>0</v>
      </c>
      <c r="J1040" s="23">
        <v>2250.8352</v>
      </c>
      <c r="N1040" s="23"/>
      <c r="O1040" s="23"/>
      <c r="P1040" s="23"/>
      <c r="Q1040" s="23"/>
      <c r="R1040" s="23"/>
      <c r="S1040" s="23"/>
      <c r="T1040" s="23"/>
      <c r="U1040" s="23"/>
    </row>
    <row r="1041" spans="1:21" x14ac:dyDescent="0.2">
      <c r="A1041" s="23">
        <v>19</v>
      </c>
      <c r="B1041" s="23">
        <v>1</v>
      </c>
      <c r="C1041" s="23">
        <v>27.265000000000001</v>
      </c>
      <c r="D1041" s="23">
        <v>2</v>
      </c>
      <c r="E1041" s="23">
        <v>0</v>
      </c>
      <c r="F1041" s="23">
        <v>0</v>
      </c>
      <c r="G1041" s="23">
        <v>0</v>
      </c>
      <c r="H1041" s="23">
        <v>0</v>
      </c>
      <c r="I1041" s="23">
        <v>1</v>
      </c>
      <c r="J1041" s="23">
        <v>22493.659640000002</v>
      </c>
      <c r="N1041" s="23"/>
      <c r="O1041" s="23"/>
      <c r="P1041" s="23"/>
      <c r="Q1041" s="23"/>
      <c r="R1041" s="23"/>
      <c r="S1041" s="23"/>
      <c r="T1041" s="23"/>
      <c r="U1041" s="23"/>
    </row>
    <row r="1042" spans="1:21" x14ac:dyDescent="0.2">
      <c r="A1042" s="23">
        <v>35</v>
      </c>
      <c r="B1042" s="23">
        <v>0</v>
      </c>
      <c r="C1042" s="23">
        <v>28.024999999999999</v>
      </c>
      <c r="D1042" s="23">
        <v>0</v>
      </c>
      <c r="E1042" s="23">
        <v>1</v>
      </c>
      <c r="F1042" s="23">
        <v>0</v>
      </c>
      <c r="G1042" s="23">
        <v>0</v>
      </c>
      <c r="H1042" s="23">
        <v>0</v>
      </c>
      <c r="I1042" s="23">
        <v>1</v>
      </c>
      <c r="J1042" s="23">
        <v>20234.854749999999</v>
      </c>
      <c r="N1042" s="23"/>
      <c r="O1042" s="23"/>
      <c r="P1042" s="23"/>
      <c r="Q1042" s="23"/>
      <c r="R1042" s="23"/>
      <c r="S1042" s="23"/>
      <c r="T1042" s="23"/>
      <c r="U1042" s="23"/>
    </row>
    <row r="1043" spans="1:21" x14ac:dyDescent="0.2">
      <c r="A1043" s="23">
        <v>18</v>
      </c>
      <c r="B1043" s="23">
        <v>1</v>
      </c>
      <c r="C1043" s="23">
        <v>23.085000000000001</v>
      </c>
      <c r="D1043" s="23">
        <v>0</v>
      </c>
      <c r="E1043" s="23">
        <v>0</v>
      </c>
      <c r="F1043" s="23">
        <v>1</v>
      </c>
      <c r="G1043" s="23">
        <v>0</v>
      </c>
      <c r="H1043" s="23">
        <v>0</v>
      </c>
      <c r="I1043" s="23">
        <v>0</v>
      </c>
      <c r="J1043" s="23">
        <v>1704.7001499999999</v>
      </c>
      <c r="N1043" s="23"/>
      <c r="O1043" s="23"/>
      <c r="P1043" s="23"/>
      <c r="Q1043" s="23"/>
      <c r="R1043" s="23"/>
      <c r="S1043" s="23"/>
      <c r="T1043" s="23"/>
      <c r="U1043" s="23"/>
    </row>
    <row r="1044" spans="1:21" x14ac:dyDescent="0.2">
      <c r="A1044" s="23">
        <v>20</v>
      </c>
      <c r="B1044" s="23">
        <v>1</v>
      </c>
      <c r="C1044" s="23">
        <v>30.684999999999999</v>
      </c>
      <c r="D1044" s="23">
        <v>0</v>
      </c>
      <c r="E1044" s="23">
        <v>1</v>
      </c>
      <c r="F1044" s="23">
        <v>1</v>
      </c>
      <c r="G1044" s="23">
        <v>0</v>
      </c>
      <c r="H1044" s="23">
        <v>0</v>
      </c>
      <c r="I1044" s="23">
        <v>0</v>
      </c>
      <c r="J1044" s="23">
        <v>33475.817150000003</v>
      </c>
      <c r="N1044" s="23"/>
      <c r="O1044" s="23"/>
      <c r="P1044" s="23"/>
      <c r="Q1044" s="23"/>
      <c r="R1044" s="23"/>
      <c r="S1044" s="23"/>
      <c r="T1044" s="23"/>
      <c r="U1044" s="23"/>
    </row>
    <row r="1045" spans="1:21" x14ac:dyDescent="0.2">
      <c r="A1045" s="23">
        <v>28</v>
      </c>
      <c r="B1045" s="23">
        <v>0</v>
      </c>
      <c r="C1045" s="23">
        <v>25.8</v>
      </c>
      <c r="D1045" s="23">
        <v>0</v>
      </c>
      <c r="E1045" s="23">
        <v>0</v>
      </c>
      <c r="F1045" s="23">
        <v>0</v>
      </c>
      <c r="G1045" s="23">
        <v>0</v>
      </c>
      <c r="H1045" s="23">
        <v>1</v>
      </c>
      <c r="I1045" s="23">
        <v>0</v>
      </c>
      <c r="J1045" s="23">
        <v>3161.4540000000002</v>
      </c>
      <c r="N1045" s="23"/>
      <c r="O1045" s="23"/>
      <c r="P1045" s="23"/>
      <c r="Q1045" s="23"/>
      <c r="R1045" s="23"/>
      <c r="S1045" s="23"/>
      <c r="T1045" s="23"/>
      <c r="U1045" s="23"/>
    </row>
    <row r="1046" spans="1:21" x14ac:dyDescent="0.2">
      <c r="A1046" s="23">
        <v>55</v>
      </c>
      <c r="B1046" s="23">
        <v>1</v>
      </c>
      <c r="C1046" s="23">
        <v>35.244999999999997</v>
      </c>
      <c r="D1046" s="23">
        <v>1</v>
      </c>
      <c r="E1046" s="23">
        <v>0</v>
      </c>
      <c r="F1046" s="23">
        <v>1</v>
      </c>
      <c r="G1046" s="23">
        <v>0</v>
      </c>
      <c r="H1046" s="23">
        <v>0</v>
      </c>
      <c r="I1046" s="23">
        <v>0</v>
      </c>
      <c r="J1046" s="23">
        <v>11394.065549999999</v>
      </c>
      <c r="N1046" s="23"/>
      <c r="O1046" s="23"/>
      <c r="P1046" s="23"/>
      <c r="Q1046" s="23"/>
      <c r="R1046" s="23"/>
      <c r="S1046" s="23"/>
      <c r="T1046" s="23"/>
      <c r="U1046" s="23"/>
    </row>
    <row r="1047" spans="1:21" x14ac:dyDescent="0.2">
      <c r="A1047" s="23">
        <v>43</v>
      </c>
      <c r="B1047" s="23">
        <v>0</v>
      </c>
      <c r="C1047" s="23">
        <v>24.7</v>
      </c>
      <c r="D1047" s="23">
        <v>2</v>
      </c>
      <c r="E1047" s="23">
        <v>1</v>
      </c>
      <c r="F1047" s="23">
        <v>0</v>
      </c>
      <c r="G1047" s="23">
        <v>0</v>
      </c>
      <c r="H1047" s="23">
        <v>0</v>
      </c>
      <c r="I1047" s="23">
        <v>1</v>
      </c>
      <c r="J1047" s="23">
        <v>21880.82</v>
      </c>
      <c r="N1047" s="23"/>
      <c r="O1047" s="23"/>
      <c r="P1047" s="23"/>
      <c r="Q1047" s="23"/>
      <c r="R1047" s="23"/>
      <c r="S1047" s="23"/>
      <c r="T1047" s="23"/>
      <c r="U1047" s="23"/>
    </row>
    <row r="1048" spans="1:21" x14ac:dyDescent="0.2">
      <c r="A1048" s="23">
        <v>43</v>
      </c>
      <c r="B1048" s="23">
        <v>0</v>
      </c>
      <c r="C1048" s="23">
        <v>25.08</v>
      </c>
      <c r="D1048" s="23">
        <v>0</v>
      </c>
      <c r="E1048" s="23">
        <v>0</v>
      </c>
      <c r="F1048" s="23">
        <v>1</v>
      </c>
      <c r="G1048" s="23">
        <v>0</v>
      </c>
      <c r="H1048" s="23">
        <v>0</v>
      </c>
      <c r="I1048" s="23">
        <v>0</v>
      </c>
      <c r="J1048" s="23">
        <v>7325.0482000000002</v>
      </c>
      <c r="N1048" s="23"/>
      <c r="O1048" s="23"/>
      <c r="P1048" s="23"/>
      <c r="Q1048" s="23"/>
      <c r="R1048" s="23"/>
      <c r="S1048" s="23"/>
      <c r="T1048" s="23"/>
      <c r="U1048" s="23"/>
    </row>
    <row r="1049" spans="1:21" x14ac:dyDescent="0.2">
      <c r="A1049" s="23">
        <v>22</v>
      </c>
      <c r="B1049" s="23">
        <v>1</v>
      </c>
      <c r="C1049" s="23">
        <v>52.58</v>
      </c>
      <c r="D1049" s="23">
        <v>1</v>
      </c>
      <c r="E1049" s="23">
        <v>1</v>
      </c>
      <c r="F1049" s="23">
        <v>0</v>
      </c>
      <c r="G1049" s="23">
        <v>1</v>
      </c>
      <c r="H1049" s="23">
        <v>0</v>
      </c>
      <c r="I1049" s="23">
        <v>0</v>
      </c>
      <c r="J1049" s="23">
        <v>44501.398200000003</v>
      </c>
      <c r="N1049" s="23"/>
      <c r="O1049" s="23"/>
      <c r="P1049" s="23"/>
      <c r="Q1049" s="23"/>
      <c r="R1049" s="23"/>
      <c r="S1049" s="23"/>
      <c r="T1049" s="23"/>
      <c r="U1049" s="23"/>
    </row>
    <row r="1050" spans="1:21" x14ac:dyDescent="0.2">
      <c r="A1050" s="23">
        <v>25</v>
      </c>
      <c r="B1050" s="23">
        <v>0</v>
      </c>
      <c r="C1050" s="23">
        <v>22.515000000000001</v>
      </c>
      <c r="D1050" s="23">
        <v>1</v>
      </c>
      <c r="E1050" s="23">
        <v>0</v>
      </c>
      <c r="F1050" s="23">
        <v>0</v>
      </c>
      <c r="G1050" s="23">
        <v>0</v>
      </c>
      <c r="H1050" s="23">
        <v>0</v>
      </c>
      <c r="I1050" s="23">
        <v>1</v>
      </c>
      <c r="J1050" s="23">
        <v>3594.17085</v>
      </c>
      <c r="N1050" s="23"/>
      <c r="O1050" s="23"/>
      <c r="P1050" s="23"/>
      <c r="Q1050" s="23"/>
      <c r="R1050" s="23"/>
      <c r="S1050" s="23"/>
      <c r="T1050" s="23"/>
      <c r="U1050" s="23"/>
    </row>
    <row r="1051" spans="1:21" x14ac:dyDescent="0.2">
      <c r="A1051" s="23">
        <v>49</v>
      </c>
      <c r="B1051" s="23">
        <v>1</v>
      </c>
      <c r="C1051" s="23">
        <v>30.9</v>
      </c>
      <c r="D1051" s="23">
        <v>0</v>
      </c>
      <c r="E1051" s="23">
        <v>1</v>
      </c>
      <c r="F1051" s="23">
        <v>0</v>
      </c>
      <c r="G1051" s="23">
        <v>0</v>
      </c>
      <c r="H1051" s="23">
        <v>1</v>
      </c>
      <c r="I1051" s="23">
        <v>0</v>
      </c>
      <c r="J1051" s="23">
        <v>39727.614000000001</v>
      </c>
      <c r="N1051" s="23"/>
      <c r="O1051" s="23"/>
      <c r="P1051" s="23"/>
      <c r="Q1051" s="23"/>
      <c r="R1051" s="23"/>
      <c r="S1051" s="23"/>
      <c r="T1051" s="23"/>
      <c r="U1051" s="23"/>
    </row>
    <row r="1052" spans="1:21" x14ac:dyDescent="0.2">
      <c r="A1052" s="23">
        <v>44</v>
      </c>
      <c r="B1052" s="23">
        <v>0</v>
      </c>
      <c r="C1052" s="23">
        <v>36.954999999999998</v>
      </c>
      <c r="D1052" s="23">
        <v>1</v>
      </c>
      <c r="E1052" s="23">
        <v>0</v>
      </c>
      <c r="F1052" s="23">
        <v>0</v>
      </c>
      <c r="G1052" s="23">
        <v>0</v>
      </c>
      <c r="H1052" s="23">
        <v>0</v>
      </c>
      <c r="I1052" s="23">
        <v>1</v>
      </c>
      <c r="J1052" s="23">
        <v>8023.1354499999998</v>
      </c>
      <c r="N1052" s="23"/>
      <c r="O1052" s="23"/>
      <c r="P1052" s="23"/>
      <c r="Q1052" s="23"/>
      <c r="R1052" s="23"/>
      <c r="S1052" s="23"/>
      <c r="T1052" s="23"/>
      <c r="U1052" s="23"/>
    </row>
    <row r="1053" spans="1:21" x14ac:dyDescent="0.2">
      <c r="A1053" s="23">
        <v>64</v>
      </c>
      <c r="B1053" s="23">
        <v>1</v>
      </c>
      <c r="C1053" s="23">
        <v>26.41</v>
      </c>
      <c r="D1053" s="23">
        <v>0</v>
      </c>
      <c r="E1053" s="23">
        <v>0</v>
      </c>
      <c r="F1053" s="23">
        <v>1</v>
      </c>
      <c r="G1053" s="23">
        <v>0</v>
      </c>
      <c r="H1053" s="23">
        <v>0</v>
      </c>
      <c r="I1053" s="23">
        <v>0</v>
      </c>
      <c r="J1053" s="23">
        <v>14394.5579</v>
      </c>
      <c r="N1053" s="23"/>
      <c r="O1053" s="23"/>
      <c r="P1053" s="23"/>
      <c r="Q1053" s="23"/>
      <c r="R1053" s="23"/>
      <c r="S1053" s="23"/>
      <c r="T1053" s="23"/>
      <c r="U1053" s="23"/>
    </row>
    <row r="1054" spans="1:21" x14ac:dyDescent="0.2">
      <c r="A1054" s="23">
        <v>49</v>
      </c>
      <c r="B1054" s="23">
        <v>1</v>
      </c>
      <c r="C1054" s="23">
        <v>29.83</v>
      </c>
      <c r="D1054" s="23">
        <v>1</v>
      </c>
      <c r="E1054" s="23">
        <v>0</v>
      </c>
      <c r="F1054" s="23">
        <v>1</v>
      </c>
      <c r="G1054" s="23">
        <v>0</v>
      </c>
      <c r="H1054" s="23">
        <v>0</v>
      </c>
      <c r="I1054" s="23">
        <v>0</v>
      </c>
      <c r="J1054" s="23">
        <v>9288.0267000000003</v>
      </c>
      <c r="N1054" s="23"/>
      <c r="O1054" s="23"/>
      <c r="P1054" s="23"/>
      <c r="Q1054" s="23"/>
      <c r="R1054" s="23"/>
      <c r="S1054" s="23"/>
      <c r="T1054" s="23"/>
      <c r="U1054" s="23"/>
    </row>
    <row r="1055" spans="1:21" x14ac:dyDescent="0.2">
      <c r="A1055" s="23">
        <v>47</v>
      </c>
      <c r="B1055" s="23">
        <v>1</v>
      </c>
      <c r="C1055" s="23">
        <v>29.8</v>
      </c>
      <c r="D1055" s="23">
        <v>3</v>
      </c>
      <c r="E1055" s="23">
        <v>1</v>
      </c>
      <c r="F1055" s="23">
        <v>0</v>
      </c>
      <c r="G1055" s="23">
        <v>0</v>
      </c>
      <c r="H1055" s="23">
        <v>1</v>
      </c>
      <c r="I1055" s="23">
        <v>0</v>
      </c>
      <c r="J1055" s="23">
        <v>25309.489000000001</v>
      </c>
      <c r="N1055" s="23"/>
      <c r="O1055" s="23"/>
      <c r="P1055" s="23"/>
      <c r="Q1055" s="23"/>
      <c r="R1055" s="23"/>
      <c r="S1055" s="23"/>
      <c r="T1055" s="23"/>
      <c r="U1055" s="23"/>
    </row>
    <row r="1056" spans="1:21" x14ac:dyDescent="0.2">
      <c r="A1056" s="23">
        <v>27</v>
      </c>
      <c r="B1056" s="23">
        <v>0</v>
      </c>
      <c r="C1056" s="23">
        <v>21.47</v>
      </c>
      <c r="D1056" s="23">
        <v>0</v>
      </c>
      <c r="E1056" s="23">
        <v>0</v>
      </c>
      <c r="F1056" s="23">
        <v>0</v>
      </c>
      <c r="G1056" s="23">
        <v>0</v>
      </c>
      <c r="H1056" s="23">
        <v>0</v>
      </c>
      <c r="I1056" s="23">
        <v>1</v>
      </c>
      <c r="J1056" s="23">
        <v>3353.4703</v>
      </c>
      <c r="N1056" s="23"/>
      <c r="O1056" s="23"/>
      <c r="P1056" s="23"/>
      <c r="Q1056" s="23"/>
      <c r="R1056" s="23"/>
      <c r="S1056" s="23"/>
      <c r="T1056" s="23"/>
      <c r="U1056" s="23"/>
    </row>
    <row r="1057" spans="1:21" x14ac:dyDescent="0.2">
      <c r="A1057" s="23">
        <v>55</v>
      </c>
      <c r="B1057" s="23">
        <v>1</v>
      </c>
      <c r="C1057" s="23">
        <v>27.645</v>
      </c>
      <c r="D1057" s="23">
        <v>0</v>
      </c>
      <c r="E1057" s="23">
        <v>0</v>
      </c>
      <c r="F1057" s="23">
        <v>0</v>
      </c>
      <c r="G1057" s="23">
        <v>0</v>
      </c>
      <c r="H1057" s="23">
        <v>0</v>
      </c>
      <c r="I1057" s="23">
        <v>1</v>
      </c>
      <c r="J1057" s="23">
        <v>10594.501550000001</v>
      </c>
      <c r="N1057" s="23"/>
      <c r="O1057" s="23"/>
      <c r="P1057" s="23"/>
      <c r="Q1057" s="23"/>
      <c r="R1057" s="23"/>
      <c r="S1057" s="23"/>
      <c r="T1057" s="23"/>
      <c r="U1057" s="23"/>
    </row>
    <row r="1058" spans="1:21" x14ac:dyDescent="0.2">
      <c r="A1058" s="23">
        <v>48</v>
      </c>
      <c r="B1058" s="23">
        <v>0</v>
      </c>
      <c r="C1058" s="23">
        <v>28.9</v>
      </c>
      <c r="D1058" s="23">
        <v>0</v>
      </c>
      <c r="E1058" s="23">
        <v>0</v>
      </c>
      <c r="F1058" s="23">
        <v>0</v>
      </c>
      <c r="G1058" s="23">
        <v>0</v>
      </c>
      <c r="H1058" s="23">
        <v>1</v>
      </c>
      <c r="I1058" s="23">
        <v>0</v>
      </c>
      <c r="J1058" s="23">
        <v>8277.5229999999992</v>
      </c>
      <c r="N1058" s="23"/>
      <c r="O1058" s="23"/>
      <c r="P1058" s="23"/>
      <c r="Q1058" s="23"/>
      <c r="R1058" s="23"/>
      <c r="S1058" s="23"/>
      <c r="T1058" s="23"/>
      <c r="U1058" s="23"/>
    </row>
    <row r="1059" spans="1:21" x14ac:dyDescent="0.2">
      <c r="A1059" s="23">
        <v>45</v>
      </c>
      <c r="B1059" s="23">
        <v>0</v>
      </c>
      <c r="C1059" s="23">
        <v>31.79</v>
      </c>
      <c r="D1059" s="23">
        <v>0</v>
      </c>
      <c r="E1059" s="23">
        <v>0</v>
      </c>
      <c r="F1059" s="23">
        <v>0</v>
      </c>
      <c r="G1059" s="23">
        <v>1</v>
      </c>
      <c r="H1059" s="23">
        <v>0</v>
      </c>
      <c r="I1059" s="23">
        <v>0</v>
      </c>
      <c r="J1059" s="23">
        <v>17929.303370000001</v>
      </c>
      <c r="N1059" s="23"/>
      <c r="O1059" s="23"/>
      <c r="P1059" s="23"/>
      <c r="Q1059" s="23"/>
      <c r="R1059" s="23"/>
      <c r="S1059" s="23"/>
      <c r="T1059" s="23"/>
      <c r="U1059" s="23"/>
    </row>
    <row r="1060" spans="1:21" x14ac:dyDescent="0.2">
      <c r="A1060" s="23">
        <v>24</v>
      </c>
      <c r="B1060" s="23">
        <v>0</v>
      </c>
      <c r="C1060" s="23">
        <v>39.49</v>
      </c>
      <c r="D1060" s="23">
        <v>0</v>
      </c>
      <c r="E1060" s="23">
        <v>0</v>
      </c>
      <c r="F1060" s="23">
        <v>0</v>
      </c>
      <c r="G1060" s="23">
        <v>1</v>
      </c>
      <c r="H1060" s="23">
        <v>0</v>
      </c>
      <c r="I1060" s="23">
        <v>0</v>
      </c>
      <c r="J1060" s="23">
        <v>2480.9791</v>
      </c>
      <c r="N1060" s="23"/>
      <c r="O1060" s="23"/>
      <c r="P1060" s="23"/>
      <c r="Q1060" s="23"/>
      <c r="R1060" s="23"/>
      <c r="S1060" s="23"/>
      <c r="T1060" s="23"/>
      <c r="U1060" s="23"/>
    </row>
    <row r="1061" spans="1:21" x14ac:dyDescent="0.2">
      <c r="A1061" s="23">
        <v>32</v>
      </c>
      <c r="B1061" s="23">
        <v>1</v>
      </c>
      <c r="C1061" s="23">
        <v>33.82</v>
      </c>
      <c r="D1061" s="23">
        <v>1</v>
      </c>
      <c r="E1061" s="23">
        <v>0</v>
      </c>
      <c r="F1061" s="23">
        <v>0</v>
      </c>
      <c r="G1061" s="23">
        <v>0</v>
      </c>
      <c r="H1061" s="23">
        <v>0</v>
      </c>
      <c r="I1061" s="23">
        <v>1</v>
      </c>
      <c r="J1061" s="23">
        <v>4462.7218000000003</v>
      </c>
      <c r="N1061" s="23"/>
      <c r="O1061" s="23"/>
      <c r="P1061" s="23"/>
      <c r="Q1061" s="23"/>
      <c r="R1061" s="23"/>
      <c r="S1061" s="23"/>
      <c r="T1061" s="23"/>
      <c r="U1061" s="23"/>
    </row>
    <row r="1062" spans="1:21" x14ac:dyDescent="0.2">
      <c r="A1062" s="23">
        <v>24</v>
      </c>
      <c r="B1062" s="23">
        <v>1</v>
      </c>
      <c r="C1062" s="23">
        <v>32.01</v>
      </c>
      <c r="D1062" s="23">
        <v>0</v>
      </c>
      <c r="E1062" s="23">
        <v>0</v>
      </c>
      <c r="F1062" s="23">
        <v>0</v>
      </c>
      <c r="G1062" s="23">
        <v>1</v>
      </c>
      <c r="H1062" s="23">
        <v>0</v>
      </c>
      <c r="I1062" s="23">
        <v>0</v>
      </c>
      <c r="J1062" s="23">
        <v>1981.5818999999999</v>
      </c>
      <c r="N1062" s="23"/>
      <c r="O1062" s="23"/>
      <c r="P1062" s="23"/>
      <c r="Q1062" s="23"/>
      <c r="R1062" s="23"/>
      <c r="S1062" s="23"/>
      <c r="T1062" s="23"/>
      <c r="U1062" s="23"/>
    </row>
    <row r="1063" spans="1:21" x14ac:dyDescent="0.2">
      <c r="A1063" s="23">
        <v>57</v>
      </c>
      <c r="B1063" s="23">
        <v>1</v>
      </c>
      <c r="C1063" s="23">
        <v>27.94</v>
      </c>
      <c r="D1063" s="23">
        <v>1</v>
      </c>
      <c r="E1063" s="23">
        <v>0</v>
      </c>
      <c r="F1063" s="23">
        <v>0</v>
      </c>
      <c r="G1063" s="23">
        <v>1</v>
      </c>
      <c r="H1063" s="23">
        <v>0</v>
      </c>
      <c r="I1063" s="23">
        <v>0</v>
      </c>
      <c r="J1063" s="23">
        <v>11554.223599999999</v>
      </c>
      <c r="N1063" s="23"/>
      <c r="O1063" s="23"/>
      <c r="P1063" s="23"/>
      <c r="Q1063" s="23"/>
      <c r="R1063" s="23"/>
      <c r="S1063" s="23"/>
      <c r="T1063" s="23"/>
      <c r="U1063" s="23"/>
    </row>
    <row r="1064" spans="1:21" x14ac:dyDescent="0.2">
      <c r="A1064" s="23">
        <v>59</v>
      </c>
      <c r="B1064" s="23">
        <v>1</v>
      </c>
      <c r="C1064" s="23">
        <v>41.14</v>
      </c>
      <c r="D1064" s="23">
        <v>1</v>
      </c>
      <c r="E1064" s="23">
        <v>1</v>
      </c>
      <c r="F1064" s="23">
        <v>0</v>
      </c>
      <c r="G1064" s="23">
        <v>1</v>
      </c>
      <c r="H1064" s="23">
        <v>0</v>
      </c>
      <c r="I1064" s="23">
        <v>0</v>
      </c>
      <c r="J1064" s="23">
        <v>48970.247600000002</v>
      </c>
      <c r="N1064" s="23"/>
      <c r="O1064" s="23"/>
      <c r="P1064" s="23"/>
      <c r="Q1064" s="23"/>
      <c r="R1064" s="23"/>
      <c r="S1064" s="23"/>
      <c r="T1064" s="23"/>
      <c r="U1064" s="23"/>
    </row>
    <row r="1065" spans="1:21" x14ac:dyDescent="0.2">
      <c r="A1065" s="23">
        <v>36</v>
      </c>
      <c r="B1065" s="23">
        <v>1</v>
      </c>
      <c r="C1065" s="23">
        <v>28.594999999999999</v>
      </c>
      <c r="D1065" s="23">
        <v>3</v>
      </c>
      <c r="E1065" s="23">
        <v>0</v>
      </c>
      <c r="F1065" s="23">
        <v>0</v>
      </c>
      <c r="G1065" s="23">
        <v>0</v>
      </c>
      <c r="H1065" s="23">
        <v>0</v>
      </c>
      <c r="I1065" s="23">
        <v>1</v>
      </c>
      <c r="J1065" s="23">
        <v>6548.1950500000003</v>
      </c>
      <c r="N1065" s="23"/>
      <c r="O1065" s="23"/>
      <c r="P1065" s="23"/>
      <c r="Q1065" s="23"/>
      <c r="R1065" s="23"/>
      <c r="S1065" s="23"/>
      <c r="T1065" s="23"/>
      <c r="U1065" s="23"/>
    </row>
    <row r="1066" spans="1:21" x14ac:dyDescent="0.2">
      <c r="A1066" s="23">
        <v>29</v>
      </c>
      <c r="B1066" s="23">
        <v>0</v>
      </c>
      <c r="C1066" s="23">
        <v>25.6</v>
      </c>
      <c r="D1066" s="23">
        <v>4</v>
      </c>
      <c r="E1066" s="23">
        <v>0</v>
      </c>
      <c r="F1066" s="23">
        <v>0</v>
      </c>
      <c r="G1066" s="23">
        <v>0</v>
      </c>
      <c r="H1066" s="23">
        <v>1</v>
      </c>
      <c r="I1066" s="23">
        <v>0</v>
      </c>
      <c r="J1066" s="23">
        <v>5708.8670000000002</v>
      </c>
      <c r="N1066" s="23"/>
      <c r="O1066" s="23"/>
      <c r="P1066" s="23"/>
      <c r="Q1066" s="23"/>
      <c r="R1066" s="23"/>
      <c r="S1066" s="23"/>
      <c r="T1066" s="23"/>
      <c r="U1066" s="23"/>
    </row>
    <row r="1067" spans="1:21" x14ac:dyDescent="0.2">
      <c r="A1067" s="23">
        <v>42</v>
      </c>
      <c r="B1067" s="23">
        <v>0</v>
      </c>
      <c r="C1067" s="23">
        <v>25.3</v>
      </c>
      <c r="D1067" s="23">
        <v>1</v>
      </c>
      <c r="E1067" s="23">
        <v>0</v>
      </c>
      <c r="F1067" s="23">
        <v>0</v>
      </c>
      <c r="G1067" s="23">
        <v>0</v>
      </c>
      <c r="H1067" s="23">
        <v>1</v>
      </c>
      <c r="I1067" s="23">
        <v>0</v>
      </c>
      <c r="J1067" s="23">
        <v>7045.4989999999998</v>
      </c>
      <c r="N1067" s="23"/>
      <c r="O1067" s="23"/>
      <c r="P1067" s="23"/>
      <c r="Q1067" s="23"/>
      <c r="R1067" s="23"/>
      <c r="S1067" s="23"/>
      <c r="T1067" s="23"/>
      <c r="U1067" s="23"/>
    </row>
    <row r="1068" spans="1:21" x14ac:dyDescent="0.2">
      <c r="A1068" s="23">
        <v>48</v>
      </c>
      <c r="B1068" s="23">
        <v>1</v>
      </c>
      <c r="C1068" s="23">
        <v>37.29</v>
      </c>
      <c r="D1068" s="23">
        <v>2</v>
      </c>
      <c r="E1068" s="23">
        <v>0</v>
      </c>
      <c r="F1068" s="23">
        <v>0</v>
      </c>
      <c r="G1068" s="23">
        <v>1</v>
      </c>
      <c r="H1068" s="23">
        <v>0</v>
      </c>
      <c r="I1068" s="23">
        <v>0</v>
      </c>
      <c r="J1068" s="23">
        <v>8978.1851000000006</v>
      </c>
      <c r="N1068" s="23"/>
      <c r="O1068" s="23"/>
      <c r="P1068" s="23"/>
      <c r="Q1068" s="23"/>
      <c r="R1068" s="23"/>
      <c r="S1068" s="23"/>
      <c r="T1068" s="23"/>
      <c r="U1068" s="23"/>
    </row>
    <row r="1069" spans="1:21" x14ac:dyDescent="0.2">
      <c r="A1069" s="23">
        <v>39</v>
      </c>
      <c r="B1069" s="23">
        <v>1</v>
      </c>
      <c r="C1069" s="23">
        <v>42.655000000000001</v>
      </c>
      <c r="D1069" s="23">
        <v>0</v>
      </c>
      <c r="E1069" s="23">
        <v>0</v>
      </c>
      <c r="F1069" s="23">
        <v>1</v>
      </c>
      <c r="G1069" s="23">
        <v>0</v>
      </c>
      <c r="H1069" s="23">
        <v>0</v>
      </c>
      <c r="I1069" s="23">
        <v>0</v>
      </c>
      <c r="J1069" s="23">
        <v>5757.41345</v>
      </c>
      <c r="N1069" s="23"/>
      <c r="O1069" s="23"/>
      <c r="P1069" s="23"/>
      <c r="Q1069" s="23"/>
      <c r="R1069" s="23"/>
      <c r="S1069" s="23"/>
      <c r="T1069" s="23"/>
      <c r="U1069" s="23"/>
    </row>
    <row r="1070" spans="1:21" x14ac:dyDescent="0.2">
      <c r="A1070" s="23">
        <v>63</v>
      </c>
      <c r="B1070" s="23">
        <v>1</v>
      </c>
      <c r="C1070" s="23">
        <v>21.66</v>
      </c>
      <c r="D1070" s="23">
        <v>1</v>
      </c>
      <c r="E1070" s="23">
        <v>0</v>
      </c>
      <c r="F1070" s="23">
        <v>0</v>
      </c>
      <c r="G1070" s="23">
        <v>0</v>
      </c>
      <c r="H1070" s="23">
        <v>0</v>
      </c>
      <c r="I1070" s="23">
        <v>1</v>
      </c>
      <c r="J1070" s="23">
        <v>14349.8544</v>
      </c>
      <c r="N1070" s="23"/>
      <c r="O1070" s="23"/>
      <c r="P1070" s="23"/>
      <c r="Q1070" s="23"/>
      <c r="R1070" s="23"/>
      <c r="S1070" s="23"/>
      <c r="T1070" s="23"/>
      <c r="U1070" s="23"/>
    </row>
    <row r="1071" spans="1:21" x14ac:dyDescent="0.2">
      <c r="A1071" s="23">
        <v>54</v>
      </c>
      <c r="B1071" s="23">
        <v>0</v>
      </c>
      <c r="C1071" s="23">
        <v>31.9</v>
      </c>
      <c r="D1071" s="23">
        <v>1</v>
      </c>
      <c r="E1071" s="23">
        <v>0</v>
      </c>
      <c r="F1071" s="23">
        <v>0</v>
      </c>
      <c r="G1071" s="23">
        <v>1</v>
      </c>
      <c r="H1071" s="23">
        <v>0</v>
      </c>
      <c r="I1071" s="23">
        <v>0</v>
      </c>
      <c r="J1071" s="23">
        <v>10928.849</v>
      </c>
      <c r="N1071" s="23"/>
      <c r="O1071" s="23"/>
      <c r="P1071" s="23"/>
      <c r="Q1071" s="23"/>
      <c r="R1071" s="23"/>
      <c r="S1071" s="23"/>
      <c r="T1071" s="23"/>
      <c r="U1071" s="23"/>
    </row>
    <row r="1072" spans="1:21" x14ac:dyDescent="0.2">
      <c r="A1072" s="23">
        <v>37</v>
      </c>
      <c r="B1072" s="23">
        <v>1</v>
      </c>
      <c r="C1072" s="23">
        <v>37.07</v>
      </c>
      <c r="D1072" s="23">
        <v>1</v>
      </c>
      <c r="E1072" s="23">
        <v>1</v>
      </c>
      <c r="F1072" s="23">
        <v>0</v>
      </c>
      <c r="G1072" s="23">
        <v>1</v>
      </c>
      <c r="H1072" s="23">
        <v>0</v>
      </c>
      <c r="I1072" s="23">
        <v>0</v>
      </c>
      <c r="J1072" s="23">
        <v>39871.704299999998</v>
      </c>
      <c r="N1072" s="23"/>
      <c r="O1072" s="23"/>
      <c r="P1072" s="23"/>
      <c r="Q1072" s="23"/>
      <c r="R1072" s="23"/>
      <c r="S1072" s="23"/>
      <c r="T1072" s="23"/>
      <c r="U1072" s="23"/>
    </row>
    <row r="1073" spans="1:21" x14ac:dyDescent="0.2">
      <c r="A1073" s="23">
        <v>63</v>
      </c>
      <c r="B1073" s="23">
        <v>1</v>
      </c>
      <c r="C1073" s="23">
        <v>31.445</v>
      </c>
      <c r="D1073" s="23">
        <v>0</v>
      </c>
      <c r="E1073" s="23">
        <v>0</v>
      </c>
      <c r="F1073" s="23">
        <v>1</v>
      </c>
      <c r="G1073" s="23">
        <v>0</v>
      </c>
      <c r="H1073" s="23">
        <v>0</v>
      </c>
      <c r="I1073" s="23">
        <v>0</v>
      </c>
      <c r="J1073" s="23">
        <v>13974.455550000001</v>
      </c>
      <c r="N1073" s="23"/>
      <c r="O1073" s="23"/>
      <c r="P1073" s="23"/>
      <c r="Q1073" s="23"/>
      <c r="R1073" s="23"/>
      <c r="S1073" s="23"/>
      <c r="T1073" s="23"/>
      <c r="U1073" s="23"/>
    </row>
    <row r="1074" spans="1:21" x14ac:dyDescent="0.2">
      <c r="A1074" s="23">
        <v>21</v>
      </c>
      <c r="B1074" s="23">
        <v>1</v>
      </c>
      <c r="C1074" s="23">
        <v>31.254999999999999</v>
      </c>
      <c r="D1074" s="23">
        <v>0</v>
      </c>
      <c r="E1074" s="23">
        <v>0</v>
      </c>
      <c r="F1074" s="23">
        <v>0</v>
      </c>
      <c r="G1074" s="23">
        <v>0</v>
      </c>
      <c r="H1074" s="23">
        <v>0</v>
      </c>
      <c r="I1074" s="23">
        <v>1</v>
      </c>
      <c r="J1074" s="23">
        <v>1909.52745</v>
      </c>
      <c r="N1074" s="23"/>
      <c r="O1074" s="23"/>
      <c r="P1074" s="23"/>
      <c r="Q1074" s="23"/>
      <c r="R1074" s="23"/>
      <c r="S1074" s="23"/>
      <c r="T1074" s="23"/>
      <c r="U1074" s="23"/>
    </row>
    <row r="1075" spans="1:21" x14ac:dyDescent="0.2">
      <c r="A1075" s="23">
        <v>54</v>
      </c>
      <c r="B1075" s="23">
        <v>0</v>
      </c>
      <c r="C1075" s="23">
        <v>28.88</v>
      </c>
      <c r="D1075" s="23">
        <v>2</v>
      </c>
      <c r="E1075" s="23">
        <v>0</v>
      </c>
      <c r="F1075" s="23">
        <v>1</v>
      </c>
      <c r="G1075" s="23">
        <v>0</v>
      </c>
      <c r="H1075" s="23">
        <v>0</v>
      </c>
      <c r="I1075" s="23">
        <v>0</v>
      </c>
      <c r="J1075" s="23">
        <v>12096.6512</v>
      </c>
      <c r="N1075" s="23"/>
      <c r="O1075" s="23"/>
      <c r="P1075" s="23"/>
      <c r="Q1075" s="23"/>
      <c r="R1075" s="23"/>
      <c r="S1075" s="23"/>
      <c r="T1075" s="23"/>
      <c r="U1075" s="23"/>
    </row>
    <row r="1076" spans="1:21" x14ac:dyDescent="0.2">
      <c r="A1076" s="23">
        <v>60</v>
      </c>
      <c r="B1076" s="23">
        <v>0</v>
      </c>
      <c r="C1076" s="23">
        <v>18.335000000000001</v>
      </c>
      <c r="D1076" s="23">
        <v>0</v>
      </c>
      <c r="E1076" s="23">
        <v>0</v>
      </c>
      <c r="F1076" s="23">
        <v>1</v>
      </c>
      <c r="G1076" s="23">
        <v>0</v>
      </c>
      <c r="H1076" s="23">
        <v>0</v>
      </c>
      <c r="I1076" s="23">
        <v>0</v>
      </c>
      <c r="J1076" s="23">
        <v>13204.28565</v>
      </c>
      <c r="N1076" s="23"/>
      <c r="O1076" s="23"/>
      <c r="P1076" s="23"/>
      <c r="Q1076" s="23"/>
      <c r="R1076" s="23"/>
      <c r="S1076" s="23"/>
      <c r="T1076" s="23"/>
      <c r="U1076" s="23"/>
    </row>
    <row r="1077" spans="1:21" x14ac:dyDescent="0.2">
      <c r="A1077" s="23">
        <v>32</v>
      </c>
      <c r="B1077" s="23">
        <v>0</v>
      </c>
      <c r="C1077" s="23">
        <v>29.59</v>
      </c>
      <c r="D1077" s="23">
        <v>1</v>
      </c>
      <c r="E1077" s="23">
        <v>0</v>
      </c>
      <c r="F1077" s="23">
        <v>0</v>
      </c>
      <c r="G1077" s="23">
        <v>1</v>
      </c>
      <c r="H1077" s="23">
        <v>0</v>
      </c>
      <c r="I1077" s="23">
        <v>0</v>
      </c>
      <c r="J1077" s="23">
        <v>4562.8420999999998</v>
      </c>
      <c r="N1077" s="23"/>
      <c r="O1077" s="23"/>
      <c r="P1077" s="23"/>
      <c r="Q1077" s="23"/>
      <c r="R1077" s="23"/>
      <c r="S1077" s="23"/>
      <c r="T1077" s="23"/>
      <c r="U1077" s="23"/>
    </row>
    <row r="1078" spans="1:21" x14ac:dyDescent="0.2">
      <c r="A1078" s="23">
        <v>47</v>
      </c>
      <c r="B1078" s="23">
        <v>0</v>
      </c>
      <c r="C1078" s="23">
        <v>32</v>
      </c>
      <c r="D1078" s="23">
        <v>1</v>
      </c>
      <c r="E1078" s="23">
        <v>0</v>
      </c>
      <c r="F1078" s="23">
        <v>0</v>
      </c>
      <c r="G1078" s="23">
        <v>0</v>
      </c>
      <c r="H1078" s="23">
        <v>1</v>
      </c>
      <c r="I1078" s="23">
        <v>0</v>
      </c>
      <c r="J1078" s="23">
        <v>8551.3469999999998</v>
      </c>
      <c r="N1078" s="23"/>
      <c r="O1078" s="23"/>
      <c r="P1078" s="23"/>
      <c r="Q1078" s="23"/>
      <c r="R1078" s="23"/>
      <c r="S1078" s="23"/>
      <c r="T1078" s="23"/>
      <c r="U1078" s="23"/>
    </row>
    <row r="1079" spans="1:21" x14ac:dyDescent="0.2">
      <c r="A1079" s="23">
        <v>21</v>
      </c>
      <c r="B1079" s="23">
        <v>1</v>
      </c>
      <c r="C1079" s="23">
        <v>26.03</v>
      </c>
      <c r="D1079" s="23">
        <v>0</v>
      </c>
      <c r="E1079" s="23">
        <v>0</v>
      </c>
      <c r="F1079" s="23">
        <v>1</v>
      </c>
      <c r="G1079" s="23">
        <v>0</v>
      </c>
      <c r="H1079" s="23">
        <v>0</v>
      </c>
      <c r="I1079" s="23">
        <v>0</v>
      </c>
      <c r="J1079" s="23">
        <v>2102.2647000000002</v>
      </c>
      <c r="N1079" s="23"/>
      <c r="O1079" s="23"/>
      <c r="P1079" s="23"/>
      <c r="Q1079" s="23"/>
      <c r="R1079" s="23"/>
      <c r="S1079" s="23"/>
      <c r="T1079" s="23"/>
      <c r="U1079" s="23"/>
    </row>
    <row r="1080" spans="1:21" x14ac:dyDescent="0.2">
      <c r="A1080" s="23">
        <v>28</v>
      </c>
      <c r="B1080" s="23">
        <v>1</v>
      </c>
      <c r="C1080" s="23">
        <v>31.68</v>
      </c>
      <c r="D1080" s="23">
        <v>0</v>
      </c>
      <c r="E1080" s="23">
        <v>1</v>
      </c>
      <c r="F1080" s="23">
        <v>0</v>
      </c>
      <c r="G1080" s="23">
        <v>1</v>
      </c>
      <c r="H1080" s="23">
        <v>0</v>
      </c>
      <c r="I1080" s="23">
        <v>0</v>
      </c>
      <c r="J1080" s="23">
        <v>34672.147199999999</v>
      </c>
      <c r="N1080" s="23"/>
      <c r="O1080" s="23"/>
      <c r="P1080" s="23"/>
      <c r="Q1080" s="23"/>
      <c r="R1080" s="23"/>
      <c r="S1080" s="23"/>
      <c r="T1080" s="23"/>
      <c r="U1080" s="23"/>
    </row>
    <row r="1081" spans="1:21" x14ac:dyDescent="0.2">
      <c r="A1081" s="23">
        <v>63</v>
      </c>
      <c r="B1081" s="23">
        <v>1</v>
      </c>
      <c r="C1081" s="23">
        <v>33.659999999999997</v>
      </c>
      <c r="D1081" s="23">
        <v>3</v>
      </c>
      <c r="E1081" s="23">
        <v>0</v>
      </c>
      <c r="F1081" s="23">
        <v>0</v>
      </c>
      <c r="G1081" s="23">
        <v>1</v>
      </c>
      <c r="H1081" s="23">
        <v>0</v>
      </c>
      <c r="I1081" s="23">
        <v>0</v>
      </c>
      <c r="J1081" s="23">
        <v>15161.5344</v>
      </c>
      <c r="N1081" s="23"/>
      <c r="O1081" s="23"/>
      <c r="P1081" s="23"/>
      <c r="Q1081" s="23"/>
      <c r="R1081" s="23"/>
      <c r="S1081" s="23"/>
      <c r="T1081" s="23"/>
      <c r="U1081" s="23"/>
    </row>
    <row r="1082" spans="1:21" x14ac:dyDescent="0.2">
      <c r="A1082" s="23">
        <v>18</v>
      </c>
      <c r="B1082" s="23">
        <v>1</v>
      </c>
      <c r="C1082" s="23">
        <v>21.78</v>
      </c>
      <c r="D1082" s="23">
        <v>2</v>
      </c>
      <c r="E1082" s="23">
        <v>0</v>
      </c>
      <c r="F1082" s="23">
        <v>0</v>
      </c>
      <c r="G1082" s="23">
        <v>1</v>
      </c>
      <c r="H1082" s="23">
        <v>0</v>
      </c>
      <c r="I1082" s="23">
        <v>0</v>
      </c>
      <c r="J1082" s="23">
        <v>11884.048580000001</v>
      </c>
      <c r="N1082" s="23"/>
      <c r="O1082" s="23"/>
      <c r="P1082" s="23"/>
      <c r="Q1082" s="23"/>
      <c r="R1082" s="23"/>
      <c r="S1082" s="23"/>
      <c r="T1082" s="23"/>
      <c r="U1082" s="23"/>
    </row>
    <row r="1083" spans="1:21" x14ac:dyDescent="0.2">
      <c r="A1083" s="23">
        <v>32</v>
      </c>
      <c r="B1083" s="23">
        <v>1</v>
      </c>
      <c r="C1083" s="23">
        <v>27.835000000000001</v>
      </c>
      <c r="D1083" s="23">
        <v>1</v>
      </c>
      <c r="E1083" s="23">
        <v>0</v>
      </c>
      <c r="F1083" s="23">
        <v>0</v>
      </c>
      <c r="G1083" s="23">
        <v>0</v>
      </c>
      <c r="H1083" s="23">
        <v>0</v>
      </c>
      <c r="I1083" s="23">
        <v>1</v>
      </c>
      <c r="J1083" s="23">
        <v>4454.40265</v>
      </c>
      <c r="N1083" s="23"/>
      <c r="O1083" s="23"/>
      <c r="P1083" s="23"/>
      <c r="Q1083" s="23"/>
      <c r="R1083" s="23"/>
      <c r="S1083" s="23"/>
      <c r="T1083" s="23"/>
      <c r="U1083" s="23"/>
    </row>
    <row r="1084" spans="1:21" x14ac:dyDescent="0.2">
      <c r="A1084" s="23">
        <v>38</v>
      </c>
      <c r="B1084" s="23">
        <v>1</v>
      </c>
      <c r="C1084" s="23">
        <v>19.95</v>
      </c>
      <c r="D1084" s="23">
        <v>1</v>
      </c>
      <c r="E1084" s="23">
        <v>0</v>
      </c>
      <c r="F1084" s="23">
        <v>0</v>
      </c>
      <c r="G1084" s="23">
        <v>0</v>
      </c>
      <c r="H1084" s="23">
        <v>0</v>
      </c>
      <c r="I1084" s="23">
        <v>1</v>
      </c>
      <c r="J1084" s="23">
        <v>5855.9025000000001</v>
      </c>
      <c r="N1084" s="23"/>
      <c r="O1084" s="23"/>
      <c r="P1084" s="23"/>
      <c r="Q1084" s="23"/>
      <c r="R1084" s="23"/>
      <c r="S1084" s="23"/>
      <c r="T1084" s="23"/>
      <c r="U1084" s="23"/>
    </row>
    <row r="1085" spans="1:21" x14ac:dyDescent="0.2">
      <c r="A1085" s="23">
        <v>32</v>
      </c>
      <c r="B1085" s="23">
        <v>1</v>
      </c>
      <c r="C1085" s="23">
        <v>31.5</v>
      </c>
      <c r="D1085" s="23">
        <v>1</v>
      </c>
      <c r="E1085" s="23">
        <v>0</v>
      </c>
      <c r="F1085" s="23">
        <v>0</v>
      </c>
      <c r="G1085" s="23">
        <v>0</v>
      </c>
      <c r="H1085" s="23">
        <v>1</v>
      </c>
      <c r="I1085" s="23">
        <v>0</v>
      </c>
      <c r="J1085" s="23">
        <v>4076.4969999999998</v>
      </c>
      <c r="N1085" s="23"/>
      <c r="O1085" s="23"/>
      <c r="P1085" s="23"/>
      <c r="Q1085" s="23"/>
      <c r="R1085" s="23"/>
      <c r="S1085" s="23"/>
      <c r="T1085" s="23"/>
      <c r="U1085" s="23"/>
    </row>
    <row r="1086" spans="1:21" x14ac:dyDescent="0.2">
      <c r="A1086" s="23">
        <v>62</v>
      </c>
      <c r="B1086" s="23">
        <v>0</v>
      </c>
      <c r="C1086" s="23">
        <v>30.495000000000001</v>
      </c>
      <c r="D1086" s="23">
        <v>2</v>
      </c>
      <c r="E1086" s="23">
        <v>0</v>
      </c>
      <c r="F1086" s="23">
        <v>0</v>
      </c>
      <c r="G1086" s="23">
        <v>0</v>
      </c>
      <c r="H1086" s="23">
        <v>0</v>
      </c>
      <c r="I1086" s="23">
        <v>1</v>
      </c>
      <c r="J1086" s="23">
        <v>15019.760050000001</v>
      </c>
      <c r="N1086" s="23"/>
      <c r="O1086" s="23"/>
      <c r="P1086" s="23"/>
      <c r="Q1086" s="23"/>
      <c r="R1086" s="23"/>
      <c r="S1086" s="23"/>
      <c r="T1086" s="23"/>
      <c r="U1086" s="23"/>
    </row>
    <row r="1087" spans="1:21" x14ac:dyDescent="0.2">
      <c r="A1087" s="23">
        <v>39</v>
      </c>
      <c r="B1087" s="23">
        <v>0</v>
      </c>
      <c r="C1087" s="23">
        <v>18.3</v>
      </c>
      <c r="D1087" s="23">
        <v>5</v>
      </c>
      <c r="E1087" s="23">
        <v>1</v>
      </c>
      <c r="F1087" s="23">
        <v>0</v>
      </c>
      <c r="G1087" s="23">
        <v>0</v>
      </c>
      <c r="H1087" s="23">
        <v>1</v>
      </c>
      <c r="I1087" s="23">
        <v>0</v>
      </c>
      <c r="J1087" s="23">
        <v>19023.259999999998</v>
      </c>
      <c r="N1087" s="23"/>
      <c r="O1087" s="23"/>
      <c r="P1087" s="23"/>
      <c r="Q1087" s="23"/>
      <c r="R1087" s="23"/>
      <c r="S1087" s="23"/>
      <c r="T1087" s="23"/>
      <c r="U1087" s="23"/>
    </row>
    <row r="1088" spans="1:21" x14ac:dyDescent="0.2">
      <c r="A1088" s="23">
        <v>55</v>
      </c>
      <c r="B1088" s="23">
        <v>1</v>
      </c>
      <c r="C1088" s="23">
        <v>28.975000000000001</v>
      </c>
      <c r="D1088" s="23">
        <v>0</v>
      </c>
      <c r="E1088" s="23">
        <v>0</v>
      </c>
      <c r="F1088" s="23">
        <v>1</v>
      </c>
      <c r="G1088" s="23">
        <v>0</v>
      </c>
      <c r="H1088" s="23">
        <v>0</v>
      </c>
      <c r="I1088" s="23">
        <v>0</v>
      </c>
      <c r="J1088" s="23">
        <v>10796.35025</v>
      </c>
      <c r="N1088" s="23"/>
      <c r="O1088" s="23"/>
      <c r="P1088" s="23"/>
      <c r="Q1088" s="23"/>
      <c r="R1088" s="23"/>
      <c r="S1088" s="23"/>
      <c r="T1088" s="23"/>
      <c r="U1088" s="23"/>
    </row>
    <row r="1089" spans="1:21" x14ac:dyDescent="0.2">
      <c r="A1089" s="23">
        <v>57</v>
      </c>
      <c r="B1089" s="23">
        <v>1</v>
      </c>
      <c r="C1089" s="23">
        <v>31.54</v>
      </c>
      <c r="D1089" s="23">
        <v>0</v>
      </c>
      <c r="E1089" s="23">
        <v>0</v>
      </c>
      <c r="F1089" s="23">
        <v>0</v>
      </c>
      <c r="G1089" s="23">
        <v>0</v>
      </c>
      <c r="H1089" s="23">
        <v>0</v>
      </c>
      <c r="I1089" s="23">
        <v>1</v>
      </c>
      <c r="J1089" s="23">
        <v>11353.2276</v>
      </c>
      <c r="N1089" s="23"/>
      <c r="O1089" s="23"/>
      <c r="P1089" s="23"/>
      <c r="Q1089" s="23"/>
      <c r="R1089" s="23"/>
      <c r="S1089" s="23"/>
      <c r="T1089" s="23"/>
      <c r="U1089" s="23"/>
    </row>
    <row r="1090" spans="1:21" x14ac:dyDescent="0.2">
      <c r="A1090" s="23">
        <v>52</v>
      </c>
      <c r="B1090" s="23">
        <v>1</v>
      </c>
      <c r="C1090" s="23">
        <v>47.74</v>
      </c>
      <c r="D1090" s="23">
        <v>1</v>
      </c>
      <c r="E1090" s="23">
        <v>0</v>
      </c>
      <c r="F1090" s="23">
        <v>0</v>
      </c>
      <c r="G1090" s="23">
        <v>1</v>
      </c>
      <c r="H1090" s="23">
        <v>0</v>
      </c>
      <c r="I1090" s="23">
        <v>0</v>
      </c>
      <c r="J1090" s="23">
        <v>9748.9105999999992</v>
      </c>
      <c r="N1090" s="23"/>
      <c r="O1090" s="23"/>
      <c r="P1090" s="23"/>
      <c r="Q1090" s="23"/>
      <c r="R1090" s="23"/>
      <c r="S1090" s="23"/>
      <c r="T1090" s="23"/>
      <c r="U1090" s="23"/>
    </row>
    <row r="1091" spans="1:21" x14ac:dyDescent="0.2">
      <c r="A1091" s="23">
        <v>56</v>
      </c>
      <c r="B1091" s="23">
        <v>1</v>
      </c>
      <c r="C1091" s="23">
        <v>22.1</v>
      </c>
      <c r="D1091" s="23">
        <v>0</v>
      </c>
      <c r="E1091" s="23">
        <v>0</v>
      </c>
      <c r="F1091" s="23">
        <v>0</v>
      </c>
      <c r="G1091" s="23">
        <v>0</v>
      </c>
      <c r="H1091" s="23">
        <v>1</v>
      </c>
      <c r="I1091" s="23">
        <v>0</v>
      </c>
      <c r="J1091" s="23">
        <v>10577.087</v>
      </c>
      <c r="N1091" s="23"/>
      <c r="O1091" s="23"/>
      <c r="P1091" s="23"/>
      <c r="Q1091" s="23"/>
      <c r="R1091" s="23"/>
      <c r="S1091" s="23"/>
      <c r="T1091" s="23"/>
      <c r="U1091" s="23"/>
    </row>
    <row r="1092" spans="1:21" x14ac:dyDescent="0.2">
      <c r="A1092" s="23">
        <v>47</v>
      </c>
      <c r="B1092" s="23">
        <v>1</v>
      </c>
      <c r="C1092" s="23">
        <v>36.19</v>
      </c>
      <c r="D1092" s="23">
        <v>0</v>
      </c>
      <c r="E1092" s="23">
        <v>1</v>
      </c>
      <c r="F1092" s="23">
        <v>0</v>
      </c>
      <c r="G1092" s="23">
        <v>1</v>
      </c>
      <c r="H1092" s="23">
        <v>0</v>
      </c>
      <c r="I1092" s="23">
        <v>0</v>
      </c>
      <c r="J1092" s="23">
        <v>41676.081100000003</v>
      </c>
      <c r="N1092" s="23"/>
      <c r="O1092" s="23"/>
      <c r="P1092" s="23"/>
      <c r="Q1092" s="23"/>
      <c r="R1092" s="23"/>
      <c r="S1092" s="23"/>
      <c r="T1092" s="23"/>
      <c r="U1092" s="23"/>
    </row>
    <row r="1093" spans="1:21" x14ac:dyDescent="0.2">
      <c r="A1093" s="23">
        <v>55</v>
      </c>
      <c r="B1093" s="23">
        <v>0</v>
      </c>
      <c r="C1093" s="23">
        <v>29.83</v>
      </c>
      <c r="D1093" s="23">
        <v>0</v>
      </c>
      <c r="E1093" s="23">
        <v>0</v>
      </c>
      <c r="F1093" s="23">
        <v>1</v>
      </c>
      <c r="G1093" s="23">
        <v>0</v>
      </c>
      <c r="H1093" s="23">
        <v>0</v>
      </c>
      <c r="I1093" s="23">
        <v>0</v>
      </c>
      <c r="J1093" s="23">
        <v>11286.538699999999</v>
      </c>
      <c r="N1093" s="23"/>
      <c r="O1093" s="23"/>
      <c r="P1093" s="23"/>
      <c r="Q1093" s="23"/>
      <c r="R1093" s="23"/>
      <c r="S1093" s="23"/>
      <c r="T1093" s="23"/>
      <c r="U1093" s="23"/>
    </row>
    <row r="1094" spans="1:21" x14ac:dyDescent="0.2">
      <c r="A1094" s="23">
        <v>23</v>
      </c>
      <c r="B1094" s="23">
        <v>1</v>
      </c>
      <c r="C1094" s="23">
        <v>32.700000000000003</v>
      </c>
      <c r="D1094" s="23">
        <v>3</v>
      </c>
      <c r="E1094" s="23">
        <v>0</v>
      </c>
      <c r="F1094" s="23">
        <v>0</v>
      </c>
      <c r="G1094" s="23">
        <v>0</v>
      </c>
      <c r="H1094" s="23">
        <v>1</v>
      </c>
      <c r="I1094" s="23">
        <v>0</v>
      </c>
      <c r="J1094" s="23">
        <v>3591.48</v>
      </c>
      <c r="N1094" s="23"/>
      <c r="O1094" s="23"/>
      <c r="P1094" s="23"/>
      <c r="Q1094" s="23"/>
      <c r="R1094" s="23"/>
      <c r="S1094" s="23"/>
      <c r="T1094" s="23"/>
      <c r="U1094" s="23"/>
    </row>
    <row r="1095" spans="1:21" x14ac:dyDescent="0.2">
      <c r="A1095" s="23">
        <v>22</v>
      </c>
      <c r="B1095" s="23">
        <v>0</v>
      </c>
      <c r="C1095" s="23">
        <v>30.4</v>
      </c>
      <c r="D1095" s="23">
        <v>0</v>
      </c>
      <c r="E1095" s="23">
        <v>1</v>
      </c>
      <c r="F1095" s="23">
        <v>0</v>
      </c>
      <c r="G1095" s="23">
        <v>0</v>
      </c>
      <c r="H1095" s="23">
        <v>0</v>
      </c>
      <c r="I1095" s="23">
        <v>1</v>
      </c>
      <c r="J1095" s="23">
        <v>33907.548000000003</v>
      </c>
      <c r="N1095" s="23"/>
      <c r="O1095" s="23"/>
      <c r="P1095" s="23"/>
      <c r="Q1095" s="23"/>
      <c r="R1095" s="23"/>
      <c r="S1095" s="23"/>
      <c r="T1095" s="23"/>
      <c r="U1095" s="23"/>
    </row>
    <row r="1096" spans="1:21" x14ac:dyDescent="0.2">
      <c r="A1096" s="23">
        <v>50</v>
      </c>
      <c r="B1096" s="23">
        <v>0</v>
      </c>
      <c r="C1096" s="23">
        <v>33.700000000000003</v>
      </c>
      <c r="D1096" s="23">
        <v>4</v>
      </c>
      <c r="E1096" s="23">
        <v>0</v>
      </c>
      <c r="F1096" s="23">
        <v>0</v>
      </c>
      <c r="G1096" s="23">
        <v>0</v>
      </c>
      <c r="H1096" s="23">
        <v>1</v>
      </c>
      <c r="I1096" s="23">
        <v>0</v>
      </c>
      <c r="J1096" s="23">
        <v>11299.343000000001</v>
      </c>
      <c r="N1096" s="23"/>
      <c r="O1096" s="23"/>
      <c r="P1096" s="23"/>
      <c r="Q1096" s="23"/>
      <c r="R1096" s="23"/>
      <c r="S1096" s="23"/>
      <c r="T1096" s="23"/>
      <c r="U1096" s="23"/>
    </row>
    <row r="1097" spans="1:21" x14ac:dyDescent="0.2">
      <c r="A1097" s="23">
        <v>18</v>
      </c>
      <c r="B1097" s="23">
        <v>0</v>
      </c>
      <c r="C1097" s="23">
        <v>31.35</v>
      </c>
      <c r="D1097" s="23">
        <v>4</v>
      </c>
      <c r="E1097" s="23">
        <v>0</v>
      </c>
      <c r="F1097" s="23">
        <v>1</v>
      </c>
      <c r="G1097" s="23">
        <v>0</v>
      </c>
      <c r="H1097" s="23">
        <v>0</v>
      </c>
      <c r="I1097" s="23">
        <v>0</v>
      </c>
      <c r="J1097" s="23">
        <v>4561.1885000000002</v>
      </c>
      <c r="N1097" s="23"/>
      <c r="O1097" s="23"/>
      <c r="P1097" s="23"/>
      <c r="Q1097" s="23"/>
      <c r="R1097" s="23"/>
      <c r="S1097" s="23"/>
      <c r="T1097" s="23"/>
      <c r="U1097" s="23"/>
    </row>
    <row r="1098" spans="1:21" x14ac:dyDescent="0.2">
      <c r="A1098" s="23">
        <v>51</v>
      </c>
      <c r="B1098" s="23">
        <v>0</v>
      </c>
      <c r="C1098" s="23">
        <v>34.96</v>
      </c>
      <c r="D1098" s="23">
        <v>2</v>
      </c>
      <c r="E1098" s="23">
        <v>1</v>
      </c>
      <c r="F1098" s="23">
        <v>1</v>
      </c>
      <c r="G1098" s="23">
        <v>0</v>
      </c>
      <c r="H1098" s="23">
        <v>0</v>
      </c>
      <c r="I1098" s="23">
        <v>0</v>
      </c>
      <c r="J1098" s="23">
        <v>44641.197399999997</v>
      </c>
      <c r="N1098" s="23"/>
      <c r="O1098" s="23"/>
      <c r="P1098" s="23"/>
      <c r="Q1098" s="23"/>
      <c r="R1098" s="23"/>
      <c r="S1098" s="23"/>
      <c r="T1098" s="23"/>
      <c r="U1098" s="23"/>
    </row>
    <row r="1099" spans="1:21" x14ac:dyDescent="0.2">
      <c r="A1099" s="23">
        <v>22</v>
      </c>
      <c r="B1099" s="23">
        <v>1</v>
      </c>
      <c r="C1099" s="23">
        <v>33.770000000000003</v>
      </c>
      <c r="D1099" s="23">
        <v>0</v>
      </c>
      <c r="E1099" s="23">
        <v>0</v>
      </c>
      <c r="F1099" s="23">
        <v>0</v>
      </c>
      <c r="G1099" s="23">
        <v>1</v>
      </c>
      <c r="H1099" s="23">
        <v>0</v>
      </c>
      <c r="I1099" s="23">
        <v>0</v>
      </c>
      <c r="J1099" s="23">
        <v>1674.6323</v>
      </c>
      <c r="N1099" s="23"/>
      <c r="O1099" s="23"/>
      <c r="P1099" s="23"/>
      <c r="Q1099" s="23"/>
      <c r="R1099" s="23"/>
      <c r="S1099" s="23"/>
      <c r="T1099" s="23"/>
      <c r="U1099" s="23"/>
    </row>
    <row r="1100" spans="1:21" x14ac:dyDescent="0.2">
      <c r="A1100" s="23">
        <v>52</v>
      </c>
      <c r="B1100" s="23">
        <v>0</v>
      </c>
      <c r="C1100" s="23">
        <v>30.875</v>
      </c>
      <c r="D1100" s="23">
        <v>0</v>
      </c>
      <c r="E1100" s="23">
        <v>0</v>
      </c>
      <c r="F1100" s="23">
        <v>1</v>
      </c>
      <c r="G1100" s="23">
        <v>0</v>
      </c>
      <c r="H1100" s="23">
        <v>0</v>
      </c>
      <c r="I1100" s="23">
        <v>0</v>
      </c>
      <c r="J1100" s="23">
        <v>23045.566159999998</v>
      </c>
      <c r="N1100" s="23"/>
      <c r="O1100" s="23"/>
      <c r="P1100" s="23"/>
      <c r="Q1100" s="23"/>
      <c r="R1100" s="23"/>
      <c r="S1100" s="23"/>
      <c r="T1100" s="23"/>
      <c r="U1100" s="23"/>
    </row>
    <row r="1101" spans="1:21" x14ac:dyDescent="0.2">
      <c r="A1101" s="23">
        <v>25</v>
      </c>
      <c r="B1101" s="23">
        <v>0</v>
      </c>
      <c r="C1101" s="23">
        <v>33.99</v>
      </c>
      <c r="D1101" s="23">
        <v>1</v>
      </c>
      <c r="E1101" s="23">
        <v>0</v>
      </c>
      <c r="F1101" s="23">
        <v>0</v>
      </c>
      <c r="G1101" s="23">
        <v>1</v>
      </c>
      <c r="H1101" s="23">
        <v>0</v>
      </c>
      <c r="I1101" s="23">
        <v>0</v>
      </c>
      <c r="J1101" s="23">
        <v>3227.1210999999998</v>
      </c>
      <c r="N1101" s="23"/>
      <c r="O1101" s="23"/>
      <c r="P1101" s="23"/>
      <c r="Q1101" s="23"/>
      <c r="R1101" s="23"/>
      <c r="S1101" s="23"/>
      <c r="T1101" s="23"/>
      <c r="U1101" s="23"/>
    </row>
    <row r="1102" spans="1:21" x14ac:dyDescent="0.2">
      <c r="A1102" s="23">
        <v>33</v>
      </c>
      <c r="B1102" s="23">
        <v>0</v>
      </c>
      <c r="C1102" s="23">
        <v>19.094999999999999</v>
      </c>
      <c r="D1102" s="23">
        <v>2</v>
      </c>
      <c r="E1102" s="23">
        <v>1</v>
      </c>
      <c r="F1102" s="23">
        <v>1</v>
      </c>
      <c r="G1102" s="23">
        <v>0</v>
      </c>
      <c r="H1102" s="23">
        <v>0</v>
      </c>
      <c r="I1102" s="23">
        <v>0</v>
      </c>
      <c r="J1102" s="23">
        <v>16776.304049999999</v>
      </c>
      <c r="N1102" s="23"/>
      <c r="O1102" s="23"/>
      <c r="P1102" s="23"/>
      <c r="Q1102" s="23"/>
      <c r="R1102" s="23"/>
      <c r="S1102" s="23"/>
      <c r="T1102" s="23"/>
      <c r="U1102" s="23"/>
    </row>
    <row r="1103" spans="1:21" x14ac:dyDescent="0.2">
      <c r="A1103" s="23">
        <v>53</v>
      </c>
      <c r="B1103" s="23">
        <v>1</v>
      </c>
      <c r="C1103" s="23">
        <v>28.6</v>
      </c>
      <c r="D1103" s="23">
        <v>3</v>
      </c>
      <c r="E1103" s="23">
        <v>0</v>
      </c>
      <c r="F1103" s="23">
        <v>0</v>
      </c>
      <c r="G1103" s="23">
        <v>0</v>
      </c>
      <c r="H1103" s="23">
        <v>1</v>
      </c>
      <c r="I1103" s="23">
        <v>0</v>
      </c>
      <c r="J1103" s="23">
        <v>11253.421</v>
      </c>
      <c r="N1103" s="23"/>
      <c r="O1103" s="23"/>
      <c r="P1103" s="23"/>
      <c r="Q1103" s="23"/>
      <c r="R1103" s="23"/>
      <c r="S1103" s="23"/>
      <c r="T1103" s="23"/>
      <c r="U1103" s="23"/>
    </row>
    <row r="1104" spans="1:21" x14ac:dyDescent="0.2">
      <c r="A1104" s="23">
        <v>29</v>
      </c>
      <c r="B1104" s="23">
        <v>1</v>
      </c>
      <c r="C1104" s="23">
        <v>38.94</v>
      </c>
      <c r="D1104" s="23">
        <v>1</v>
      </c>
      <c r="E1104" s="23">
        <v>0</v>
      </c>
      <c r="F1104" s="23">
        <v>0</v>
      </c>
      <c r="G1104" s="23">
        <v>1</v>
      </c>
      <c r="H1104" s="23">
        <v>0</v>
      </c>
      <c r="I1104" s="23">
        <v>0</v>
      </c>
      <c r="J1104" s="23">
        <v>3471.4096</v>
      </c>
      <c r="N1104" s="23"/>
      <c r="O1104" s="23"/>
      <c r="P1104" s="23"/>
      <c r="Q1104" s="23"/>
      <c r="R1104" s="23"/>
      <c r="S1104" s="23"/>
      <c r="T1104" s="23"/>
      <c r="U1104" s="23"/>
    </row>
    <row r="1105" spans="1:21" x14ac:dyDescent="0.2">
      <c r="A1105" s="23">
        <v>58</v>
      </c>
      <c r="B1105" s="23">
        <v>1</v>
      </c>
      <c r="C1105" s="23">
        <v>36.08</v>
      </c>
      <c r="D1105" s="23">
        <v>0</v>
      </c>
      <c r="E1105" s="23">
        <v>0</v>
      </c>
      <c r="F1105" s="23">
        <v>0</v>
      </c>
      <c r="G1105" s="23">
        <v>1</v>
      </c>
      <c r="H1105" s="23">
        <v>0</v>
      </c>
      <c r="I1105" s="23">
        <v>0</v>
      </c>
      <c r="J1105" s="23">
        <v>11363.2832</v>
      </c>
      <c r="N1105" s="23"/>
      <c r="O1105" s="23"/>
      <c r="P1105" s="23"/>
      <c r="Q1105" s="23"/>
      <c r="R1105" s="23"/>
      <c r="S1105" s="23"/>
      <c r="T1105" s="23"/>
      <c r="U1105" s="23"/>
    </row>
    <row r="1106" spans="1:21" x14ac:dyDescent="0.2">
      <c r="A1106" s="23">
        <v>37</v>
      </c>
      <c r="B1106" s="23">
        <v>1</v>
      </c>
      <c r="C1106" s="23">
        <v>29.8</v>
      </c>
      <c r="D1106" s="23">
        <v>0</v>
      </c>
      <c r="E1106" s="23">
        <v>0</v>
      </c>
      <c r="F1106" s="23">
        <v>0</v>
      </c>
      <c r="G1106" s="23">
        <v>0</v>
      </c>
      <c r="H1106" s="23">
        <v>1</v>
      </c>
      <c r="I1106" s="23">
        <v>0</v>
      </c>
      <c r="J1106" s="23">
        <v>20420.604650000001</v>
      </c>
      <c r="N1106" s="23"/>
      <c r="O1106" s="23"/>
      <c r="P1106" s="23"/>
      <c r="Q1106" s="23"/>
      <c r="R1106" s="23"/>
      <c r="S1106" s="23"/>
      <c r="T1106" s="23"/>
      <c r="U1106" s="23"/>
    </row>
    <row r="1107" spans="1:21" x14ac:dyDescent="0.2">
      <c r="A1107" s="23">
        <v>54</v>
      </c>
      <c r="B1107" s="23">
        <v>0</v>
      </c>
      <c r="C1107" s="23">
        <v>31.24</v>
      </c>
      <c r="D1107" s="23">
        <v>0</v>
      </c>
      <c r="E1107" s="23">
        <v>0</v>
      </c>
      <c r="F1107" s="23">
        <v>0</v>
      </c>
      <c r="G1107" s="23">
        <v>1</v>
      </c>
      <c r="H1107" s="23">
        <v>0</v>
      </c>
      <c r="I1107" s="23">
        <v>0</v>
      </c>
      <c r="J1107" s="23">
        <v>10338.9316</v>
      </c>
      <c r="N1107" s="23"/>
      <c r="O1107" s="23"/>
      <c r="P1107" s="23"/>
      <c r="Q1107" s="23"/>
      <c r="R1107" s="23"/>
      <c r="S1107" s="23"/>
      <c r="T1107" s="23"/>
      <c r="U1107" s="23"/>
    </row>
    <row r="1108" spans="1:21" x14ac:dyDescent="0.2">
      <c r="A1108" s="23">
        <v>49</v>
      </c>
      <c r="B1108" s="23">
        <v>0</v>
      </c>
      <c r="C1108" s="23">
        <v>29.925000000000001</v>
      </c>
      <c r="D1108" s="23">
        <v>0</v>
      </c>
      <c r="E1108" s="23">
        <v>0</v>
      </c>
      <c r="F1108" s="23">
        <v>0</v>
      </c>
      <c r="G1108" s="23">
        <v>0</v>
      </c>
      <c r="H1108" s="23">
        <v>0</v>
      </c>
      <c r="I1108" s="23">
        <v>1</v>
      </c>
      <c r="J1108" s="23">
        <v>8988.1587500000005</v>
      </c>
      <c r="N1108" s="23"/>
      <c r="O1108" s="23"/>
      <c r="P1108" s="23"/>
      <c r="Q1108" s="23"/>
      <c r="R1108" s="23"/>
      <c r="S1108" s="23"/>
      <c r="T1108" s="23"/>
      <c r="U1108" s="23"/>
    </row>
    <row r="1109" spans="1:21" x14ac:dyDescent="0.2">
      <c r="A1109" s="23">
        <v>50</v>
      </c>
      <c r="B1109" s="23">
        <v>0</v>
      </c>
      <c r="C1109" s="23">
        <v>26.22</v>
      </c>
      <c r="D1109" s="23">
        <v>2</v>
      </c>
      <c r="E1109" s="23">
        <v>0</v>
      </c>
      <c r="F1109" s="23">
        <v>0</v>
      </c>
      <c r="G1109" s="23">
        <v>0</v>
      </c>
      <c r="H1109" s="23">
        <v>0</v>
      </c>
      <c r="I1109" s="23">
        <v>1</v>
      </c>
      <c r="J1109" s="23">
        <v>10493.9458</v>
      </c>
      <c r="N1109" s="23"/>
      <c r="O1109" s="23"/>
      <c r="P1109" s="23"/>
      <c r="Q1109" s="23"/>
      <c r="R1109" s="23"/>
      <c r="S1109" s="23"/>
      <c r="T1109" s="23"/>
      <c r="U1109" s="23"/>
    </row>
    <row r="1110" spans="1:21" x14ac:dyDescent="0.2">
      <c r="A1110" s="23">
        <v>26</v>
      </c>
      <c r="B1110" s="23">
        <v>1</v>
      </c>
      <c r="C1110" s="23">
        <v>30</v>
      </c>
      <c r="D1110" s="23">
        <v>1</v>
      </c>
      <c r="E1110" s="23">
        <v>0</v>
      </c>
      <c r="F1110" s="23">
        <v>0</v>
      </c>
      <c r="G1110" s="23">
        <v>0</v>
      </c>
      <c r="H1110" s="23">
        <v>1</v>
      </c>
      <c r="I1110" s="23">
        <v>0</v>
      </c>
      <c r="J1110" s="23">
        <v>2904.0880000000002</v>
      </c>
      <c r="N1110" s="23"/>
      <c r="O1110" s="23"/>
      <c r="P1110" s="23"/>
      <c r="Q1110" s="23"/>
      <c r="R1110" s="23"/>
      <c r="S1110" s="23"/>
      <c r="T1110" s="23"/>
      <c r="U1110" s="23"/>
    </row>
    <row r="1111" spans="1:21" x14ac:dyDescent="0.2">
      <c r="A1111" s="23">
        <v>45</v>
      </c>
      <c r="B1111" s="23">
        <v>1</v>
      </c>
      <c r="C1111" s="23">
        <v>20.350000000000001</v>
      </c>
      <c r="D1111" s="23">
        <v>3</v>
      </c>
      <c r="E1111" s="23">
        <v>0</v>
      </c>
      <c r="F1111" s="23">
        <v>0</v>
      </c>
      <c r="G1111" s="23">
        <v>1</v>
      </c>
      <c r="H1111" s="23">
        <v>0</v>
      </c>
      <c r="I1111" s="23">
        <v>0</v>
      </c>
      <c r="J1111" s="23">
        <v>8605.3615000000009</v>
      </c>
      <c r="N1111" s="23"/>
      <c r="O1111" s="23"/>
      <c r="P1111" s="23"/>
      <c r="Q1111" s="23"/>
      <c r="R1111" s="23"/>
      <c r="S1111" s="23"/>
      <c r="T1111" s="23"/>
      <c r="U1111" s="23"/>
    </row>
    <row r="1112" spans="1:21" x14ac:dyDescent="0.2">
      <c r="A1112" s="23">
        <v>54</v>
      </c>
      <c r="B1112" s="23">
        <v>0</v>
      </c>
      <c r="C1112" s="23">
        <v>32.299999999999997</v>
      </c>
      <c r="D1112" s="23">
        <v>1</v>
      </c>
      <c r="E1112" s="23">
        <v>0</v>
      </c>
      <c r="F1112" s="23">
        <v>1</v>
      </c>
      <c r="G1112" s="23">
        <v>0</v>
      </c>
      <c r="H1112" s="23">
        <v>0</v>
      </c>
      <c r="I1112" s="23">
        <v>0</v>
      </c>
      <c r="J1112" s="23">
        <v>11512.405000000001</v>
      </c>
      <c r="N1112" s="23"/>
      <c r="O1112" s="23"/>
      <c r="P1112" s="23"/>
      <c r="Q1112" s="23"/>
      <c r="R1112" s="23"/>
      <c r="S1112" s="23"/>
      <c r="T1112" s="23"/>
      <c r="U1112" s="23"/>
    </row>
    <row r="1113" spans="1:21" x14ac:dyDescent="0.2">
      <c r="A1113" s="23">
        <v>38</v>
      </c>
      <c r="B1113" s="23">
        <v>1</v>
      </c>
      <c r="C1113" s="23">
        <v>38.39</v>
      </c>
      <c r="D1113" s="23">
        <v>3</v>
      </c>
      <c r="E1113" s="23">
        <v>1</v>
      </c>
      <c r="F1113" s="23">
        <v>0</v>
      </c>
      <c r="G1113" s="23">
        <v>1</v>
      </c>
      <c r="H1113" s="23">
        <v>0</v>
      </c>
      <c r="I1113" s="23">
        <v>0</v>
      </c>
      <c r="J1113" s="23">
        <v>41949.244100000004</v>
      </c>
      <c r="N1113" s="23"/>
      <c r="O1113" s="23"/>
      <c r="P1113" s="23"/>
      <c r="Q1113" s="23"/>
      <c r="R1113" s="23"/>
      <c r="S1113" s="23"/>
      <c r="T1113" s="23"/>
      <c r="U1113" s="23"/>
    </row>
    <row r="1114" spans="1:21" x14ac:dyDescent="0.2">
      <c r="A1114" s="23">
        <v>48</v>
      </c>
      <c r="B1114" s="23">
        <v>0</v>
      </c>
      <c r="C1114" s="23">
        <v>25.85</v>
      </c>
      <c r="D1114" s="23">
        <v>3</v>
      </c>
      <c r="E1114" s="23">
        <v>1</v>
      </c>
      <c r="F1114" s="23">
        <v>0</v>
      </c>
      <c r="G1114" s="23">
        <v>1</v>
      </c>
      <c r="H1114" s="23">
        <v>0</v>
      </c>
      <c r="I1114" s="23">
        <v>0</v>
      </c>
      <c r="J1114" s="23">
        <v>24180.933499999999</v>
      </c>
      <c r="N1114" s="23"/>
      <c r="O1114" s="23"/>
      <c r="P1114" s="23"/>
      <c r="Q1114" s="23"/>
      <c r="R1114" s="23"/>
      <c r="S1114" s="23"/>
      <c r="T1114" s="23"/>
      <c r="U1114" s="23"/>
    </row>
    <row r="1115" spans="1:21" x14ac:dyDescent="0.2">
      <c r="A1115" s="23">
        <v>28</v>
      </c>
      <c r="B1115" s="23">
        <v>0</v>
      </c>
      <c r="C1115" s="23">
        <v>26.315000000000001</v>
      </c>
      <c r="D1115" s="23">
        <v>3</v>
      </c>
      <c r="E1115" s="23">
        <v>0</v>
      </c>
      <c r="F1115" s="23">
        <v>0</v>
      </c>
      <c r="G1115" s="23">
        <v>0</v>
      </c>
      <c r="H1115" s="23">
        <v>0</v>
      </c>
      <c r="I1115" s="23">
        <v>1</v>
      </c>
      <c r="J1115" s="23">
        <v>5312.1698500000002</v>
      </c>
      <c r="N1115" s="23"/>
      <c r="O1115" s="23"/>
      <c r="P1115" s="23"/>
      <c r="Q1115" s="23"/>
      <c r="R1115" s="23"/>
      <c r="S1115" s="23"/>
      <c r="T1115" s="23"/>
      <c r="U1115" s="23"/>
    </row>
    <row r="1116" spans="1:21" x14ac:dyDescent="0.2">
      <c r="A1116" s="23">
        <v>23</v>
      </c>
      <c r="B1116" s="23">
        <v>1</v>
      </c>
      <c r="C1116" s="23">
        <v>24.51</v>
      </c>
      <c r="D1116" s="23">
        <v>0</v>
      </c>
      <c r="E1116" s="23">
        <v>0</v>
      </c>
      <c r="F1116" s="23">
        <v>1</v>
      </c>
      <c r="G1116" s="23">
        <v>0</v>
      </c>
      <c r="H1116" s="23">
        <v>0</v>
      </c>
      <c r="I1116" s="23">
        <v>0</v>
      </c>
      <c r="J1116" s="23">
        <v>2396.0958999999998</v>
      </c>
      <c r="N1116" s="23"/>
      <c r="O1116" s="23"/>
      <c r="P1116" s="23"/>
      <c r="Q1116" s="23"/>
      <c r="R1116" s="23"/>
      <c r="S1116" s="23"/>
      <c r="T1116" s="23"/>
      <c r="U1116" s="23"/>
    </row>
    <row r="1117" spans="1:21" x14ac:dyDescent="0.2">
      <c r="A1117" s="23">
        <v>55</v>
      </c>
      <c r="B1117" s="23">
        <v>1</v>
      </c>
      <c r="C1117" s="23">
        <v>32.67</v>
      </c>
      <c r="D1117" s="23">
        <v>1</v>
      </c>
      <c r="E1117" s="23">
        <v>0</v>
      </c>
      <c r="F1117" s="23">
        <v>0</v>
      </c>
      <c r="G1117" s="23">
        <v>1</v>
      </c>
      <c r="H1117" s="23">
        <v>0</v>
      </c>
      <c r="I1117" s="23">
        <v>0</v>
      </c>
      <c r="J1117" s="23">
        <v>10807.4863</v>
      </c>
      <c r="N1117" s="23"/>
      <c r="O1117" s="23"/>
      <c r="P1117" s="23"/>
      <c r="Q1117" s="23"/>
      <c r="R1117" s="23"/>
      <c r="S1117" s="23"/>
      <c r="T1117" s="23"/>
      <c r="U1117" s="23"/>
    </row>
    <row r="1118" spans="1:21" x14ac:dyDescent="0.2">
      <c r="A1118" s="23">
        <v>41</v>
      </c>
      <c r="B1118" s="23">
        <v>1</v>
      </c>
      <c r="C1118" s="23">
        <v>29.64</v>
      </c>
      <c r="D1118" s="23">
        <v>5</v>
      </c>
      <c r="E1118" s="23">
        <v>0</v>
      </c>
      <c r="F1118" s="23">
        <v>1</v>
      </c>
      <c r="G1118" s="23">
        <v>0</v>
      </c>
      <c r="H1118" s="23">
        <v>0</v>
      </c>
      <c r="I1118" s="23">
        <v>0</v>
      </c>
      <c r="J1118" s="23">
        <v>9222.4025999999994</v>
      </c>
      <c r="N1118" s="23"/>
      <c r="O1118" s="23"/>
      <c r="P1118" s="23"/>
      <c r="Q1118" s="23"/>
      <c r="R1118" s="23"/>
      <c r="S1118" s="23"/>
      <c r="T1118" s="23"/>
      <c r="U1118" s="23"/>
    </row>
    <row r="1119" spans="1:21" x14ac:dyDescent="0.2">
      <c r="A1119" s="23">
        <v>25</v>
      </c>
      <c r="B1119" s="23">
        <v>1</v>
      </c>
      <c r="C1119" s="23">
        <v>33.33</v>
      </c>
      <c r="D1119" s="23">
        <v>2</v>
      </c>
      <c r="E1119" s="23">
        <v>1</v>
      </c>
      <c r="F1119" s="23">
        <v>0</v>
      </c>
      <c r="G1119" s="23">
        <v>1</v>
      </c>
      <c r="H1119" s="23">
        <v>0</v>
      </c>
      <c r="I1119" s="23">
        <v>0</v>
      </c>
      <c r="J1119" s="23">
        <v>36124.573700000001</v>
      </c>
      <c r="N1119" s="23"/>
      <c r="O1119" s="23"/>
      <c r="P1119" s="23"/>
      <c r="Q1119" s="23"/>
      <c r="R1119" s="23"/>
      <c r="S1119" s="23"/>
      <c r="T1119" s="23"/>
      <c r="U1119" s="23"/>
    </row>
    <row r="1120" spans="1:21" x14ac:dyDescent="0.2">
      <c r="A1120" s="23">
        <v>33</v>
      </c>
      <c r="B1120" s="23">
        <v>1</v>
      </c>
      <c r="C1120" s="23">
        <v>35.75</v>
      </c>
      <c r="D1120" s="23">
        <v>1</v>
      </c>
      <c r="E1120" s="23">
        <v>1</v>
      </c>
      <c r="F1120" s="23">
        <v>0</v>
      </c>
      <c r="G1120" s="23">
        <v>1</v>
      </c>
      <c r="H1120" s="23">
        <v>0</v>
      </c>
      <c r="I1120" s="23">
        <v>0</v>
      </c>
      <c r="J1120" s="23">
        <v>38282.749499999998</v>
      </c>
      <c r="N1120" s="23"/>
      <c r="O1120" s="23"/>
      <c r="P1120" s="23"/>
      <c r="Q1120" s="23"/>
      <c r="R1120" s="23"/>
      <c r="S1120" s="23"/>
      <c r="T1120" s="23"/>
      <c r="U1120" s="23"/>
    </row>
    <row r="1121" spans="1:21" x14ac:dyDescent="0.2">
      <c r="A1121" s="23">
        <v>30</v>
      </c>
      <c r="B1121" s="23">
        <v>0</v>
      </c>
      <c r="C1121" s="23">
        <v>19.95</v>
      </c>
      <c r="D1121" s="23">
        <v>3</v>
      </c>
      <c r="E1121" s="23">
        <v>0</v>
      </c>
      <c r="F1121" s="23">
        <v>0</v>
      </c>
      <c r="G1121" s="23">
        <v>0</v>
      </c>
      <c r="H1121" s="23">
        <v>0</v>
      </c>
      <c r="I1121" s="23">
        <v>1</v>
      </c>
      <c r="J1121" s="23">
        <v>5693.4305000000004</v>
      </c>
      <c r="N1121" s="23"/>
      <c r="O1121" s="23"/>
      <c r="P1121" s="23"/>
      <c r="Q1121" s="23"/>
      <c r="R1121" s="23"/>
      <c r="S1121" s="23"/>
      <c r="T1121" s="23"/>
      <c r="U1121" s="23"/>
    </row>
    <row r="1122" spans="1:21" x14ac:dyDescent="0.2">
      <c r="A1122" s="23">
        <v>23</v>
      </c>
      <c r="B1122" s="23">
        <v>0</v>
      </c>
      <c r="C1122" s="23">
        <v>31.4</v>
      </c>
      <c r="D1122" s="23">
        <v>0</v>
      </c>
      <c r="E1122" s="23">
        <v>1</v>
      </c>
      <c r="F1122" s="23">
        <v>0</v>
      </c>
      <c r="G1122" s="23">
        <v>0</v>
      </c>
      <c r="H1122" s="23">
        <v>1</v>
      </c>
      <c r="I1122" s="23">
        <v>0</v>
      </c>
      <c r="J1122" s="23">
        <v>34166.273000000001</v>
      </c>
      <c r="N1122" s="23"/>
      <c r="O1122" s="23"/>
      <c r="P1122" s="23"/>
      <c r="Q1122" s="23"/>
      <c r="R1122" s="23"/>
      <c r="S1122" s="23"/>
      <c r="T1122" s="23"/>
      <c r="U1122" s="23"/>
    </row>
    <row r="1123" spans="1:21" x14ac:dyDescent="0.2">
      <c r="A1123" s="23">
        <v>46</v>
      </c>
      <c r="B1123" s="23">
        <v>1</v>
      </c>
      <c r="C1123" s="23">
        <v>38.17</v>
      </c>
      <c r="D1123" s="23">
        <v>2</v>
      </c>
      <c r="E1123" s="23">
        <v>0</v>
      </c>
      <c r="F1123" s="23">
        <v>0</v>
      </c>
      <c r="G1123" s="23">
        <v>1</v>
      </c>
      <c r="H1123" s="23">
        <v>0</v>
      </c>
      <c r="I1123" s="23">
        <v>0</v>
      </c>
      <c r="J1123" s="23">
        <v>8347.1643000000004</v>
      </c>
      <c r="N1123" s="23"/>
      <c r="O1123" s="23"/>
      <c r="P1123" s="23"/>
      <c r="Q1123" s="23"/>
      <c r="R1123" s="23"/>
      <c r="S1123" s="23"/>
      <c r="T1123" s="23"/>
      <c r="U1123" s="23"/>
    </row>
    <row r="1124" spans="1:21" x14ac:dyDescent="0.2">
      <c r="A1124" s="23">
        <v>53</v>
      </c>
      <c r="B1124" s="23">
        <v>0</v>
      </c>
      <c r="C1124" s="23">
        <v>36.86</v>
      </c>
      <c r="D1124" s="23">
        <v>3</v>
      </c>
      <c r="E1124" s="23">
        <v>1</v>
      </c>
      <c r="F1124" s="23">
        <v>0</v>
      </c>
      <c r="G1124" s="23">
        <v>0</v>
      </c>
      <c r="H1124" s="23">
        <v>0</v>
      </c>
      <c r="I1124" s="23">
        <v>1</v>
      </c>
      <c r="J1124" s="23">
        <v>46661.4424</v>
      </c>
      <c r="N1124" s="23"/>
      <c r="O1124" s="23"/>
      <c r="P1124" s="23"/>
      <c r="Q1124" s="23"/>
      <c r="R1124" s="23"/>
      <c r="S1124" s="23"/>
      <c r="T1124" s="23"/>
      <c r="U1124" s="23"/>
    </row>
    <row r="1125" spans="1:21" x14ac:dyDescent="0.2">
      <c r="A1125" s="23">
        <v>27</v>
      </c>
      <c r="B1125" s="23">
        <v>0</v>
      </c>
      <c r="C1125" s="23">
        <v>32.395000000000003</v>
      </c>
      <c r="D1125" s="23">
        <v>1</v>
      </c>
      <c r="E1125" s="23">
        <v>0</v>
      </c>
      <c r="F1125" s="23">
        <v>1</v>
      </c>
      <c r="G1125" s="23">
        <v>0</v>
      </c>
      <c r="H1125" s="23">
        <v>0</v>
      </c>
      <c r="I1125" s="23">
        <v>0</v>
      </c>
      <c r="J1125" s="23">
        <v>18903.491409999999</v>
      </c>
      <c r="N1125" s="23"/>
      <c r="O1125" s="23"/>
      <c r="P1125" s="23"/>
      <c r="Q1125" s="23"/>
      <c r="R1125" s="23"/>
      <c r="S1125" s="23"/>
      <c r="T1125" s="23"/>
      <c r="U1125" s="23"/>
    </row>
    <row r="1126" spans="1:21" x14ac:dyDescent="0.2">
      <c r="A1126" s="23">
        <v>23</v>
      </c>
      <c r="B1126" s="23">
        <v>0</v>
      </c>
      <c r="C1126" s="23">
        <v>42.75</v>
      </c>
      <c r="D1126" s="23">
        <v>1</v>
      </c>
      <c r="E1126" s="23">
        <v>1</v>
      </c>
      <c r="F1126" s="23">
        <v>1</v>
      </c>
      <c r="G1126" s="23">
        <v>0</v>
      </c>
      <c r="H1126" s="23">
        <v>0</v>
      </c>
      <c r="I1126" s="23">
        <v>0</v>
      </c>
      <c r="J1126" s="23">
        <v>40904.199500000002</v>
      </c>
      <c r="N1126" s="23"/>
      <c r="O1126" s="23"/>
      <c r="P1126" s="23"/>
      <c r="Q1126" s="23"/>
      <c r="R1126" s="23"/>
      <c r="S1126" s="23"/>
      <c r="T1126" s="23"/>
      <c r="U1126" s="23"/>
    </row>
    <row r="1127" spans="1:21" x14ac:dyDescent="0.2">
      <c r="A1127" s="23">
        <v>63</v>
      </c>
      <c r="B1127" s="23">
        <v>0</v>
      </c>
      <c r="C1127" s="23">
        <v>25.08</v>
      </c>
      <c r="D1127" s="23">
        <v>0</v>
      </c>
      <c r="E1127" s="23">
        <v>0</v>
      </c>
      <c r="F1127" s="23">
        <v>0</v>
      </c>
      <c r="G1127" s="23">
        <v>0</v>
      </c>
      <c r="H1127" s="23">
        <v>0</v>
      </c>
      <c r="I1127" s="23">
        <v>1</v>
      </c>
      <c r="J1127" s="23">
        <v>14254.608200000001</v>
      </c>
      <c r="N1127" s="23"/>
      <c r="O1127" s="23"/>
      <c r="P1127" s="23"/>
      <c r="Q1127" s="23"/>
      <c r="R1127" s="23"/>
      <c r="S1127" s="23"/>
      <c r="T1127" s="23"/>
      <c r="U1127" s="23"/>
    </row>
    <row r="1128" spans="1:21" x14ac:dyDescent="0.2">
      <c r="A1128" s="23">
        <v>55</v>
      </c>
      <c r="B1128" s="23">
        <v>1</v>
      </c>
      <c r="C1128" s="23">
        <v>29.9</v>
      </c>
      <c r="D1128" s="23">
        <v>0</v>
      </c>
      <c r="E1128" s="23">
        <v>0</v>
      </c>
      <c r="F1128" s="23">
        <v>0</v>
      </c>
      <c r="G1128" s="23">
        <v>0</v>
      </c>
      <c r="H1128" s="23">
        <v>1</v>
      </c>
      <c r="I1128" s="23">
        <v>0</v>
      </c>
      <c r="J1128" s="23">
        <v>10214.636</v>
      </c>
      <c r="N1128" s="23"/>
      <c r="O1128" s="23"/>
      <c r="P1128" s="23"/>
      <c r="Q1128" s="23"/>
      <c r="R1128" s="23"/>
      <c r="S1128" s="23"/>
      <c r="T1128" s="23"/>
      <c r="U1128" s="23"/>
    </row>
    <row r="1129" spans="1:21" x14ac:dyDescent="0.2">
      <c r="A1129" s="23">
        <v>35</v>
      </c>
      <c r="B1129" s="23">
        <v>0</v>
      </c>
      <c r="C1129" s="23">
        <v>35.86</v>
      </c>
      <c r="D1129" s="23">
        <v>2</v>
      </c>
      <c r="E1129" s="23">
        <v>0</v>
      </c>
      <c r="F1129" s="23">
        <v>0</v>
      </c>
      <c r="G1129" s="23">
        <v>1</v>
      </c>
      <c r="H1129" s="23">
        <v>0</v>
      </c>
      <c r="I1129" s="23">
        <v>0</v>
      </c>
      <c r="J1129" s="23">
        <v>5836.5204000000003</v>
      </c>
      <c r="N1129" s="23"/>
      <c r="O1129" s="23"/>
      <c r="P1129" s="23"/>
      <c r="Q1129" s="23"/>
      <c r="R1129" s="23"/>
      <c r="S1129" s="23"/>
      <c r="T1129" s="23"/>
      <c r="U1129" s="23"/>
    </row>
    <row r="1130" spans="1:21" x14ac:dyDescent="0.2">
      <c r="A1130" s="23">
        <v>34</v>
      </c>
      <c r="B1130" s="23">
        <v>1</v>
      </c>
      <c r="C1130" s="23">
        <v>32.799999999999997</v>
      </c>
      <c r="D1130" s="23">
        <v>1</v>
      </c>
      <c r="E1130" s="23">
        <v>0</v>
      </c>
      <c r="F1130" s="23">
        <v>0</v>
      </c>
      <c r="G1130" s="23">
        <v>0</v>
      </c>
      <c r="H1130" s="23">
        <v>1</v>
      </c>
      <c r="I1130" s="23">
        <v>0</v>
      </c>
      <c r="J1130" s="23">
        <v>14358.364369999999</v>
      </c>
      <c r="N1130" s="23"/>
      <c r="O1130" s="23"/>
      <c r="P1130" s="23"/>
      <c r="Q1130" s="23"/>
      <c r="R1130" s="23"/>
      <c r="S1130" s="23"/>
      <c r="T1130" s="23"/>
      <c r="U1130" s="23"/>
    </row>
    <row r="1131" spans="1:21" x14ac:dyDescent="0.2">
      <c r="A1131" s="23">
        <v>19</v>
      </c>
      <c r="B1131" s="23">
        <v>0</v>
      </c>
      <c r="C1131" s="23">
        <v>18.600000000000001</v>
      </c>
      <c r="D1131" s="23">
        <v>0</v>
      </c>
      <c r="E1131" s="23">
        <v>0</v>
      </c>
      <c r="F1131" s="23">
        <v>0</v>
      </c>
      <c r="G1131" s="23">
        <v>0</v>
      </c>
      <c r="H1131" s="23">
        <v>1</v>
      </c>
      <c r="I1131" s="23">
        <v>0</v>
      </c>
      <c r="J1131" s="23">
        <v>1728.8969999999999</v>
      </c>
      <c r="N1131" s="23"/>
      <c r="O1131" s="23"/>
      <c r="P1131" s="23"/>
      <c r="Q1131" s="23"/>
      <c r="R1131" s="23"/>
      <c r="S1131" s="23"/>
      <c r="T1131" s="23"/>
      <c r="U1131" s="23"/>
    </row>
    <row r="1132" spans="1:21" x14ac:dyDescent="0.2">
      <c r="A1132" s="23">
        <v>39</v>
      </c>
      <c r="B1132" s="23">
        <v>0</v>
      </c>
      <c r="C1132" s="23">
        <v>23.87</v>
      </c>
      <c r="D1132" s="23">
        <v>5</v>
      </c>
      <c r="E1132" s="23">
        <v>0</v>
      </c>
      <c r="F1132" s="23">
        <v>0</v>
      </c>
      <c r="G1132" s="23">
        <v>1</v>
      </c>
      <c r="H1132" s="23">
        <v>0</v>
      </c>
      <c r="I1132" s="23">
        <v>0</v>
      </c>
      <c r="J1132" s="23">
        <v>8582.3022999999994</v>
      </c>
      <c r="N1132" s="23"/>
      <c r="O1132" s="23"/>
      <c r="P1132" s="23"/>
      <c r="Q1132" s="23"/>
      <c r="R1132" s="23"/>
      <c r="S1132" s="23"/>
      <c r="T1132" s="23"/>
      <c r="U1132" s="23"/>
    </row>
    <row r="1133" spans="1:21" x14ac:dyDescent="0.2">
      <c r="A1133" s="23">
        <v>27</v>
      </c>
      <c r="B1133" s="23">
        <v>1</v>
      </c>
      <c r="C1133" s="23">
        <v>45.9</v>
      </c>
      <c r="D1133" s="23">
        <v>2</v>
      </c>
      <c r="E1133" s="23">
        <v>0</v>
      </c>
      <c r="F1133" s="23">
        <v>0</v>
      </c>
      <c r="G1133" s="23">
        <v>0</v>
      </c>
      <c r="H1133" s="23">
        <v>1</v>
      </c>
      <c r="I1133" s="23">
        <v>0</v>
      </c>
      <c r="J1133" s="23">
        <v>3693.4279999999999</v>
      </c>
      <c r="N1133" s="23"/>
      <c r="O1133" s="23"/>
      <c r="P1133" s="23"/>
      <c r="Q1133" s="23"/>
      <c r="R1133" s="23"/>
      <c r="S1133" s="23"/>
      <c r="T1133" s="23"/>
      <c r="U1133" s="23"/>
    </row>
    <row r="1134" spans="1:21" x14ac:dyDescent="0.2">
      <c r="A1134" s="23">
        <v>57</v>
      </c>
      <c r="B1134" s="23">
        <v>1</v>
      </c>
      <c r="C1134" s="23">
        <v>40.28</v>
      </c>
      <c r="D1134" s="23">
        <v>0</v>
      </c>
      <c r="E1134" s="23">
        <v>0</v>
      </c>
      <c r="F1134" s="23">
        <v>1</v>
      </c>
      <c r="G1134" s="23">
        <v>0</v>
      </c>
      <c r="H1134" s="23">
        <v>0</v>
      </c>
      <c r="I1134" s="23">
        <v>0</v>
      </c>
      <c r="J1134" s="23">
        <v>20709.020339999999</v>
      </c>
      <c r="N1134" s="23"/>
      <c r="O1134" s="23"/>
      <c r="P1134" s="23"/>
      <c r="Q1134" s="23"/>
      <c r="R1134" s="23"/>
      <c r="S1134" s="23"/>
      <c r="T1134" s="23"/>
      <c r="U1134" s="23"/>
    </row>
    <row r="1135" spans="1:21" x14ac:dyDescent="0.2">
      <c r="A1135" s="23">
        <v>52</v>
      </c>
      <c r="B1135" s="23">
        <v>0</v>
      </c>
      <c r="C1135" s="23">
        <v>18.335000000000001</v>
      </c>
      <c r="D1135" s="23">
        <v>0</v>
      </c>
      <c r="E1135" s="23">
        <v>0</v>
      </c>
      <c r="F1135" s="23">
        <v>0</v>
      </c>
      <c r="G1135" s="23">
        <v>0</v>
      </c>
      <c r="H1135" s="23">
        <v>0</v>
      </c>
      <c r="I1135" s="23">
        <v>1</v>
      </c>
      <c r="J1135" s="23">
        <v>9991.0376500000002</v>
      </c>
      <c r="N1135" s="23"/>
      <c r="O1135" s="23"/>
      <c r="P1135" s="23"/>
      <c r="Q1135" s="23"/>
      <c r="R1135" s="23"/>
      <c r="S1135" s="23"/>
      <c r="T1135" s="23"/>
      <c r="U1135" s="23"/>
    </row>
    <row r="1136" spans="1:21" x14ac:dyDescent="0.2">
      <c r="A1136" s="23">
        <v>28</v>
      </c>
      <c r="B1136" s="23">
        <v>1</v>
      </c>
      <c r="C1136" s="23">
        <v>33.82</v>
      </c>
      <c r="D1136" s="23">
        <v>0</v>
      </c>
      <c r="E1136" s="23">
        <v>0</v>
      </c>
      <c r="F1136" s="23">
        <v>0</v>
      </c>
      <c r="G1136" s="23">
        <v>0</v>
      </c>
      <c r="H1136" s="23">
        <v>0</v>
      </c>
      <c r="I1136" s="23">
        <v>1</v>
      </c>
      <c r="J1136" s="23">
        <v>19673.335729999999</v>
      </c>
      <c r="N1136" s="23"/>
      <c r="O1136" s="23"/>
      <c r="P1136" s="23"/>
      <c r="Q1136" s="23"/>
      <c r="R1136" s="23"/>
      <c r="S1136" s="23"/>
      <c r="T1136" s="23"/>
      <c r="U1136" s="23"/>
    </row>
    <row r="1137" spans="1:21" x14ac:dyDescent="0.2">
      <c r="A1137" s="23">
        <v>50</v>
      </c>
      <c r="B1137" s="23">
        <v>0</v>
      </c>
      <c r="C1137" s="23">
        <v>28.12</v>
      </c>
      <c r="D1137" s="23">
        <v>3</v>
      </c>
      <c r="E1137" s="23">
        <v>0</v>
      </c>
      <c r="F1137" s="23">
        <v>0</v>
      </c>
      <c r="G1137" s="23">
        <v>0</v>
      </c>
      <c r="H1137" s="23">
        <v>0</v>
      </c>
      <c r="I1137" s="23">
        <v>1</v>
      </c>
      <c r="J1137" s="23">
        <v>11085.586799999999</v>
      </c>
      <c r="N1137" s="23"/>
      <c r="O1137" s="23"/>
      <c r="P1137" s="23"/>
      <c r="Q1137" s="23"/>
      <c r="R1137" s="23"/>
      <c r="S1137" s="23"/>
      <c r="T1137" s="23"/>
      <c r="U1137" s="23"/>
    </row>
    <row r="1138" spans="1:21" x14ac:dyDescent="0.2">
      <c r="A1138" s="23">
        <v>44</v>
      </c>
      <c r="B1138" s="23">
        <v>0</v>
      </c>
      <c r="C1138" s="23">
        <v>25</v>
      </c>
      <c r="D1138" s="23">
        <v>1</v>
      </c>
      <c r="E1138" s="23">
        <v>0</v>
      </c>
      <c r="F1138" s="23">
        <v>0</v>
      </c>
      <c r="G1138" s="23">
        <v>0</v>
      </c>
      <c r="H1138" s="23">
        <v>1</v>
      </c>
      <c r="I1138" s="23">
        <v>0</v>
      </c>
      <c r="J1138" s="23">
        <v>7623.518</v>
      </c>
      <c r="N1138" s="23"/>
      <c r="O1138" s="23"/>
      <c r="P1138" s="23"/>
      <c r="Q1138" s="23"/>
      <c r="R1138" s="23"/>
      <c r="S1138" s="23"/>
      <c r="T1138" s="23"/>
      <c r="U1138" s="23"/>
    </row>
    <row r="1139" spans="1:21" x14ac:dyDescent="0.2">
      <c r="A1139" s="23">
        <v>26</v>
      </c>
      <c r="B1139" s="23">
        <v>0</v>
      </c>
      <c r="C1139" s="23">
        <v>22.23</v>
      </c>
      <c r="D1139" s="23">
        <v>0</v>
      </c>
      <c r="E1139" s="23">
        <v>0</v>
      </c>
      <c r="F1139" s="23">
        <v>0</v>
      </c>
      <c r="G1139" s="23">
        <v>0</v>
      </c>
      <c r="H1139" s="23">
        <v>0</v>
      </c>
      <c r="I1139" s="23">
        <v>1</v>
      </c>
      <c r="J1139" s="23">
        <v>3176.2876999999999</v>
      </c>
      <c r="N1139" s="23"/>
      <c r="O1139" s="23"/>
      <c r="P1139" s="23"/>
      <c r="Q1139" s="23"/>
      <c r="R1139" s="23"/>
      <c r="S1139" s="23"/>
      <c r="T1139" s="23"/>
      <c r="U1139" s="23"/>
    </row>
    <row r="1140" spans="1:21" x14ac:dyDescent="0.2">
      <c r="A1140" s="23">
        <v>33</v>
      </c>
      <c r="B1140" s="23">
        <v>1</v>
      </c>
      <c r="C1140" s="23">
        <v>30.25</v>
      </c>
      <c r="D1140" s="23">
        <v>0</v>
      </c>
      <c r="E1140" s="23">
        <v>0</v>
      </c>
      <c r="F1140" s="23">
        <v>0</v>
      </c>
      <c r="G1140" s="23">
        <v>1</v>
      </c>
      <c r="H1140" s="23">
        <v>0</v>
      </c>
      <c r="I1140" s="23">
        <v>0</v>
      </c>
      <c r="J1140" s="23">
        <v>3704.3544999999999</v>
      </c>
      <c r="N1140" s="23"/>
      <c r="O1140" s="23"/>
      <c r="P1140" s="23"/>
      <c r="Q1140" s="23"/>
      <c r="R1140" s="23"/>
      <c r="S1140" s="23"/>
      <c r="T1140" s="23"/>
      <c r="U1140" s="23"/>
    </row>
    <row r="1141" spans="1:21" x14ac:dyDescent="0.2">
      <c r="A1141" s="23">
        <v>19</v>
      </c>
      <c r="B1141" s="23">
        <v>0</v>
      </c>
      <c r="C1141" s="23">
        <v>32.49</v>
      </c>
      <c r="D1141" s="23">
        <v>0</v>
      </c>
      <c r="E1141" s="23">
        <v>1</v>
      </c>
      <c r="F1141" s="23">
        <v>0</v>
      </c>
      <c r="G1141" s="23">
        <v>0</v>
      </c>
      <c r="H1141" s="23">
        <v>0</v>
      </c>
      <c r="I1141" s="23">
        <v>1</v>
      </c>
      <c r="J1141" s="23">
        <v>36898.733079999998</v>
      </c>
      <c r="N1141" s="23"/>
      <c r="O1141" s="23"/>
      <c r="P1141" s="23"/>
      <c r="Q1141" s="23"/>
      <c r="R1141" s="23"/>
      <c r="S1141" s="23"/>
      <c r="T1141" s="23"/>
      <c r="U1141" s="23"/>
    </row>
    <row r="1142" spans="1:21" x14ac:dyDescent="0.2">
      <c r="A1142" s="23">
        <v>50</v>
      </c>
      <c r="B1142" s="23">
        <v>1</v>
      </c>
      <c r="C1142" s="23">
        <v>37.07</v>
      </c>
      <c r="D1142" s="23">
        <v>1</v>
      </c>
      <c r="E1142" s="23">
        <v>0</v>
      </c>
      <c r="F1142" s="23">
        <v>0</v>
      </c>
      <c r="G1142" s="23">
        <v>1</v>
      </c>
      <c r="H1142" s="23">
        <v>0</v>
      </c>
      <c r="I1142" s="23">
        <v>0</v>
      </c>
      <c r="J1142" s="23">
        <v>9048.0272999999997</v>
      </c>
      <c r="N1142" s="23"/>
      <c r="O1142" s="23"/>
      <c r="P1142" s="23"/>
      <c r="Q1142" s="23"/>
      <c r="R1142" s="23"/>
      <c r="S1142" s="23"/>
      <c r="T1142" s="23"/>
      <c r="U1142" s="23"/>
    </row>
    <row r="1143" spans="1:21" x14ac:dyDescent="0.2">
      <c r="A1143" s="23">
        <v>41</v>
      </c>
      <c r="B1143" s="23">
        <v>0</v>
      </c>
      <c r="C1143" s="23">
        <v>32.6</v>
      </c>
      <c r="D1143" s="23">
        <v>3</v>
      </c>
      <c r="E1143" s="23">
        <v>0</v>
      </c>
      <c r="F1143" s="23">
        <v>0</v>
      </c>
      <c r="G1143" s="23">
        <v>0</v>
      </c>
      <c r="H1143" s="23">
        <v>1</v>
      </c>
      <c r="I1143" s="23">
        <v>0</v>
      </c>
      <c r="J1143" s="23">
        <v>7954.5169999999998</v>
      </c>
      <c r="N1143" s="23"/>
      <c r="O1143" s="23"/>
      <c r="P1143" s="23"/>
      <c r="Q1143" s="23"/>
      <c r="R1143" s="23"/>
      <c r="S1143" s="23"/>
      <c r="T1143" s="23"/>
      <c r="U1143" s="23"/>
    </row>
    <row r="1144" spans="1:21" x14ac:dyDescent="0.2">
      <c r="A1144" s="23">
        <v>52</v>
      </c>
      <c r="B1144" s="23">
        <v>0</v>
      </c>
      <c r="C1144" s="23">
        <v>24.86</v>
      </c>
      <c r="D1144" s="23">
        <v>0</v>
      </c>
      <c r="E1144" s="23">
        <v>0</v>
      </c>
      <c r="F1144" s="23">
        <v>0</v>
      </c>
      <c r="G1144" s="23">
        <v>1</v>
      </c>
      <c r="H1144" s="23">
        <v>0</v>
      </c>
      <c r="I1144" s="23">
        <v>0</v>
      </c>
      <c r="J1144" s="23">
        <v>27117.993780000001</v>
      </c>
      <c r="N1144" s="23"/>
      <c r="O1144" s="23"/>
      <c r="P1144" s="23"/>
      <c r="Q1144" s="23"/>
      <c r="R1144" s="23"/>
      <c r="S1144" s="23"/>
      <c r="T1144" s="23"/>
      <c r="U1144" s="23"/>
    </row>
    <row r="1145" spans="1:21" x14ac:dyDescent="0.2">
      <c r="A1145" s="23">
        <v>39</v>
      </c>
      <c r="B1145" s="23">
        <v>1</v>
      </c>
      <c r="C1145" s="23">
        <v>32.340000000000003</v>
      </c>
      <c r="D1145" s="23">
        <v>2</v>
      </c>
      <c r="E1145" s="23">
        <v>0</v>
      </c>
      <c r="F1145" s="23">
        <v>0</v>
      </c>
      <c r="G1145" s="23">
        <v>1</v>
      </c>
      <c r="H1145" s="23">
        <v>0</v>
      </c>
      <c r="I1145" s="23">
        <v>0</v>
      </c>
      <c r="J1145" s="23">
        <v>6338.0756000000001</v>
      </c>
      <c r="N1145" s="23"/>
      <c r="O1145" s="23"/>
      <c r="P1145" s="23"/>
      <c r="Q1145" s="23"/>
      <c r="R1145" s="23"/>
      <c r="S1145" s="23"/>
      <c r="T1145" s="23"/>
      <c r="U1145" s="23"/>
    </row>
    <row r="1146" spans="1:21" x14ac:dyDescent="0.2">
      <c r="A1146" s="23">
        <v>50</v>
      </c>
      <c r="B1146" s="23">
        <v>1</v>
      </c>
      <c r="C1146" s="23">
        <v>32.299999999999997</v>
      </c>
      <c r="D1146" s="23">
        <v>2</v>
      </c>
      <c r="E1146" s="23">
        <v>0</v>
      </c>
      <c r="F1146" s="23">
        <v>0</v>
      </c>
      <c r="G1146" s="23">
        <v>0</v>
      </c>
      <c r="H1146" s="23">
        <v>1</v>
      </c>
      <c r="I1146" s="23">
        <v>0</v>
      </c>
      <c r="J1146" s="23">
        <v>9630.3970000000008</v>
      </c>
      <c r="N1146" s="23"/>
      <c r="O1146" s="23"/>
      <c r="P1146" s="23"/>
      <c r="Q1146" s="23"/>
      <c r="R1146" s="23"/>
      <c r="S1146" s="23"/>
      <c r="T1146" s="23"/>
      <c r="U1146" s="23"/>
    </row>
    <row r="1147" spans="1:21" x14ac:dyDescent="0.2">
      <c r="A1147" s="23">
        <v>52</v>
      </c>
      <c r="B1147" s="23">
        <v>1</v>
      </c>
      <c r="C1147" s="23">
        <v>32.774999999999999</v>
      </c>
      <c r="D1147" s="23">
        <v>3</v>
      </c>
      <c r="E1147" s="23">
        <v>0</v>
      </c>
      <c r="F1147" s="23">
        <v>0</v>
      </c>
      <c r="G1147" s="23">
        <v>0</v>
      </c>
      <c r="H1147" s="23">
        <v>0</v>
      </c>
      <c r="I1147" s="23">
        <v>1</v>
      </c>
      <c r="J1147" s="23">
        <v>11289.10925</v>
      </c>
      <c r="N1147" s="23"/>
      <c r="O1147" s="23"/>
      <c r="P1147" s="23"/>
      <c r="Q1147" s="23"/>
      <c r="R1147" s="23"/>
      <c r="S1147" s="23"/>
      <c r="T1147" s="23"/>
      <c r="U1147" s="23"/>
    </row>
    <row r="1148" spans="1:21" x14ac:dyDescent="0.2">
      <c r="A1148" s="23">
        <v>60</v>
      </c>
      <c r="B1148" s="23">
        <v>1</v>
      </c>
      <c r="C1148" s="23">
        <v>32.799999999999997</v>
      </c>
      <c r="D1148" s="23">
        <v>0</v>
      </c>
      <c r="E1148" s="23">
        <v>1</v>
      </c>
      <c r="F1148" s="23">
        <v>0</v>
      </c>
      <c r="G1148" s="23">
        <v>0</v>
      </c>
      <c r="H1148" s="23">
        <v>1</v>
      </c>
      <c r="I1148" s="23">
        <v>0</v>
      </c>
      <c r="J1148" s="23">
        <v>52590.829389999999</v>
      </c>
      <c r="N1148" s="23"/>
      <c r="O1148" s="23"/>
      <c r="P1148" s="23"/>
      <c r="Q1148" s="23"/>
      <c r="R1148" s="23"/>
      <c r="S1148" s="23"/>
      <c r="T1148" s="23"/>
      <c r="U1148" s="23"/>
    </row>
    <row r="1149" spans="1:21" x14ac:dyDescent="0.2">
      <c r="A1149" s="23">
        <v>20</v>
      </c>
      <c r="B1149" s="23">
        <v>0</v>
      </c>
      <c r="C1149" s="23">
        <v>31.92</v>
      </c>
      <c r="D1149" s="23">
        <v>0</v>
      </c>
      <c r="E1149" s="23">
        <v>0</v>
      </c>
      <c r="F1149" s="23">
        <v>0</v>
      </c>
      <c r="G1149" s="23">
        <v>0</v>
      </c>
      <c r="H1149" s="23">
        <v>0</v>
      </c>
      <c r="I1149" s="23">
        <v>1</v>
      </c>
      <c r="J1149" s="23">
        <v>2261.5688</v>
      </c>
      <c r="N1149" s="23"/>
      <c r="O1149" s="23"/>
      <c r="P1149" s="23"/>
      <c r="Q1149" s="23"/>
      <c r="R1149" s="23"/>
      <c r="S1149" s="23"/>
      <c r="T1149" s="23"/>
      <c r="U1149" s="23"/>
    </row>
    <row r="1150" spans="1:21" x14ac:dyDescent="0.2">
      <c r="A1150" s="23">
        <v>55</v>
      </c>
      <c r="B1150" s="23">
        <v>1</v>
      </c>
      <c r="C1150" s="23">
        <v>21.5</v>
      </c>
      <c r="D1150" s="23">
        <v>1</v>
      </c>
      <c r="E1150" s="23">
        <v>0</v>
      </c>
      <c r="F1150" s="23">
        <v>0</v>
      </c>
      <c r="G1150" s="23">
        <v>0</v>
      </c>
      <c r="H1150" s="23">
        <v>1</v>
      </c>
      <c r="I1150" s="23">
        <v>0</v>
      </c>
      <c r="J1150" s="23">
        <v>10791.96</v>
      </c>
      <c r="N1150" s="23"/>
      <c r="O1150" s="23"/>
      <c r="P1150" s="23"/>
      <c r="Q1150" s="23"/>
      <c r="R1150" s="23"/>
      <c r="S1150" s="23"/>
      <c r="T1150" s="23"/>
      <c r="U1150" s="23"/>
    </row>
    <row r="1151" spans="1:21" x14ac:dyDescent="0.2">
      <c r="A1151" s="23">
        <v>42</v>
      </c>
      <c r="B1151" s="23">
        <v>1</v>
      </c>
      <c r="C1151" s="23">
        <v>34.1</v>
      </c>
      <c r="D1151" s="23">
        <v>0</v>
      </c>
      <c r="E1151" s="23">
        <v>0</v>
      </c>
      <c r="F1151" s="23">
        <v>0</v>
      </c>
      <c r="G1151" s="23">
        <v>0</v>
      </c>
      <c r="H1151" s="23">
        <v>1</v>
      </c>
      <c r="I1151" s="23">
        <v>0</v>
      </c>
      <c r="J1151" s="23">
        <v>5979.7309999999998</v>
      </c>
      <c r="N1151" s="23"/>
      <c r="O1151" s="23"/>
      <c r="P1151" s="23"/>
      <c r="Q1151" s="23"/>
      <c r="R1151" s="23"/>
      <c r="S1151" s="23"/>
      <c r="T1151" s="23"/>
      <c r="U1151" s="23"/>
    </row>
    <row r="1152" spans="1:21" x14ac:dyDescent="0.2">
      <c r="A1152" s="23">
        <v>18</v>
      </c>
      <c r="B1152" s="23">
        <v>0</v>
      </c>
      <c r="C1152" s="23">
        <v>30.305</v>
      </c>
      <c r="D1152" s="23">
        <v>0</v>
      </c>
      <c r="E1152" s="23">
        <v>0</v>
      </c>
      <c r="F1152" s="23">
        <v>1</v>
      </c>
      <c r="G1152" s="23">
        <v>0</v>
      </c>
      <c r="H1152" s="23">
        <v>0</v>
      </c>
      <c r="I1152" s="23">
        <v>0</v>
      </c>
      <c r="J1152" s="23">
        <v>2203.7359499999998</v>
      </c>
      <c r="N1152" s="23"/>
      <c r="O1152" s="23"/>
      <c r="P1152" s="23"/>
      <c r="Q1152" s="23"/>
      <c r="R1152" s="23"/>
      <c r="S1152" s="23"/>
      <c r="T1152" s="23"/>
      <c r="U1152" s="23"/>
    </row>
    <row r="1153" spans="1:21" x14ac:dyDescent="0.2">
      <c r="A1153" s="23">
        <v>58</v>
      </c>
      <c r="B1153" s="23">
        <v>0</v>
      </c>
      <c r="C1153" s="23">
        <v>36.479999999999997</v>
      </c>
      <c r="D1153" s="23">
        <v>0</v>
      </c>
      <c r="E1153" s="23">
        <v>0</v>
      </c>
      <c r="F1153" s="23">
        <v>0</v>
      </c>
      <c r="G1153" s="23">
        <v>0</v>
      </c>
      <c r="H1153" s="23">
        <v>0</v>
      </c>
      <c r="I1153" s="23">
        <v>1</v>
      </c>
      <c r="J1153" s="23">
        <v>12235.8392</v>
      </c>
      <c r="N1153" s="23"/>
      <c r="O1153" s="23"/>
      <c r="P1153" s="23"/>
      <c r="Q1153" s="23"/>
      <c r="R1153" s="23"/>
      <c r="S1153" s="23"/>
      <c r="T1153" s="23"/>
      <c r="U1153" s="23"/>
    </row>
    <row r="1154" spans="1:21" x14ac:dyDescent="0.2">
      <c r="A1154" s="23">
        <v>43</v>
      </c>
      <c r="B1154" s="23">
        <v>0</v>
      </c>
      <c r="C1154" s="23">
        <v>32.56</v>
      </c>
      <c r="D1154" s="23">
        <v>3</v>
      </c>
      <c r="E1154" s="23">
        <v>1</v>
      </c>
      <c r="F1154" s="23">
        <v>0</v>
      </c>
      <c r="G1154" s="23">
        <v>1</v>
      </c>
      <c r="H1154" s="23">
        <v>0</v>
      </c>
      <c r="I1154" s="23">
        <v>0</v>
      </c>
      <c r="J1154" s="23">
        <v>40941.285400000001</v>
      </c>
      <c r="N1154" s="23"/>
      <c r="O1154" s="23"/>
      <c r="P1154" s="23"/>
      <c r="Q1154" s="23"/>
      <c r="R1154" s="23"/>
      <c r="S1154" s="23"/>
      <c r="T1154" s="23"/>
      <c r="U1154" s="23"/>
    </row>
    <row r="1155" spans="1:21" x14ac:dyDescent="0.2">
      <c r="A1155" s="23">
        <v>35</v>
      </c>
      <c r="B1155" s="23">
        <v>0</v>
      </c>
      <c r="C1155" s="23">
        <v>35.814999999999998</v>
      </c>
      <c r="D1155" s="23">
        <v>1</v>
      </c>
      <c r="E1155" s="23">
        <v>0</v>
      </c>
      <c r="F1155" s="23">
        <v>0</v>
      </c>
      <c r="G1155" s="23">
        <v>0</v>
      </c>
      <c r="H1155" s="23">
        <v>0</v>
      </c>
      <c r="I1155" s="23">
        <v>1</v>
      </c>
      <c r="J1155" s="23">
        <v>5630.4578499999998</v>
      </c>
      <c r="N1155" s="23"/>
      <c r="O1155" s="23"/>
      <c r="P1155" s="23"/>
      <c r="Q1155" s="23"/>
      <c r="R1155" s="23"/>
      <c r="S1155" s="23"/>
      <c r="T1155" s="23"/>
      <c r="U1155" s="23"/>
    </row>
    <row r="1156" spans="1:21" x14ac:dyDescent="0.2">
      <c r="A1156" s="23">
        <v>48</v>
      </c>
      <c r="B1156" s="23">
        <v>0</v>
      </c>
      <c r="C1156" s="23">
        <v>27.93</v>
      </c>
      <c r="D1156" s="23">
        <v>4</v>
      </c>
      <c r="E1156" s="23">
        <v>0</v>
      </c>
      <c r="F1156" s="23">
        <v>0</v>
      </c>
      <c r="G1156" s="23">
        <v>0</v>
      </c>
      <c r="H1156" s="23">
        <v>0</v>
      </c>
      <c r="I1156" s="23">
        <v>1</v>
      </c>
      <c r="J1156" s="23">
        <v>11015.1747</v>
      </c>
      <c r="N1156" s="23"/>
      <c r="O1156" s="23"/>
      <c r="P1156" s="23"/>
      <c r="Q1156" s="23"/>
      <c r="R1156" s="23"/>
      <c r="S1156" s="23"/>
      <c r="T1156" s="23"/>
      <c r="U1156" s="23"/>
    </row>
    <row r="1157" spans="1:21" x14ac:dyDescent="0.2">
      <c r="A1157" s="23">
        <v>36</v>
      </c>
      <c r="B1157" s="23">
        <v>0</v>
      </c>
      <c r="C1157" s="23">
        <v>22.135000000000002</v>
      </c>
      <c r="D1157" s="23">
        <v>3</v>
      </c>
      <c r="E1157" s="23">
        <v>0</v>
      </c>
      <c r="F1157" s="23">
        <v>1</v>
      </c>
      <c r="G1157" s="23">
        <v>0</v>
      </c>
      <c r="H1157" s="23">
        <v>0</v>
      </c>
      <c r="I1157" s="23">
        <v>0</v>
      </c>
      <c r="J1157" s="23">
        <v>7228.2156500000001</v>
      </c>
      <c r="N1157" s="23"/>
      <c r="O1157" s="23"/>
      <c r="P1157" s="23"/>
      <c r="Q1157" s="23"/>
      <c r="R1157" s="23"/>
      <c r="S1157" s="23"/>
      <c r="T1157" s="23"/>
      <c r="U1157" s="23"/>
    </row>
    <row r="1158" spans="1:21" x14ac:dyDescent="0.2">
      <c r="A1158" s="23">
        <v>19</v>
      </c>
      <c r="B1158" s="23">
        <v>1</v>
      </c>
      <c r="C1158" s="23">
        <v>44.88</v>
      </c>
      <c r="D1158" s="23">
        <v>0</v>
      </c>
      <c r="E1158" s="23">
        <v>1</v>
      </c>
      <c r="F1158" s="23">
        <v>0</v>
      </c>
      <c r="G1158" s="23">
        <v>1</v>
      </c>
      <c r="H1158" s="23">
        <v>0</v>
      </c>
      <c r="I1158" s="23">
        <v>0</v>
      </c>
      <c r="J1158" s="23">
        <v>39722.746200000001</v>
      </c>
      <c r="N1158" s="23"/>
      <c r="O1158" s="23"/>
      <c r="P1158" s="23"/>
      <c r="Q1158" s="23"/>
      <c r="R1158" s="23"/>
      <c r="S1158" s="23"/>
      <c r="T1158" s="23"/>
      <c r="U1158" s="23"/>
    </row>
    <row r="1159" spans="1:21" x14ac:dyDescent="0.2">
      <c r="A1159" s="23">
        <v>23</v>
      </c>
      <c r="B1159" s="23">
        <v>0</v>
      </c>
      <c r="C1159" s="23">
        <v>23.18</v>
      </c>
      <c r="D1159" s="23">
        <v>2</v>
      </c>
      <c r="E1159" s="23">
        <v>0</v>
      </c>
      <c r="F1159" s="23">
        <v>0</v>
      </c>
      <c r="G1159" s="23">
        <v>0</v>
      </c>
      <c r="H1159" s="23">
        <v>0</v>
      </c>
      <c r="I1159" s="23">
        <v>1</v>
      </c>
      <c r="J1159" s="23">
        <v>14426.073850000001</v>
      </c>
      <c r="N1159" s="23"/>
      <c r="O1159" s="23"/>
      <c r="P1159" s="23"/>
      <c r="Q1159" s="23"/>
      <c r="R1159" s="23"/>
      <c r="S1159" s="23"/>
      <c r="T1159" s="23"/>
      <c r="U1159" s="23"/>
    </row>
    <row r="1160" spans="1:21" x14ac:dyDescent="0.2">
      <c r="A1160" s="23">
        <v>20</v>
      </c>
      <c r="B1160" s="23">
        <v>0</v>
      </c>
      <c r="C1160" s="23">
        <v>30.59</v>
      </c>
      <c r="D1160" s="23">
        <v>0</v>
      </c>
      <c r="E1160" s="23">
        <v>0</v>
      </c>
      <c r="F1160" s="23">
        <v>1</v>
      </c>
      <c r="G1160" s="23">
        <v>0</v>
      </c>
      <c r="H1160" s="23">
        <v>0</v>
      </c>
      <c r="I1160" s="23">
        <v>0</v>
      </c>
      <c r="J1160" s="23">
        <v>2459.7201</v>
      </c>
      <c r="N1160" s="23"/>
      <c r="O1160" s="23"/>
      <c r="P1160" s="23"/>
      <c r="Q1160" s="23"/>
      <c r="R1160" s="23"/>
      <c r="S1160" s="23"/>
      <c r="T1160" s="23"/>
      <c r="U1160" s="23"/>
    </row>
    <row r="1161" spans="1:21" x14ac:dyDescent="0.2">
      <c r="A1161" s="23">
        <v>32</v>
      </c>
      <c r="B1161" s="23">
        <v>0</v>
      </c>
      <c r="C1161" s="23">
        <v>41.1</v>
      </c>
      <c r="D1161" s="23">
        <v>0</v>
      </c>
      <c r="E1161" s="23">
        <v>0</v>
      </c>
      <c r="F1161" s="23">
        <v>0</v>
      </c>
      <c r="G1161" s="23">
        <v>0</v>
      </c>
      <c r="H1161" s="23">
        <v>1</v>
      </c>
      <c r="I1161" s="23">
        <v>0</v>
      </c>
      <c r="J1161" s="23">
        <v>3989.8409999999999</v>
      </c>
      <c r="N1161" s="23"/>
      <c r="O1161" s="23"/>
      <c r="P1161" s="23"/>
      <c r="Q1161" s="23"/>
      <c r="R1161" s="23"/>
      <c r="S1161" s="23"/>
      <c r="T1161" s="23"/>
      <c r="U1161" s="23"/>
    </row>
    <row r="1162" spans="1:21" x14ac:dyDescent="0.2">
      <c r="A1162" s="23">
        <v>43</v>
      </c>
      <c r="B1162" s="23">
        <v>0</v>
      </c>
      <c r="C1162" s="23">
        <v>34.58</v>
      </c>
      <c r="D1162" s="23">
        <v>1</v>
      </c>
      <c r="E1162" s="23">
        <v>0</v>
      </c>
      <c r="F1162" s="23">
        <v>0</v>
      </c>
      <c r="G1162" s="23">
        <v>0</v>
      </c>
      <c r="H1162" s="23">
        <v>0</v>
      </c>
      <c r="I1162" s="23">
        <v>1</v>
      </c>
      <c r="J1162" s="23">
        <v>7727.2532000000001</v>
      </c>
      <c r="N1162" s="23"/>
      <c r="O1162" s="23"/>
      <c r="P1162" s="23"/>
      <c r="Q1162" s="23"/>
      <c r="R1162" s="23"/>
      <c r="S1162" s="23"/>
      <c r="T1162" s="23"/>
      <c r="U1162" s="23"/>
    </row>
    <row r="1163" spans="1:21" x14ac:dyDescent="0.2">
      <c r="A1163" s="23">
        <v>34</v>
      </c>
      <c r="B1163" s="23">
        <v>1</v>
      </c>
      <c r="C1163" s="23">
        <v>42.13</v>
      </c>
      <c r="D1163" s="23">
        <v>2</v>
      </c>
      <c r="E1163" s="23">
        <v>0</v>
      </c>
      <c r="F1163" s="23">
        <v>0</v>
      </c>
      <c r="G1163" s="23">
        <v>1</v>
      </c>
      <c r="H1163" s="23">
        <v>0</v>
      </c>
      <c r="I1163" s="23">
        <v>0</v>
      </c>
      <c r="J1163" s="23">
        <v>5124.1886999999997</v>
      </c>
      <c r="N1163" s="23"/>
      <c r="O1163" s="23"/>
      <c r="P1163" s="23"/>
      <c r="Q1163" s="23"/>
      <c r="R1163" s="23"/>
      <c r="S1163" s="23"/>
      <c r="T1163" s="23"/>
      <c r="U1163" s="23"/>
    </row>
    <row r="1164" spans="1:21" x14ac:dyDescent="0.2">
      <c r="A1164" s="23">
        <v>30</v>
      </c>
      <c r="B1164" s="23">
        <v>1</v>
      </c>
      <c r="C1164" s="23">
        <v>38.83</v>
      </c>
      <c r="D1164" s="23">
        <v>1</v>
      </c>
      <c r="E1164" s="23">
        <v>0</v>
      </c>
      <c r="F1164" s="23">
        <v>0</v>
      </c>
      <c r="G1164" s="23">
        <v>1</v>
      </c>
      <c r="H1164" s="23">
        <v>0</v>
      </c>
      <c r="I1164" s="23">
        <v>0</v>
      </c>
      <c r="J1164" s="23">
        <v>18963.171920000001</v>
      </c>
      <c r="N1164" s="23"/>
      <c r="O1164" s="23"/>
      <c r="P1164" s="23"/>
      <c r="Q1164" s="23"/>
      <c r="R1164" s="23"/>
      <c r="S1164" s="23"/>
      <c r="T1164" s="23"/>
      <c r="U1164" s="23"/>
    </row>
    <row r="1165" spans="1:21" x14ac:dyDescent="0.2">
      <c r="A1165" s="23">
        <v>18</v>
      </c>
      <c r="B1165" s="23">
        <v>0</v>
      </c>
      <c r="C1165" s="23">
        <v>28.215</v>
      </c>
      <c r="D1165" s="23">
        <v>0</v>
      </c>
      <c r="E1165" s="23">
        <v>0</v>
      </c>
      <c r="F1165" s="23">
        <v>1</v>
      </c>
      <c r="G1165" s="23">
        <v>0</v>
      </c>
      <c r="H1165" s="23">
        <v>0</v>
      </c>
      <c r="I1165" s="23">
        <v>0</v>
      </c>
      <c r="J1165" s="23">
        <v>2200.8308499999998</v>
      </c>
      <c r="N1165" s="23"/>
      <c r="O1165" s="23"/>
      <c r="P1165" s="23"/>
      <c r="Q1165" s="23"/>
      <c r="R1165" s="23"/>
      <c r="S1165" s="23"/>
      <c r="T1165" s="23"/>
      <c r="U1165" s="23"/>
    </row>
    <row r="1166" spans="1:21" x14ac:dyDescent="0.2">
      <c r="A1166" s="23">
        <v>41</v>
      </c>
      <c r="B1166" s="23">
        <v>0</v>
      </c>
      <c r="C1166" s="23">
        <v>28.31</v>
      </c>
      <c r="D1166" s="23">
        <v>1</v>
      </c>
      <c r="E1166" s="23">
        <v>0</v>
      </c>
      <c r="F1166" s="23">
        <v>0</v>
      </c>
      <c r="G1166" s="23">
        <v>0</v>
      </c>
      <c r="H1166" s="23">
        <v>0</v>
      </c>
      <c r="I1166" s="23">
        <v>1</v>
      </c>
      <c r="J1166" s="23">
        <v>7153.5538999999999</v>
      </c>
      <c r="N1166" s="23"/>
      <c r="O1166" s="23"/>
      <c r="P1166" s="23"/>
      <c r="Q1166" s="23"/>
      <c r="R1166" s="23"/>
      <c r="S1166" s="23"/>
      <c r="T1166" s="23"/>
      <c r="U1166" s="23"/>
    </row>
    <row r="1167" spans="1:21" x14ac:dyDescent="0.2">
      <c r="A1167" s="23">
        <v>35</v>
      </c>
      <c r="B1167" s="23">
        <v>0</v>
      </c>
      <c r="C1167" s="23">
        <v>26.125</v>
      </c>
      <c r="D1167" s="23">
        <v>0</v>
      </c>
      <c r="E1167" s="23">
        <v>0</v>
      </c>
      <c r="F1167" s="23">
        <v>1</v>
      </c>
      <c r="G1167" s="23">
        <v>0</v>
      </c>
      <c r="H1167" s="23">
        <v>0</v>
      </c>
      <c r="I1167" s="23">
        <v>0</v>
      </c>
      <c r="J1167" s="23">
        <v>5227.9887500000004</v>
      </c>
      <c r="N1167" s="23"/>
      <c r="O1167" s="23"/>
      <c r="P1167" s="23"/>
      <c r="Q1167" s="23"/>
      <c r="R1167" s="23"/>
      <c r="S1167" s="23"/>
      <c r="T1167" s="23"/>
      <c r="U1167" s="23"/>
    </row>
    <row r="1168" spans="1:21" x14ac:dyDescent="0.2">
      <c r="A1168" s="23">
        <v>57</v>
      </c>
      <c r="B1168" s="23">
        <v>1</v>
      </c>
      <c r="C1168" s="23">
        <v>40.369999999999997</v>
      </c>
      <c r="D1168" s="23">
        <v>0</v>
      </c>
      <c r="E1168" s="23">
        <v>0</v>
      </c>
      <c r="F1168" s="23">
        <v>0</v>
      </c>
      <c r="G1168" s="23">
        <v>1</v>
      </c>
      <c r="H1168" s="23">
        <v>0</v>
      </c>
      <c r="I1168" s="23">
        <v>0</v>
      </c>
      <c r="J1168" s="23">
        <v>10982.5013</v>
      </c>
      <c r="N1168" s="23"/>
      <c r="O1168" s="23"/>
      <c r="P1168" s="23"/>
      <c r="Q1168" s="23"/>
      <c r="R1168" s="23"/>
      <c r="S1168" s="23"/>
      <c r="T1168" s="23"/>
      <c r="U1168" s="23"/>
    </row>
    <row r="1169" spans="1:21" x14ac:dyDescent="0.2">
      <c r="A1169" s="23">
        <v>29</v>
      </c>
      <c r="B1169" s="23">
        <v>0</v>
      </c>
      <c r="C1169" s="23">
        <v>24.6</v>
      </c>
      <c r="D1169" s="23">
        <v>2</v>
      </c>
      <c r="E1169" s="23">
        <v>0</v>
      </c>
      <c r="F1169" s="23">
        <v>0</v>
      </c>
      <c r="G1169" s="23">
        <v>0</v>
      </c>
      <c r="H1169" s="23">
        <v>1</v>
      </c>
      <c r="I1169" s="23">
        <v>0</v>
      </c>
      <c r="J1169" s="23">
        <v>4529.4769999999999</v>
      </c>
      <c r="N1169" s="23"/>
      <c r="O1169" s="23"/>
      <c r="P1169" s="23"/>
      <c r="Q1169" s="23"/>
      <c r="R1169" s="23"/>
      <c r="S1169" s="23"/>
      <c r="T1169" s="23"/>
      <c r="U1169" s="23"/>
    </row>
    <row r="1170" spans="1:21" x14ac:dyDescent="0.2">
      <c r="A1170" s="23">
        <v>32</v>
      </c>
      <c r="B1170" s="23">
        <v>1</v>
      </c>
      <c r="C1170" s="23">
        <v>35.200000000000003</v>
      </c>
      <c r="D1170" s="23">
        <v>2</v>
      </c>
      <c r="E1170" s="23">
        <v>0</v>
      </c>
      <c r="F1170" s="23">
        <v>0</v>
      </c>
      <c r="G1170" s="23">
        <v>0</v>
      </c>
      <c r="H1170" s="23">
        <v>1</v>
      </c>
      <c r="I1170" s="23">
        <v>0</v>
      </c>
      <c r="J1170" s="23">
        <v>4670.6400000000003</v>
      </c>
      <c r="N1170" s="23"/>
      <c r="O1170" s="23"/>
      <c r="P1170" s="23"/>
      <c r="Q1170" s="23"/>
      <c r="R1170" s="23"/>
      <c r="S1170" s="23"/>
      <c r="T1170" s="23"/>
      <c r="U1170" s="23"/>
    </row>
    <row r="1171" spans="1:21" x14ac:dyDescent="0.2">
      <c r="A1171" s="23">
        <v>37</v>
      </c>
      <c r="B1171" s="23">
        <v>0</v>
      </c>
      <c r="C1171" s="23">
        <v>34.104999999999997</v>
      </c>
      <c r="D1171" s="23">
        <v>1</v>
      </c>
      <c r="E1171" s="23">
        <v>0</v>
      </c>
      <c r="F1171" s="23">
        <v>0</v>
      </c>
      <c r="G1171" s="23">
        <v>0</v>
      </c>
      <c r="H1171" s="23">
        <v>0</v>
      </c>
      <c r="I1171" s="23">
        <v>1</v>
      </c>
      <c r="J1171" s="23">
        <v>6112.3529500000004</v>
      </c>
      <c r="N1171" s="23"/>
      <c r="O1171" s="23"/>
      <c r="P1171" s="23"/>
      <c r="Q1171" s="23"/>
      <c r="R1171" s="23"/>
      <c r="S1171" s="23"/>
      <c r="T1171" s="23"/>
      <c r="U1171" s="23"/>
    </row>
    <row r="1172" spans="1:21" x14ac:dyDescent="0.2">
      <c r="A1172" s="23">
        <v>18</v>
      </c>
      <c r="B1172" s="23">
        <v>1</v>
      </c>
      <c r="C1172" s="23">
        <v>27.36</v>
      </c>
      <c r="D1172" s="23">
        <v>1</v>
      </c>
      <c r="E1172" s="23">
        <v>1</v>
      </c>
      <c r="F1172" s="23">
        <v>1</v>
      </c>
      <c r="G1172" s="23">
        <v>0</v>
      </c>
      <c r="H1172" s="23">
        <v>0</v>
      </c>
      <c r="I1172" s="23">
        <v>0</v>
      </c>
      <c r="J1172" s="23">
        <v>17178.682400000002</v>
      </c>
      <c r="N1172" s="23"/>
      <c r="O1172" s="23"/>
      <c r="P1172" s="23"/>
      <c r="Q1172" s="23"/>
      <c r="R1172" s="23"/>
      <c r="S1172" s="23"/>
      <c r="T1172" s="23"/>
      <c r="U1172" s="23"/>
    </row>
    <row r="1173" spans="1:21" x14ac:dyDescent="0.2">
      <c r="A1173" s="23">
        <v>43</v>
      </c>
      <c r="B1173" s="23">
        <v>0</v>
      </c>
      <c r="C1173" s="23">
        <v>26.7</v>
      </c>
      <c r="D1173" s="23">
        <v>2</v>
      </c>
      <c r="E1173" s="23">
        <v>1</v>
      </c>
      <c r="F1173" s="23">
        <v>0</v>
      </c>
      <c r="G1173" s="23">
        <v>0</v>
      </c>
      <c r="H1173" s="23">
        <v>1</v>
      </c>
      <c r="I1173" s="23">
        <v>0</v>
      </c>
      <c r="J1173" s="23">
        <v>22478.6</v>
      </c>
      <c r="N1173" s="23"/>
      <c r="O1173" s="23"/>
      <c r="P1173" s="23"/>
      <c r="Q1173" s="23"/>
      <c r="R1173" s="23"/>
      <c r="S1173" s="23"/>
      <c r="T1173" s="23"/>
      <c r="U1173" s="23"/>
    </row>
    <row r="1174" spans="1:21" x14ac:dyDescent="0.2">
      <c r="A1174" s="23">
        <v>56</v>
      </c>
      <c r="B1174" s="23">
        <v>0</v>
      </c>
      <c r="C1174" s="23">
        <v>41.91</v>
      </c>
      <c r="D1174" s="23">
        <v>0</v>
      </c>
      <c r="E1174" s="23">
        <v>0</v>
      </c>
      <c r="F1174" s="23">
        <v>0</v>
      </c>
      <c r="G1174" s="23">
        <v>1</v>
      </c>
      <c r="H1174" s="23">
        <v>0</v>
      </c>
      <c r="I1174" s="23">
        <v>0</v>
      </c>
      <c r="J1174" s="23">
        <v>11093.6229</v>
      </c>
      <c r="N1174" s="23"/>
      <c r="O1174" s="23"/>
      <c r="P1174" s="23"/>
      <c r="Q1174" s="23"/>
      <c r="R1174" s="23"/>
      <c r="S1174" s="23"/>
      <c r="T1174" s="23"/>
      <c r="U1174" s="23"/>
    </row>
    <row r="1175" spans="1:21" x14ac:dyDescent="0.2">
      <c r="A1175" s="23">
        <v>38</v>
      </c>
      <c r="B1175" s="23">
        <v>1</v>
      </c>
      <c r="C1175" s="23">
        <v>29.26</v>
      </c>
      <c r="D1175" s="23">
        <v>2</v>
      </c>
      <c r="E1175" s="23">
        <v>0</v>
      </c>
      <c r="F1175" s="23">
        <v>0</v>
      </c>
      <c r="G1175" s="23">
        <v>0</v>
      </c>
      <c r="H1175" s="23">
        <v>0</v>
      </c>
      <c r="I1175" s="23">
        <v>1</v>
      </c>
      <c r="J1175" s="23">
        <v>6457.8433999999997</v>
      </c>
      <c r="N1175" s="23"/>
      <c r="O1175" s="23"/>
      <c r="P1175" s="23"/>
      <c r="Q1175" s="23"/>
      <c r="R1175" s="23"/>
      <c r="S1175" s="23"/>
      <c r="T1175" s="23"/>
      <c r="U1175" s="23"/>
    </row>
    <row r="1176" spans="1:21" x14ac:dyDescent="0.2">
      <c r="A1176" s="23">
        <v>29</v>
      </c>
      <c r="B1176" s="23">
        <v>1</v>
      </c>
      <c r="C1176" s="23">
        <v>32.11</v>
      </c>
      <c r="D1176" s="23">
        <v>2</v>
      </c>
      <c r="E1176" s="23">
        <v>0</v>
      </c>
      <c r="F1176" s="23">
        <v>0</v>
      </c>
      <c r="G1176" s="23">
        <v>0</v>
      </c>
      <c r="H1176" s="23">
        <v>0</v>
      </c>
      <c r="I1176" s="23">
        <v>1</v>
      </c>
      <c r="J1176" s="23">
        <v>4433.9159</v>
      </c>
      <c r="N1176" s="23"/>
      <c r="O1176" s="23"/>
      <c r="P1176" s="23"/>
      <c r="Q1176" s="23"/>
      <c r="R1176" s="23"/>
      <c r="S1176" s="23"/>
      <c r="T1176" s="23"/>
      <c r="U1176" s="23"/>
    </row>
    <row r="1177" spans="1:21" x14ac:dyDescent="0.2">
      <c r="A1177" s="23">
        <v>22</v>
      </c>
      <c r="B1177" s="23">
        <v>0</v>
      </c>
      <c r="C1177" s="23">
        <v>27.1</v>
      </c>
      <c r="D1177" s="23">
        <v>0</v>
      </c>
      <c r="E1177" s="23">
        <v>0</v>
      </c>
      <c r="F1177" s="23">
        <v>0</v>
      </c>
      <c r="G1177" s="23">
        <v>0</v>
      </c>
      <c r="H1177" s="23">
        <v>1</v>
      </c>
      <c r="I1177" s="23">
        <v>0</v>
      </c>
      <c r="J1177" s="23">
        <v>2154.3609999999999</v>
      </c>
      <c r="N1177" s="23"/>
      <c r="O1177" s="23"/>
      <c r="P1177" s="23"/>
      <c r="Q1177" s="23"/>
      <c r="R1177" s="23"/>
      <c r="S1177" s="23"/>
      <c r="T1177" s="23"/>
      <c r="U1177" s="23"/>
    </row>
    <row r="1178" spans="1:21" x14ac:dyDescent="0.2">
      <c r="A1178" s="23">
        <v>52</v>
      </c>
      <c r="B1178" s="23">
        <v>0</v>
      </c>
      <c r="C1178" s="23">
        <v>24.13</v>
      </c>
      <c r="D1178" s="23">
        <v>1</v>
      </c>
      <c r="E1178" s="23">
        <v>1</v>
      </c>
      <c r="F1178" s="23">
        <v>0</v>
      </c>
      <c r="G1178" s="23">
        <v>0</v>
      </c>
      <c r="H1178" s="23">
        <v>0</v>
      </c>
      <c r="I1178" s="23">
        <v>1</v>
      </c>
      <c r="J1178" s="23">
        <v>23887.662700000001</v>
      </c>
      <c r="N1178" s="23"/>
      <c r="O1178" s="23"/>
      <c r="P1178" s="23"/>
      <c r="Q1178" s="23"/>
      <c r="R1178" s="23"/>
      <c r="S1178" s="23"/>
      <c r="T1178" s="23"/>
      <c r="U1178" s="23"/>
    </row>
    <row r="1179" spans="1:21" x14ac:dyDescent="0.2">
      <c r="A1179" s="23">
        <v>40</v>
      </c>
      <c r="B1179" s="23">
        <v>0</v>
      </c>
      <c r="C1179" s="23">
        <v>27.4</v>
      </c>
      <c r="D1179" s="23">
        <v>1</v>
      </c>
      <c r="E1179" s="23">
        <v>0</v>
      </c>
      <c r="F1179" s="23">
        <v>0</v>
      </c>
      <c r="G1179" s="23">
        <v>0</v>
      </c>
      <c r="H1179" s="23">
        <v>1</v>
      </c>
      <c r="I1179" s="23">
        <v>0</v>
      </c>
      <c r="J1179" s="23">
        <v>6496.8860000000004</v>
      </c>
      <c r="N1179" s="23"/>
      <c r="O1179" s="23"/>
      <c r="P1179" s="23"/>
      <c r="Q1179" s="23"/>
      <c r="R1179" s="23"/>
      <c r="S1179" s="23"/>
      <c r="T1179" s="23"/>
      <c r="U1179" s="23"/>
    </row>
    <row r="1180" spans="1:21" x14ac:dyDescent="0.2">
      <c r="A1180" s="23">
        <v>23</v>
      </c>
      <c r="B1180" s="23">
        <v>0</v>
      </c>
      <c r="C1180" s="23">
        <v>34.865000000000002</v>
      </c>
      <c r="D1180" s="23">
        <v>0</v>
      </c>
      <c r="E1180" s="23">
        <v>0</v>
      </c>
      <c r="F1180" s="23">
        <v>1</v>
      </c>
      <c r="G1180" s="23">
        <v>0</v>
      </c>
      <c r="H1180" s="23">
        <v>0</v>
      </c>
      <c r="I1180" s="23">
        <v>0</v>
      </c>
      <c r="J1180" s="23">
        <v>2899.4893499999998</v>
      </c>
      <c r="N1180" s="23"/>
      <c r="O1180" s="23"/>
      <c r="P1180" s="23"/>
      <c r="Q1180" s="23"/>
      <c r="R1180" s="23"/>
      <c r="S1180" s="23"/>
      <c r="T1180" s="23"/>
      <c r="U1180" s="23"/>
    </row>
    <row r="1181" spans="1:21" x14ac:dyDescent="0.2">
      <c r="A1181" s="23">
        <v>31</v>
      </c>
      <c r="B1181" s="23">
        <v>1</v>
      </c>
      <c r="C1181" s="23">
        <v>29.81</v>
      </c>
      <c r="D1181" s="23">
        <v>0</v>
      </c>
      <c r="E1181" s="23">
        <v>1</v>
      </c>
      <c r="F1181" s="23">
        <v>0</v>
      </c>
      <c r="G1181" s="23">
        <v>1</v>
      </c>
      <c r="H1181" s="23">
        <v>0</v>
      </c>
      <c r="I1181" s="23">
        <v>0</v>
      </c>
      <c r="J1181" s="23">
        <v>19350.368900000001</v>
      </c>
      <c r="N1181" s="23"/>
      <c r="O1181" s="23"/>
      <c r="P1181" s="23"/>
      <c r="Q1181" s="23"/>
      <c r="R1181" s="23"/>
      <c r="S1181" s="23"/>
      <c r="T1181" s="23"/>
      <c r="U1181" s="23"/>
    </row>
    <row r="1182" spans="1:21" x14ac:dyDescent="0.2">
      <c r="A1182" s="23">
        <v>42</v>
      </c>
      <c r="B1182" s="23">
        <v>0</v>
      </c>
      <c r="C1182" s="23">
        <v>41.325000000000003</v>
      </c>
      <c r="D1182" s="23">
        <v>1</v>
      </c>
      <c r="E1182" s="23">
        <v>0</v>
      </c>
      <c r="F1182" s="23">
        <v>1</v>
      </c>
      <c r="G1182" s="23">
        <v>0</v>
      </c>
      <c r="H1182" s="23">
        <v>0</v>
      </c>
      <c r="I1182" s="23">
        <v>0</v>
      </c>
      <c r="J1182" s="23">
        <v>7650.7737500000003</v>
      </c>
      <c r="N1182" s="23"/>
      <c r="O1182" s="23"/>
      <c r="P1182" s="23"/>
      <c r="Q1182" s="23"/>
      <c r="R1182" s="23"/>
      <c r="S1182" s="23"/>
      <c r="T1182" s="23"/>
      <c r="U1182" s="23"/>
    </row>
    <row r="1183" spans="1:21" x14ac:dyDescent="0.2">
      <c r="A1183" s="23">
        <v>24</v>
      </c>
      <c r="B1183" s="23">
        <v>0</v>
      </c>
      <c r="C1183" s="23">
        <v>29.925000000000001</v>
      </c>
      <c r="D1183" s="23">
        <v>0</v>
      </c>
      <c r="E1183" s="23">
        <v>0</v>
      </c>
      <c r="F1183" s="23">
        <v>0</v>
      </c>
      <c r="G1183" s="23">
        <v>0</v>
      </c>
      <c r="H1183" s="23">
        <v>0</v>
      </c>
      <c r="I1183" s="23">
        <v>1</v>
      </c>
      <c r="J1183" s="23">
        <v>2850.6837500000001</v>
      </c>
      <c r="N1183" s="23"/>
      <c r="O1183" s="23"/>
      <c r="P1183" s="23"/>
      <c r="Q1183" s="23"/>
      <c r="R1183" s="23"/>
      <c r="S1183" s="23"/>
      <c r="T1183" s="23"/>
      <c r="U1183" s="23"/>
    </row>
    <row r="1184" spans="1:21" x14ac:dyDescent="0.2">
      <c r="A1184" s="23">
        <v>25</v>
      </c>
      <c r="B1184" s="23">
        <v>0</v>
      </c>
      <c r="C1184" s="23">
        <v>30.3</v>
      </c>
      <c r="D1184" s="23">
        <v>0</v>
      </c>
      <c r="E1184" s="23">
        <v>0</v>
      </c>
      <c r="F1184" s="23">
        <v>0</v>
      </c>
      <c r="G1184" s="23">
        <v>0</v>
      </c>
      <c r="H1184" s="23">
        <v>1</v>
      </c>
      <c r="I1184" s="23">
        <v>0</v>
      </c>
      <c r="J1184" s="23">
        <v>2632.9920000000002</v>
      </c>
      <c r="N1184" s="23"/>
      <c r="O1184" s="23"/>
      <c r="P1184" s="23"/>
      <c r="Q1184" s="23"/>
      <c r="R1184" s="23"/>
      <c r="S1184" s="23"/>
      <c r="T1184" s="23"/>
      <c r="U1184" s="23"/>
    </row>
    <row r="1185" spans="1:21" x14ac:dyDescent="0.2">
      <c r="A1185" s="23">
        <v>48</v>
      </c>
      <c r="B1185" s="23">
        <v>0</v>
      </c>
      <c r="C1185" s="23">
        <v>27.36</v>
      </c>
      <c r="D1185" s="23">
        <v>1</v>
      </c>
      <c r="E1185" s="23">
        <v>0</v>
      </c>
      <c r="F1185" s="23">
        <v>1</v>
      </c>
      <c r="G1185" s="23">
        <v>0</v>
      </c>
      <c r="H1185" s="23">
        <v>0</v>
      </c>
      <c r="I1185" s="23">
        <v>0</v>
      </c>
      <c r="J1185" s="23">
        <v>9447.3824000000004</v>
      </c>
      <c r="N1185" s="23"/>
      <c r="O1185" s="23"/>
      <c r="P1185" s="23"/>
      <c r="Q1185" s="23"/>
      <c r="R1185" s="23"/>
      <c r="S1185" s="23"/>
      <c r="T1185" s="23"/>
      <c r="U1185" s="23"/>
    </row>
    <row r="1186" spans="1:21" x14ac:dyDescent="0.2">
      <c r="A1186" s="23">
        <v>23</v>
      </c>
      <c r="B1186" s="23">
        <v>0</v>
      </c>
      <c r="C1186" s="23">
        <v>28.49</v>
      </c>
      <c r="D1186" s="23">
        <v>1</v>
      </c>
      <c r="E1186" s="23">
        <v>1</v>
      </c>
      <c r="F1186" s="23">
        <v>0</v>
      </c>
      <c r="G1186" s="23">
        <v>1</v>
      </c>
      <c r="H1186" s="23">
        <v>0</v>
      </c>
      <c r="I1186" s="23">
        <v>0</v>
      </c>
      <c r="J1186" s="23">
        <v>18328.238099999999</v>
      </c>
      <c r="N1186" s="23"/>
      <c r="O1186" s="23"/>
      <c r="P1186" s="23"/>
      <c r="Q1186" s="23"/>
      <c r="R1186" s="23"/>
      <c r="S1186" s="23"/>
      <c r="T1186" s="23"/>
      <c r="U1186" s="23"/>
    </row>
    <row r="1187" spans="1:21" x14ac:dyDescent="0.2">
      <c r="A1187" s="23">
        <v>45</v>
      </c>
      <c r="B1187" s="23">
        <v>1</v>
      </c>
      <c r="C1187" s="23">
        <v>23.56</v>
      </c>
      <c r="D1187" s="23">
        <v>2</v>
      </c>
      <c r="E1187" s="23">
        <v>0</v>
      </c>
      <c r="F1187" s="23">
        <v>1</v>
      </c>
      <c r="G1187" s="23">
        <v>0</v>
      </c>
      <c r="H1187" s="23">
        <v>0</v>
      </c>
      <c r="I1187" s="23">
        <v>0</v>
      </c>
      <c r="J1187" s="23">
        <v>8603.8233999999993</v>
      </c>
      <c r="N1187" s="23"/>
      <c r="O1187" s="23"/>
      <c r="P1187" s="23"/>
      <c r="Q1187" s="23"/>
      <c r="R1187" s="23"/>
      <c r="S1187" s="23"/>
      <c r="T1187" s="23"/>
      <c r="U1187" s="23"/>
    </row>
    <row r="1188" spans="1:21" x14ac:dyDescent="0.2">
      <c r="A1188" s="23">
        <v>20</v>
      </c>
      <c r="B1188" s="23">
        <v>1</v>
      </c>
      <c r="C1188" s="23">
        <v>35.625</v>
      </c>
      <c r="D1188" s="23">
        <v>3</v>
      </c>
      <c r="E1188" s="23">
        <v>1</v>
      </c>
      <c r="F1188" s="23">
        <v>0</v>
      </c>
      <c r="G1188" s="23">
        <v>0</v>
      </c>
      <c r="H1188" s="23">
        <v>0</v>
      </c>
      <c r="I1188" s="23">
        <v>1</v>
      </c>
      <c r="J1188" s="23">
        <v>37465.34375</v>
      </c>
      <c r="N1188" s="23"/>
      <c r="O1188" s="23"/>
      <c r="P1188" s="23"/>
      <c r="Q1188" s="23"/>
      <c r="R1188" s="23"/>
      <c r="S1188" s="23"/>
      <c r="T1188" s="23"/>
      <c r="U1188" s="23"/>
    </row>
    <row r="1189" spans="1:21" x14ac:dyDescent="0.2">
      <c r="A1189" s="23">
        <v>62</v>
      </c>
      <c r="B1189" s="23">
        <v>0</v>
      </c>
      <c r="C1189" s="23">
        <v>32.68</v>
      </c>
      <c r="D1189" s="23">
        <v>0</v>
      </c>
      <c r="E1189" s="23">
        <v>0</v>
      </c>
      <c r="F1189" s="23">
        <v>0</v>
      </c>
      <c r="G1189" s="23">
        <v>0</v>
      </c>
      <c r="H1189" s="23">
        <v>0</v>
      </c>
      <c r="I1189" s="23">
        <v>1</v>
      </c>
      <c r="J1189" s="23">
        <v>13844.797200000001</v>
      </c>
      <c r="N1189" s="23"/>
      <c r="O1189" s="23"/>
      <c r="P1189" s="23"/>
      <c r="Q1189" s="23"/>
      <c r="R1189" s="23"/>
      <c r="S1189" s="23"/>
      <c r="T1189" s="23"/>
      <c r="U1189" s="23"/>
    </row>
    <row r="1190" spans="1:21" x14ac:dyDescent="0.2">
      <c r="A1190" s="23">
        <v>43</v>
      </c>
      <c r="B1190" s="23">
        <v>0</v>
      </c>
      <c r="C1190" s="23">
        <v>25.27</v>
      </c>
      <c r="D1190" s="23">
        <v>1</v>
      </c>
      <c r="E1190" s="23">
        <v>1</v>
      </c>
      <c r="F1190" s="23">
        <v>1</v>
      </c>
      <c r="G1190" s="23">
        <v>0</v>
      </c>
      <c r="H1190" s="23">
        <v>0</v>
      </c>
      <c r="I1190" s="23">
        <v>0</v>
      </c>
      <c r="J1190" s="23">
        <v>21771.3423</v>
      </c>
      <c r="N1190" s="23"/>
      <c r="O1190" s="23"/>
      <c r="P1190" s="23"/>
      <c r="Q1190" s="23"/>
      <c r="R1190" s="23"/>
      <c r="S1190" s="23"/>
      <c r="T1190" s="23"/>
      <c r="U1190" s="23"/>
    </row>
    <row r="1191" spans="1:21" x14ac:dyDescent="0.2">
      <c r="A1191" s="23">
        <v>23</v>
      </c>
      <c r="B1191" s="23">
        <v>0</v>
      </c>
      <c r="C1191" s="23">
        <v>28</v>
      </c>
      <c r="D1191" s="23">
        <v>0</v>
      </c>
      <c r="E1191" s="23">
        <v>0</v>
      </c>
      <c r="F1191" s="23">
        <v>0</v>
      </c>
      <c r="G1191" s="23">
        <v>0</v>
      </c>
      <c r="H1191" s="23">
        <v>1</v>
      </c>
      <c r="I1191" s="23">
        <v>0</v>
      </c>
      <c r="J1191" s="23">
        <v>13126.677449999999</v>
      </c>
      <c r="N1191" s="23"/>
      <c r="O1191" s="23"/>
      <c r="P1191" s="23"/>
      <c r="Q1191" s="23"/>
      <c r="R1191" s="23"/>
      <c r="S1191" s="23"/>
      <c r="T1191" s="23"/>
      <c r="U1191" s="23"/>
    </row>
    <row r="1192" spans="1:21" x14ac:dyDescent="0.2">
      <c r="A1192" s="23">
        <v>31</v>
      </c>
      <c r="B1192" s="23">
        <v>0</v>
      </c>
      <c r="C1192" s="23">
        <v>32.774999999999999</v>
      </c>
      <c r="D1192" s="23">
        <v>2</v>
      </c>
      <c r="E1192" s="23">
        <v>0</v>
      </c>
      <c r="F1192" s="23">
        <v>0</v>
      </c>
      <c r="G1192" s="23">
        <v>0</v>
      </c>
      <c r="H1192" s="23">
        <v>0</v>
      </c>
      <c r="I1192" s="23">
        <v>1</v>
      </c>
      <c r="J1192" s="23">
        <v>5327.4002499999997</v>
      </c>
      <c r="N1192" s="23"/>
      <c r="O1192" s="23"/>
      <c r="P1192" s="23"/>
      <c r="Q1192" s="23"/>
      <c r="R1192" s="23"/>
      <c r="S1192" s="23"/>
      <c r="T1192" s="23"/>
      <c r="U1192" s="23"/>
    </row>
    <row r="1193" spans="1:21" x14ac:dyDescent="0.2">
      <c r="A1193" s="23">
        <v>41</v>
      </c>
      <c r="B1193" s="23">
        <v>0</v>
      </c>
      <c r="C1193" s="23">
        <v>21.754999999999999</v>
      </c>
      <c r="D1193" s="23">
        <v>1</v>
      </c>
      <c r="E1193" s="23">
        <v>0</v>
      </c>
      <c r="F1193" s="23">
        <v>1</v>
      </c>
      <c r="G1193" s="23">
        <v>0</v>
      </c>
      <c r="H1193" s="23">
        <v>0</v>
      </c>
      <c r="I1193" s="23">
        <v>0</v>
      </c>
      <c r="J1193" s="23">
        <v>13725.47184</v>
      </c>
      <c r="N1193" s="23"/>
      <c r="O1193" s="23"/>
      <c r="P1193" s="23"/>
      <c r="Q1193" s="23"/>
      <c r="R1193" s="23"/>
      <c r="S1193" s="23"/>
      <c r="T1193" s="23"/>
      <c r="U1193" s="23"/>
    </row>
    <row r="1194" spans="1:21" x14ac:dyDescent="0.2">
      <c r="A1194" s="23">
        <v>58</v>
      </c>
      <c r="B1194" s="23">
        <v>0</v>
      </c>
      <c r="C1194" s="23">
        <v>32.395000000000003</v>
      </c>
      <c r="D1194" s="23">
        <v>1</v>
      </c>
      <c r="E1194" s="23">
        <v>0</v>
      </c>
      <c r="F1194" s="23">
        <v>1</v>
      </c>
      <c r="G1194" s="23">
        <v>0</v>
      </c>
      <c r="H1194" s="23">
        <v>0</v>
      </c>
      <c r="I1194" s="23">
        <v>0</v>
      </c>
      <c r="J1194" s="23">
        <v>13019.161050000001</v>
      </c>
      <c r="N1194" s="23"/>
      <c r="O1194" s="23"/>
      <c r="P1194" s="23"/>
      <c r="Q1194" s="23"/>
      <c r="R1194" s="23"/>
      <c r="S1194" s="23"/>
      <c r="T1194" s="23"/>
      <c r="U1194" s="23"/>
    </row>
    <row r="1195" spans="1:21" x14ac:dyDescent="0.2">
      <c r="A1195" s="23">
        <v>48</v>
      </c>
      <c r="B1195" s="23">
        <v>0</v>
      </c>
      <c r="C1195" s="23">
        <v>36.575000000000003</v>
      </c>
      <c r="D1195" s="23">
        <v>0</v>
      </c>
      <c r="E1195" s="23">
        <v>0</v>
      </c>
      <c r="F1195" s="23">
        <v>0</v>
      </c>
      <c r="G1195" s="23">
        <v>0</v>
      </c>
      <c r="H1195" s="23">
        <v>0</v>
      </c>
      <c r="I1195" s="23">
        <v>1</v>
      </c>
      <c r="J1195" s="23">
        <v>8671.1912499999999</v>
      </c>
      <c r="N1195" s="23"/>
      <c r="O1195" s="23"/>
      <c r="P1195" s="23"/>
      <c r="Q1195" s="23"/>
      <c r="R1195" s="23"/>
      <c r="S1195" s="23"/>
      <c r="T1195" s="23"/>
      <c r="U1195" s="23"/>
    </row>
    <row r="1196" spans="1:21" x14ac:dyDescent="0.2">
      <c r="A1196" s="23">
        <v>31</v>
      </c>
      <c r="B1196" s="23">
        <v>0</v>
      </c>
      <c r="C1196" s="23">
        <v>21.754999999999999</v>
      </c>
      <c r="D1196" s="23">
        <v>0</v>
      </c>
      <c r="E1196" s="23">
        <v>0</v>
      </c>
      <c r="F1196" s="23">
        <v>0</v>
      </c>
      <c r="G1196" s="23">
        <v>0</v>
      </c>
      <c r="H1196" s="23">
        <v>0</v>
      </c>
      <c r="I1196" s="23">
        <v>1</v>
      </c>
      <c r="J1196" s="23">
        <v>4134.0824499999999</v>
      </c>
      <c r="N1196" s="23"/>
      <c r="O1196" s="23"/>
      <c r="P1196" s="23"/>
      <c r="Q1196" s="23"/>
      <c r="R1196" s="23"/>
      <c r="S1196" s="23"/>
      <c r="T1196" s="23"/>
      <c r="U1196" s="23"/>
    </row>
    <row r="1197" spans="1:21" x14ac:dyDescent="0.2">
      <c r="A1197" s="23">
        <v>19</v>
      </c>
      <c r="B1197" s="23">
        <v>0</v>
      </c>
      <c r="C1197" s="23">
        <v>27.93</v>
      </c>
      <c r="D1197" s="23">
        <v>3</v>
      </c>
      <c r="E1197" s="23">
        <v>0</v>
      </c>
      <c r="F1197" s="23">
        <v>0</v>
      </c>
      <c r="G1197" s="23">
        <v>0</v>
      </c>
      <c r="H1197" s="23">
        <v>0</v>
      </c>
      <c r="I1197" s="23">
        <v>1</v>
      </c>
      <c r="J1197" s="23">
        <v>18838.703659999999</v>
      </c>
      <c r="N1197" s="23"/>
      <c r="O1197" s="23"/>
      <c r="P1197" s="23"/>
      <c r="Q1197" s="23"/>
      <c r="R1197" s="23"/>
      <c r="S1197" s="23"/>
      <c r="T1197" s="23"/>
      <c r="U1197" s="23"/>
    </row>
    <row r="1198" spans="1:21" x14ac:dyDescent="0.2">
      <c r="A1198" s="23">
        <v>19</v>
      </c>
      <c r="B1198" s="23">
        <v>0</v>
      </c>
      <c r="C1198" s="23">
        <v>30.02</v>
      </c>
      <c r="D1198" s="23">
        <v>0</v>
      </c>
      <c r="E1198" s="23">
        <v>1</v>
      </c>
      <c r="F1198" s="23">
        <v>0</v>
      </c>
      <c r="G1198" s="23">
        <v>0</v>
      </c>
      <c r="H1198" s="23">
        <v>0</v>
      </c>
      <c r="I1198" s="23">
        <v>1</v>
      </c>
      <c r="J1198" s="23">
        <v>33307.550799999997</v>
      </c>
      <c r="N1198" s="23"/>
      <c r="O1198" s="23"/>
      <c r="P1198" s="23"/>
      <c r="Q1198" s="23"/>
      <c r="R1198" s="23"/>
      <c r="S1198" s="23"/>
      <c r="T1198" s="23"/>
      <c r="U1198" s="23"/>
    </row>
    <row r="1199" spans="1:21" x14ac:dyDescent="0.2">
      <c r="A1199" s="23">
        <v>41</v>
      </c>
      <c r="B1199" s="23">
        <v>1</v>
      </c>
      <c r="C1199" s="23">
        <v>33.549999999999997</v>
      </c>
      <c r="D1199" s="23">
        <v>0</v>
      </c>
      <c r="E1199" s="23">
        <v>0</v>
      </c>
      <c r="F1199" s="23">
        <v>0</v>
      </c>
      <c r="G1199" s="23">
        <v>1</v>
      </c>
      <c r="H1199" s="23">
        <v>0</v>
      </c>
      <c r="I1199" s="23">
        <v>0</v>
      </c>
      <c r="J1199" s="23">
        <v>5699.8374999999996</v>
      </c>
      <c r="N1199" s="23"/>
      <c r="O1199" s="23"/>
      <c r="P1199" s="23"/>
      <c r="Q1199" s="23"/>
      <c r="R1199" s="23"/>
      <c r="S1199" s="23"/>
      <c r="T1199" s="23"/>
      <c r="U1199" s="23"/>
    </row>
    <row r="1200" spans="1:21" x14ac:dyDescent="0.2">
      <c r="A1200" s="23">
        <v>40</v>
      </c>
      <c r="B1200" s="23">
        <v>1</v>
      </c>
      <c r="C1200" s="23">
        <v>29.355</v>
      </c>
      <c r="D1200" s="23">
        <v>1</v>
      </c>
      <c r="E1200" s="23">
        <v>0</v>
      </c>
      <c r="F1200" s="23">
        <v>0</v>
      </c>
      <c r="G1200" s="23">
        <v>0</v>
      </c>
      <c r="H1200" s="23">
        <v>0</v>
      </c>
      <c r="I1200" s="23">
        <v>1</v>
      </c>
      <c r="J1200" s="23">
        <v>6393.6034499999996</v>
      </c>
      <c r="N1200" s="23"/>
      <c r="O1200" s="23"/>
      <c r="P1200" s="23"/>
      <c r="Q1200" s="23"/>
      <c r="R1200" s="23"/>
      <c r="S1200" s="23"/>
      <c r="T1200" s="23"/>
      <c r="U1200" s="23"/>
    </row>
    <row r="1201" spans="1:21" x14ac:dyDescent="0.2">
      <c r="A1201" s="23">
        <v>31</v>
      </c>
      <c r="B1201" s="23">
        <v>0</v>
      </c>
      <c r="C1201" s="23">
        <v>25.8</v>
      </c>
      <c r="D1201" s="23">
        <v>2</v>
      </c>
      <c r="E1201" s="23">
        <v>0</v>
      </c>
      <c r="F1201" s="23">
        <v>0</v>
      </c>
      <c r="G1201" s="23">
        <v>0</v>
      </c>
      <c r="H1201" s="23">
        <v>1</v>
      </c>
      <c r="I1201" s="23">
        <v>0</v>
      </c>
      <c r="J1201" s="23">
        <v>4934.7049999999999</v>
      </c>
      <c r="N1201" s="23"/>
      <c r="O1201" s="23"/>
      <c r="P1201" s="23"/>
      <c r="Q1201" s="23"/>
      <c r="R1201" s="23"/>
      <c r="S1201" s="23"/>
      <c r="T1201" s="23"/>
      <c r="U1201" s="23"/>
    </row>
    <row r="1202" spans="1:21" x14ac:dyDescent="0.2">
      <c r="A1202" s="23">
        <v>37</v>
      </c>
      <c r="B1202" s="23">
        <v>1</v>
      </c>
      <c r="C1202" s="23">
        <v>24.32</v>
      </c>
      <c r="D1202" s="23">
        <v>2</v>
      </c>
      <c r="E1202" s="23">
        <v>0</v>
      </c>
      <c r="F1202" s="23">
        <v>0</v>
      </c>
      <c r="G1202" s="23">
        <v>0</v>
      </c>
      <c r="H1202" s="23">
        <v>0</v>
      </c>
      <c r="I1202" s="23">
        <v>1</v>
      </c>
      <c r="J1202" s="23">
        <v>6198.7518</v>
      </c>
      <c r="N1202" s="23"/>
      <c r="O1202" s="23"/>
      <c r="P1202" s="23"/>
      <c r="Q1202" s="23"/>
      <c r="R1202" s="23"/>
      <c r="S1202" s="23"/>
      <c r="T1202" s="23"/>
      <c r="U1202" s="23"/>
    </row>
    <row r="1203" spans="1:21" x14ac:dyDescent="0.2">
      <c r="A1203" s="23">
        <v>46</v>
      </c>
      <c r="B1203" s="23">
        <v>1</v>
      </c>
      <c r="C1203" s="23">
        <v>40.375</v>
      </c>
      <c r="D1203" s="23">
        <v>2</v>
      </c>
      <c r="E1203" s="23">
        <v>0</v>
      </c>
      <c r="F1203" s="23">
        <v>0</v>
      </c>
      <c r="G1203" s="23">
        <v>0</v>
      </c>
      <c r="H1203" s="23">
        <v>0</v>
      </c>
      <c r="I1203" s="23">
        <v>1</v>
      </c>
      <c r="J1203" s="23">
        <v>8733.2292500000003</v>
      </c>
      <c r="N1203" s="23"/>
      <c r="O1203" s="23"/>
      <c r="P1203" s="23"/>
      <c r="Q1203" s="23"/>
      <c r="R1203" s="23"/>
      <c r="S1203" s="23"/>
      <c r="T1203" s="23"/>
      <c r="U1203" s="23"/>
    </row>
    <row r="1204" spans="1:21" x14ac:dyDescent="0.2">
      <c r="A1204" s="23">
        <v>22</v>
      </c>
      <c r="B1204" s="23">
        <v>1</v>
      </c>
      <c r="C1204" s="23">
        <v>32.11</v>
      </c>
      <c r="D1204" s="23">
        <v>0</v>
      </c>
      <c r="E1204" s="23">
        <v>0</v>
      </c>
      <c r="F1204" s="23">
        <v>0</v>
      </c>
      <c r="G1204" s="23">
        <v>0</v>
      </c>
      <c r="H1204" s="23">
        <v>0</v>
      </c>
      <c r="I1204" s="23">
        <v>1</v>
      </c>
      <c r="J1204" s="23">
        <v>2055.3249000000001</v>
      </c>
      <c r="N1204" s="23"/>
      <c r="O1204" s="23"/>
      <c r="P1204" s="23"/>
      <c r="Q1204" s="23"/>
      <c r="R1204" s="23"/>
      <c r="S1204" s="23"/>
      <c r="T1204" s="23"/>
      <c r="U1204" s="23"/>
    </row>
    <row r="1205" spans="1:21" x14ac:dyDescent="0.2">
      <c r="A1205" s="23">
        <v>51</v>
      </c>
      <c r="B1205" s="23">
        <v>1</v>
      </c>
      <c r="C1205" s="23">
        <v>32.299999999999997</v>
      </c>
      <c r="D1205" s="23">
        <v>1</v>
      </c>
      <c r="E1205" s="23">
        <v>0</v>
      </c>
      <c r="F1205" s="23">
        <v>1</v>
      </c>
      <c r="G1205" s="23">
        <v>0</v>
      </c>
      <c r="H1205" s="23">
        <v>0</v>
      </c>
      <c r="I1205" s="23">
        <v>0</v>
      </c>
      <c r="J1205" s="23">
        <v>9964.06</v>
      </c>
      <c r="N1205" s="23"/>
      <c r="O1205" s="23"/>
      <c r="P1205" s="23"/>
      <c r="Q1205" s="23"/>
      <c r="R1205" s="23"/>
      <c r="S1205" s="23"/>
      <c r="T1205" s="23"/>
      <c r="U1205" s="23"/>
    </row>
    <row r="1206" spans="1:21" x14ac:dyDescent="0.2">
      <c r="A1206" s="23">
        <v>18</v>
      </c>
      <c r="B1206" s="23">
        <v>0</v>
      </c>
      <c r="C1206" s="23">
        <v>27.28</v>
      </c>
      <c r="D1206" s="23">
        <v>3</v>
      </c>
      <c r="E1206" s="23">
        <v>1</v>
      </c>
      <c r="F1206" s="23">
        <v>0</v>
      </c>
      <c r="G1206" s="23">
        <v>1</v>
      </c>
      <c r="H1206" s="23">
        <v>0</v>
      </c>
      <c r="I1206" s="23">
        <v>0</v>
      </c>
      <c r="J1206" s="23">
        <v>18223.4512</v>
      </c>
      <c r="N1206" s="23"/>
      <c r="O1206" s="23"/>
      <c r="P1206" s="23"/>
      <c r="Q1206" s="23"/>
      <c r="R1206" s="23"/>
      <c r="S1206" s="23"/>
      <c r="T1206" s="23"/>
      <c r="U1206" s="23"/>
    </row>
    <row r="1207" spans="1:21" x14ac:dyDescent="0.2">
      <c r="A1207" s="23">
        <v>35</v>
      </c>
      <c r="B1207" s="23">
        <v>1</v>
      </c>
      <c r="C1207" s="23">
        <v>17.86</v>
      </c>
      <c r="D1207" s="23">
        <v>1</v>
      </c>
      <c r="E1207" s="23">
        <v>0</v>
      </c>
      <c r="F1207" s="23">
        <v>0</v>
      </c>
      <c r="G1207" s="23">
        <v>0</v>
      </c>
      <c r="H1207" s="23">
        <v>0</v>
      </c>
      <c r="I1207" s="23">
        <v>1</v>
      </c>
      <c r="J1207" s="23">
        <v>5116.5003999999999</v>
      </c>
      <c r="N1207" s="23"/>
      <c r="O1207" s="23"/>
      <c r="P1207" s="23"/>
      <c r="Q1207" s="23"/>
      <c r="R1207" s="23"/>
      <c r="S1207" s="23"/>
      <c r="T1207" s="23"/>
      <c r="U1207" s="23"/>
    </row>
    <row r="1208" spans="1:21" x14ac:dyDescent="0.2">
      <c r="A1208" s="23">
        <v>59</v>
      </c>
      <c r="B1208" s="23">
        <v>0</v>
      </c>
      <c r="C1208" s="23">
        <v>34.799999999999997</v>
      </c>
      <c r="D1208" s="23">
        <v>2</v>
      </c>
      <c r="E1208" s="23">
        <v>0</v>
      </c>
      <c r="F1208" s="23">
        <v>0</v>
      </c>
      <c r="G1208" s="23">
        <v>0</v>
      </c>
      <c r="H1208" s="23">
        <v>1</v>
      </c>
      <c r="I1208" s="23">
        <v>0</v>
      </c>
      <c r="J1208" s="23">
        <v>36910.608030000003</v>
      </c>
      <c r="N1208" s="23"/>
      <c r="O1208" s="23"/>
      <c r="P1208" s="23"/>
      <c r="Q1208" s="23"/>
      <c r="R1208" s="23"/>
      <c r="S1208" s="23"/>
      <c r="T1208" s="23"/>
      <c r="U1208" s="23"/>
    </row>
    <row r="1209" spans="1:21" x14ac:dyDescent="0.2">
      <c r="A1209" s="23">
        <v>36</v>
      </c>
      <c r="B1209" s="23">
        <v>1</v>
      </c>
      <c r="C1209" s="23">
        <v>33.4</v>
      </c>
      <c r="D1209" s="23">
        <v>2</v>
      </c>
      <c r="E1209" s="23">
        <v>1</v>
      </c>
      <c r="F1209" s="23">
        <v>0</v>
      </c>
      <c r="G1209" s="23">
        <v>0</v>
      </c>
      <c r="H1209" s="23">
        <v>1</v>
      </c>
      <c r="I1209" s="23">
        <v>0</v>
      </c>
      <c r="J1209" s="23">
        <v>38415.474000000002</v>
      </c>
      <c r="N1209" s="23"/>
      <c r="O1209" s="23"/>
      <c r="P1209" s="23"/>
      <c r="Q1209" s="23"/>
      <c r="R1209" s="23"/>
      <c r="S1209" s="23"/>
      <c r="T1209" s="23"/>
      <c r="U1209" s="23"/>
    </row>
    <row r="1210" spans="1:21" x14ac:dyDescent="0.2">
      <c r="A1210" s="23">
        <v>37</v>
      </c>
      <c r="B1210" s="23">
        <v>0</v>
      </c>
      <c r="C1210" s="23">
        <v>25.555</v>
      </c>
      <c r="D1210" s="23">
        <v>1</v>
      </c>
      <c r="E1210" s="23">
        <v>1</v>
      </c>
      <c r="F1210" s="23">
        <v>1</v>
      </c>
      <c r="G1210" s="23">
        <v>0</v>
      </c>
      <c r="H1210" s="23">
        <v>0</v>
      </c>
      <c r="I1210" s="23">
        <v>0</v>
      </c>
      <c r="J1210" s="23">
        <v>20296.863450000001</v>
      </c>
      <c r="N1210" s="23"/>
      <c r="O1210" s="23"/>
      <c r="P1210" s="23"/>
      <c r="Q1210" s="23"/>
      <c r="R1210" s="23"/>
      <c r="S1210" s="23"/>
      <c r="T1210" s="23"/>
      <c r="U1210" s="23"/>
    </row>
    <row r="1211" spans="1:21" x14ac:dyDescent="0.2">
      <c r="A1211" s="23">
        <v>59</v>
      </c>
      <c r="B1211" s="23">
        <v>1</v>
      </c>
      <c r="C1211" s="23">
        <v>37.1</v>
      </c>
      <c r="D1211" s="23">
        <v>1</v>
      </c>
      <c r="E1211" s="23">
        <v>0</v>
      </c>
      <c r="F1211" s="23">
        <v>0</v>
      </c>
      <c r="G1211" s="23">
        <v>0</v>
      </c>
      <c r="H1211" s="23">
        <v>1</v>
      </c>
      <c r="I1211" s="23">
        <v>0</v>
      </c>
      <c r="J1211" s="23">
        <v>12347.172</v>
      </c>
      <c r="N1211" s="23"/>
      <c r="O1211" s="23"/>
      <c r="P1211" s="23"/>
      <c r="Q1211" s="23"/>
      <c r="R1211" s="23"/>
      <c r="S1211" s="23"/>
      <c r="T1211" s="23"/>
      <c r="U1211" s="23"/>
    </row>
    <row r="1212" spans="1:21" x14ac:dyDescent="0.2">
      <c r="A1212" s="23">
        <v>36</v>
      </c>
      <c r="B1212" s="23">
        <v>1</v>
      </c>
      <c r="C1212" s="23">
        <v>30.875</v>
      </c>
      <c r="D1212" s="23">
        <v>1</v>
      </c>
      <c r="E1212" s="23">
        <v>0</v>
      </c>
      <c r="F1212" s="23">
        <v>0</v>
      </c>
      <c r="G1212" s="23">
        <v>0</v>
      </c>
      <c r="H1212" s="23">
        <v>0</v>
      </c>
      <c r="I1212" s="23">
        <v>1</v>
      </c>
      <c r="J1212" s="23">
        <v>5373.3642499999996</v>
      </c>
      <c r="N1212" s="23"/>
      <c r="O1212" s="23"/>
      <c r="P1212" s="23"/>
      <c r="Q1212" s="23"/>
      <c r="R1212" s="23"/>
      <c r="S1212" s="23"/>
      <c r="T1212" s="23"/>
      <c r="U1212" s="23"/>
    </row>
    <row r="1213" spans="1:21" x14ac:dyDescent="0.2">
      <c r="A1213" s="23">
        <v>39</v>
      </c>
      <c r="B1213" s="23">
        <v>1</v>
      </c>
      <c r="C1213" s="23">
        <v>34.1</v>
      </c>
      <c r="D1213" s="23">
        <v>2</v>
      </c>
      <c r="E1213" s="23">
        <v>0</v>
      </c>
      <c r="F1213" s="23">
        <v>0</v>
      </c>
      <c r="G1213" s="23">
        <v>1</v>
      </c>
      <c r="H1213" s="23">
        <v>0</v>
      </c>
      <c r="I1213" s="23">
        <v>0</v>
      </c>
      <c r="J1213" s="23">
        <v>23563.016179999999</v>
      </c>
      <c r="N1213" s="23"/>
      <c r="O1213" s="23"/>
      <c r="P1213" s="23"/>
      <c r="Q1213" s="23"/>
      <c r="R1213" s="23"/>
      <c r="S1213" s="23"/>
      <c r="T1213" s="23"/>
      <c r="U1213" s="23"/>
    </row>
    <row r="1214" spans="1:21" x14ac:dyDescent="0.2">
      <c r="A1214" s="23">
        <v>18</v>
      </c>
      <c r="B1214" s="23">
        <v>1</v>
      </c>
      <c r="C1214" s="23">
        <v>21.47</v>
      </c>
      <c r="D1214" s="23">
        <v>0</v>
      </c>
      <c r="E1214" s="23">
        <v>0</v>
      </c>
      <c r="F1214" s="23">
        <v>1</v>
      </c>
      <c r="G1214" s="23">
        <v>0</v>
      </c>
      <c r="H1214" s="23">
        <v>0</v>
      </c>
      <c r="I1214" s="23">
        <v>0</v>
      </c>
      <c r="J1214" s="23">
        <v>1702.4553000000001</v>
      </c>
      <c r="N1214" s="23"/>
      <c r="O1214" s="23"/>
      <c r="P1214" s="23"/>
      <c r="Q1214" s="23"/>
      <c r="R1214" s="23"/>
      <c r="S1214" s="23"/>
      <c r="T1214" s="23"/>
      <c r="U1214" s="23"/>
    </row>
    <row r="1215" spans="1:21" x14ac:dyDescent="0.2">
      <c r="A1215" s="23">
        <v>52</v>
      </c>
      <c r="B1215" s="23">
        <v>0</v>
      </c>
      <c r="C1215" s="23">
        <v>33.299999999999997</v>
      </c>
      <c r="D1215" s="23">
        <v>2</v>
      </c>
      <c r="E1215" s="23">
        <v>0</v>
      </c>
      <c r="F1215" s="23">
        <v>0</v>
      </c>
      <c r="G1215" s="23">
        <v>0</v>
      </c>
      <c r="H1215" s="23">
        <v>1</v>
      </c>
      <c r="I1215" s="23">
        <v>0</v>
      </c>
      <c r="J1215" s="23">
        <v>10806.839</v>
      </c>
      <c r="N1215" s="23"/>
      <c r="O1215" s="23"/>
      <c r="P1215" s="23"/>
      <c r="Q1215" s="23"/>
      <c r="R1215" s="23"/>
      <c r="S1215" s="23"/>
      <c r="T1215" s="23"/>
      <c r="U1215" s="23"/>
    </row>
    <row r="1216" spans="1:21" x14ac:dyDescent="0.2">
      <c r="A1216" s="23">
        <v>27</v>
      </c>
      <c r="B1216" s="23">
        <v>0</v>
      </c>
      <c r="C1216" s="23">
        <v>31.254999999999999</v>
      </c>
      <c r="D1216" s="23">
        <v>1</v>
      </c>
      <c r="E1216" s="23">
        <v>0</v>
      </c>
      <c r="F1216" s="23">
        <v>0</v>
      </c>
      <c r="G1216" s="23">
        <v>0</v>
      </c>
      <c r="H1216" s="23">
        <v>0</v>
      </c>
      <c r="I1216" s="23">
        <v>1</v>
      </c>
      <c r="J1216" s="23">
        <v>3956.0714499999999</v>
      </c>
      <c r="N1216" s="23"/>
      <c r="O1216" s="23"/>
      <c r="P1216" s="23"/>
      <c r="Q1216" s="23"/>
      <c r="R1216" s="23"/>
      <c r="S1216" s="23"/>
      <c r="T1216" s="23"/>
      <c r="U1216" s="23"/>
    </row>
    <row r="1217" spans="1:21" x14ac:dyDescent="0.2">
      <c r="A1217" s="23">
        <v>18</v>
      </c>
      <c r="B1217" s="23">
        <v>1</v>
      </c>
      <c r="C1217" s="23">
        <v>39.14</v>
      </c>
      <c r="D1217" s="23">
        <v>0</v>
      </c>
      <c r="E1217" s="23">
        <v>0</v>
      </c>
      <c r="F1217" s="23">
        <v>1</v>
      </c>
      <c r="G1217" s="23">
        <v>0</v>
      </c>
      <c r="H1217" s="23">
        <v>0</v>
      </c>
      <c r="I1217" s="23">
        <v>0</v>
      </c>
      <c r="J1217" s="23">
        <v>12890.057650000001</v>
      </c>
      <c r="N1217" s="23"/>
      <c r="O1217" s="23"/>
      <c r="P1217" s="23"/>
      <c r="Q1217" s="23"/>
      <c r="R1217" s="23"/>
      <c r="S1217" s="23"/>
      <c r="T1217" s="23"/>
      <c r="U1217" s="23"/>
    </row>
    <row r="1218" spans="1:21" x14ac:dyDescent="0.2">
      <c r="A1218" s="23">
        <v>40</v>
      </c>
      <c r="B1218" s="23">
        <v>1</v>
      </c>
      <c r="C1218" s="23">
        <v>25.08</v>
      </c>
      <c r="D1218" s="23">
        <v>0</v>
      </c>
      <c r="E1218" s="23">
        <v>0</v>
      </c>
      <c r="F1218" s="23">
        <v>0</v>
      </c>
      <c r="G1218" s="23">
        <v>1</v>
      </c>
      <c r="H1218" s="23">
        <v>0</v>
      </c>
      <c r="I1218" s="23">
        <v>0</v>
      </c>
      <c r="J1218" s="23">
        <v>5415.6611999999996</v>
      </c>
      <c r="N1218" s="23"/>
      <c r="O1218" s="23"/>
      <c r="P1218" s="23"/>
      <c r="Q1218" s="23"/>
      <c r="R1218" s="23"/>
      <c r="S1218" s="23"/>
      <c r="T1218" s="23"/>
      <c r="U1218" s="23"/>
    </row>
    <row r="1219" spans="1:21" x14ac:dyDescent="0.2">
      <c r="A1219" s="23">
        <v>29</v>
      </c>
      <c r="B1219" s="23">
        <v>1</v>
      </c>
      <c r="C1219" s="23">
        <v>37.29</v>
      </c>
      <c r="D1219" s="23">
        <v>2</v>
      </c>
      <c r="E1219" s="23">
        <v>0</v>
      </c>
      <c r="F1219" s="23">
        <v>0</v>
      </c>
      <c r="G1219" s="23">
        <v>1</v>
      </c>
      <c r="H1219" s="23">
        <v>0</v>
      </c>
      <c r="I1219" s="23">
        <v>0</v>
      </c>
      <c r="J1219" s="23">
        <v>4058.1161000000002</v>
      </c>
      <c r="N1219" s="23"/>
      <c r="O1219" s="23"/>
      <c r="P1219" s="23"/>
      <c r="Q1219" s="23"/>
      <c r="R1219" s="23"/>
      <c r="S1219" s="23"/>
      <c r="T1219" s="23"/>
      <c r="U1219" s="23"/>
    </row>
    <row r="1220" spans="1:21" x14ac:dyDescent="0.2">
      <c r="A1220" s="23">
        <v>46</v>
      </c>
      <c r="B1220" s="23">
        <v>0</v>
      </c>
      <c r="C1220" s="23">
        <v>34.6</v>
      </c>
      <c r="D1220" s="23">
        <v>1</v>
      </c>
      <c r="E1220" s="23">
        <v>1</v>
      </c>
      <c r="F1220" s="23">
        <v>0</v>
      </c>
      <c r="G1220" s="23">
        <v>0</v>
      </c>
      <c r="H1220" s="23">
        <v>1</v>
      </c>
      <c r="I1220" s="23">
        <v>0</v>
      </c>
      <c r="J1220" s="23">
        <v>41661.601999999999</v>
      </c>
      <c r="N1220" s="23"/>
      <c r="O1220" s="23"/>
      <c r="P1220" s="23"/>
      <c r="Q1220" s="23"/>
      <c r="R1220" s="23"/>
      <c r="S1220" s="23"/>
      <c r="T1220" s="23"/>
      <c r="U1220" s="23"/>
    </row>
    <row r="1221" spans="1:21" x14ac:dyDescent="0.2">
      <c r="A1221" s="23">
        <v>38</v>
      </c>
      <c r="B1221" s="23">
        <v>0</v>
      </c>
      <c r="C1221" s="23">
        <v>30.21</v>
      </c>
      <c r="D1221" s="23">
        <v>3</v>
      </c>
      <c r="E1221" s="23">
        <v>0</v>
      </c>
      <c r="F1221" s="23">
        <v>0</v>
      </c>
      <c r="G1221" s="23">
        <v>0</v>
      </c>
      <c r="H1221" s="23">
        <v>0</v>
      </c>
      <c r="I1221" s="23">
        <v>1</v>
      </c>
      <c r="J1221" s="23">
        <v>7537.1638999999996</v>
      </c>
      <c r="N1221" s="23"/>
      <c r="O1221" s="23"/>
      <c r="P1221" s="23"/>
      <c r="Q1221" s="23"/>
      <c r="R1221" s="23"/>
      <c r="S1221" s="23"/>
      <c r="T1221" s="23"/>
      <c r="U1221" s="23"/>
    </row>
    <row r="1222" spans="1:21" x14ac:dyDescent="0.2">
      <c r="A1222" s="23">
        <v>30</v>
      </c>
      <c r="B1222" s="23">
        <v>0</v>
      </c>
      <c r="C1222" s="23">
        <v>21.945</v>
      </c>
      <c r="D1222" s="23">
        <v>1</v>
      </c>
      <c r="E1222" s="23">
        <v>0</v>
      </c>
      <c r="F1222" s="23">
        <v>1</v>
      </c>
      <c r="G1222" s="23">
        <v>0</v>
      </c>
      <c r="H1222" s="23">
        <v>0</v>
      </c>
      <c r="I1222" s="23">
        <v>0</v>
      </c>
      <c r="J1222" s="23">
        <v>4718.2035500000002</v>
      </c>
      <c r="N1222" s="23"/>
      <c r="O1222" s="23"/>
      <c r="P1222" s="23"/>
      <c r="Q1222" s="23"/>
      <c r="R1222" s="23"/>
      <c r="S1222" s="23"/>
      <c r="T1222" s="23"/>
      <c r="U1222" s="23"/>
    </row>
    <row r="1223" spans="1:21" x14ac:dyDescent="0.2">
      <c r="A1223" s="23">
        <v>40</v>
      </c>
      <c r="B1223" s="23">
        <v>1</v>
      </c>
      <c r="C1223" s="23">
        <v>24.97</v>
      </c>
      <c r="D1223" s="23">
        <v>2</v>
      </c>
      <c r="E1223" s="23">
        <v>0</v>
      </c>
      <c r="F1223" s="23">
        <v>0</v>
      </c>
      <c r="G1223" s="23">
        <v>1</v>
      </c>
      <c r="H1223" s="23">
        <v>0</v>
      </c>
      <c r="I1223" s="23">
        <v>0</v>
      </c>
      <c r="J1223" s="23">
        <v>6593.5083000000004</v>
      </c>
      <c r="N1223" s="23"/>
      <c r="O1223" s="23"/>
      <c r="P1223" s="23"/>
      <c r="Q1223" s="23"/>
      <c r="R1223" s="23"/>
      <c r="S1223" s="23"/>
      <c r="T1223" s="23"/>
      <c r="U1223" s="23"/>
    </row>
    <row r="1224" spans="1:21" x14ac:dyDescent="0.2">
      <c r="A1224" s="23">
        <v>50</v>
      </c>
      <c r="B1224" s="23">
        <v>1</v>
      </c>
      <c r="C1224" s="23">
        <v>25.3</v>
      </c>
      <c r="D1224" s="23">
        <v>0</v>
      </c>
      <c r="E1224" s="23">
        <v>0</v>
      </c>
      <c r="F1224" s="23">
        <v>0</v>
      </c>
      <c r="G1224" s="23">
        <v>1</v>
      </c>
      <c r="H1224" s="23">
        <v>0</v>
      </c>
      <c r="I1224" s="23">
        <v>0</v>
      </c>
      <c r="J1224" s="23">
        <v>8442.6669999999995</v>
      </c>
      <c r="N1224" s="23"/>
      <c r="O1224" s="23"/>
      <c r="P1224" s="23"/>
      <c r="Q1224" s="23"/>
      <c r="R1224" s="23"/>
      <c r="S1224" s="23"/>
      <c r="T1224" s="23"/>
      <c r="U1224" s="23"/>
    </row>
    <row r="1225" spans="1:21" x14ac:dyDescent="0.2">
      <c r="A1225" s="23">
        <v>20</v>
      </c>
      <c r="B1225" s="23">
        <v>0</v>
      </c>
      <c r="C1225" s="23">
        <v>24.42</v>
      </c>
      <c r="D1225" s="23">
        <v>0</v>
      </c>
      <c r="E1225" s="23">
        <v>1</v>
      </c>
      <c r="F1225" s="23">
        <v>0</v>
      </c>
      <c r="G1225" s="23">
        <v>1</v>
      </c>
      <c r="H1225" s="23">
        <v>0</v>
      </c>
      <c r="I1225" s="23">
        <v>0</v>
      </c>
      <c r="J1225" s="23">
        <v>26125.674770000001</v>
      </c>
      <c r="N1225" s="23"/>
      <c r="O1225" s="23"/>
      <c r="P1225" s="23"/>
      <c r="Q1225" s="23"/>
      <c r="R1225" s="23"/>
      <c r="S1225" s="23"/>
      <c r="T1225" s="23"/>
      <c r="U1225" s="23"/>
    </row>
    <row r="1226" spans="1:21" x14ac:dyDescent="0.2">
      <c r="A1226" s="23">
        <v>41</v>
      </c>
      <c r="B1226" s="23">
        <v>1</v>
      </c>
      <c r="C1226" s="23">
        <v>23.94</v>
      </c>
      <c r="D1226" s="23">
        <v>1</v>
      </c>
      <c r="E1226" s="23">
        <v>0</v>
      </c>
      <c r="F1226" s="23">
        <v>1</v>
      </c>
      <c r="G1226" s="23">
        <v>0</v>
      </c>
      <c r="H1226" s="23">
        <v>0</v>
      </c>
      <c r="I1226" s="23">
        <v>0</v>
      </c>
      <c r="J1226" s="23">
        <v>6858.4795999999997</v>
      </c>
      <c r="N1226" s="23"/>
      <c r="O1226" s="23"/>
      <c r="P1226" s="23"/>
      <c r="Q1226" s="23"/>
      <c r="R1226" s="23"/>
      <c r="S1226" s="23"/>
      <c r="T1226" s="23"/>
      <c r="U1226" s="23"/>
    </row>
    <row r="1227" spans="1:21" x14ac:dyDescent="0.2">
      <c r="A1227" s="23">
        <v>33</v>
      </c>
      <c r="B1227" s="23">
        <v>0</v>
      </c>
      <c r="C1227" s="23">
        <v>39.82</v>
      </c>
      <c r="D1227" s="23">
        <v>1</v>
      </c>
      <c r="E1227" s="23">
        <v>0</v>
      </c>
      <c r="F1227" s="23">
        <v>0</v>
      </c>
      <c r="G1227" s="23">
        <v>1</v>
      </c>
      <c r="H1227" s="23">
        <v>0</v>
      </c>
      <c r="I1227" s="23">
        <v>0</v>
      </c>
      <c r="J1227" s="23">
        <v>4795.6567999999997</v>
      </c>
      <c r="N1227" s="23"/>
      <c r="O1227" s="23"/>
      <c r="P1227" s="23"/>
      <c r="Q1227" s="23"/>
      <c r="R1227" s="23"/>
      <c r="S1227" s="23"/>
      <c r="T1227" s="23"/>
      <c r="U1227" s="23"/>
    </row>
    <row r="1228" spans="1:21" x14ac:dyDescent="0.2">
      <c r="A1228" s="23">
        <v>38</v>
      </c>
      <c r="B1228" s="23">
        <v>1</v>
      </c>
      <c r="C1228" s="23">
        <v>16.815000000000001</v>
      </c>
      <c r="D1228" s="23">
        <v>2</v>
      </c>
      <c r="E1228" s="23">
        <v>0</v>
      </c>
      <c r="F1228" s="23">
        <v>1</v>
      </c>
      <c r="G1228" s="23">
        <v>0</v>
      </c>
      <c r="H1228" s="23">
        <v>0</v>
      </c>
      <c r="I1228" s="23">
        <v>0</v>
      </c>
      <c r="J1228" s="23">
        <v>6640.5448500000002</v>
      </c>
      <c r="N1228" s="23"/>
      <c r="O1228" s="23"/>
      <c r="P1228" s="23"/>
      <c r="Q1228" s="23"/>
      <c r="R1228" s="23"/>
      <c r="S1228" s="23"/>
      <c r="T1228" s="23"/>
      <c r="U1228" s="23"/>
    </row>
    <row r="1229" spans="1:21" x14ac:dyDescent="0.2">
      <c r="A1229" s="23">
        <v>42</v>
      </c>
      <c r="B1229" s="23">
        <v>1</v>
      </c>
      <c r="C1229" s="23">
        <v>37.18</v>
      </c>
      <c r="D1229" s="23">
        <v>2</v>
      </c>
      <c r="E1229" s="23">
        <v>0</v>
      </c>
      <c r="F1229" s="23">
        <v>0</v>
      </c>
      <c r="G1229" s="23">
        <v>1</v>
      </c>
      <c r="H1229" s="23">
        <v>0</v>
      </c>
      <c r="I1229" s="23">
        <v>0</v>
      </c>
      <c r="J1229" s="23">
        <v>7162.0122000000001</v>
      </c>
      <c r="N1229" s="23"/>
      <c r="O1229" s="23"/>
      <c r="P1229" s="23"/>
      <c r="Q1229" s="23"/>
      <c r="R1229" s="23"/>
      <c r="S1229" s="23"/>
      <c r="T1229" s="23"/>
      <c r="U1229" s="23"/>
    </row>
    <row r="1230" spans="1:21" x14ac:dyDescent="0.2">
      <c r="A1230" s="23">
        <v>56</v>
      </c>
      <c r="B1230" s="23">
        <v>1</v>
      </c>
      <c r="C1230" s="23">
        <v>34.43</v>
      </c>
      <c r="D1230" s="23">
        <v>0</v>
      </c>
      <c r="E1230" s="23">
        <v>0</v>
      </c>
      <c r="F1230" s="23">
        <v>0</v>
      </c>
      <c r="G1230" s="23">
        <v>1</v>
      </c>
      <c r="H1230" s="23">
        <v>0</v>
      </c>
      <c r="I1230" s="23">
        <v>0</v>
      </c>
      <c r="J1230" s="23">
        <v>10594.225700000001</v>
      </c>
      <c r="N1230" s="23"/>
      <c r="O1230" s="23"/>
      <c r="P1230" s="23"/>
      <c r="Q1230" s="23"/>
      <c r="R1230" s="23"/>
      <c r="S1230" s="23"/>
      <c r="T1230" s="23"/>
      <c r="U1230" s="23"/>
    </row>
    <row r="1231" spans="1:21" x14ac:dyDescent="0.2">
      <c r="A1231" s="23">
        <v>58</v>
      </c>
      <c r="B1231" s="23">
        <v>1</v>
      </c>
      <c r="C1231" s="23">
        <v>30.305</v>
      </c>
      <c r="D1231" s="23">
        <v>0</v>
      </c>
      <c r="E1231" s="23">
        <v>0</v>
      </c>
      <c r="F1231" s="23">
        <v>1</v>
      </c>
      <c r="G1231" s="23">
        <v>0</v>
      </c>
      <c r="H1231" s="23">
        <v>0</v>
      </c>
      <c r="I1231" s="23">
        <v>0</v>
      </c>
      <c r="J1231" s="23">
        <v>11938.255950000001</v>
      </c>
      <c r="N1231" s="23"/>
      <c r="O1231" s="23"/>
      <c r="P1231" s="23"/>
      <c r="Q1231" s="23"/>
      <c r="R1231" s="23"/>
      <c r="S1231" s="23"/>
      <c r="T1231" s="23"/>
      <c r="U1231" s="23"/>
    </row>
    <row r="1232" spans="1:21" x14ac:dyDescent="0.2">
      <c r="A1232" s="23">
        <v>52</v>
      </c>
      <c r="B1232" s="23">
        <v>1</v>
      </c>
      <c r="C1232" s="23">
        <v>34.484999999999999</v>
      </c>
      <c r="D1232" s="23">
        <v>3</v>
      </c>
      <c r="E1232" s="23">
        <v>1</v>
      </c>
      <c r="F1232" s="23">
        <v>0</v>
      </c>
      <c r="G1232" s="23">
        <v>0</v>
      </c>
      <c r="H1232" s="23">
        <v>0</v>
      </c>
      <c r="I1232" s="23">
        <v>1</v>
      </c>
      <c r="J1232" s="23">
        <v>60021.398970000002</v>
      </c>
      <c r="N1232" s="23"/>
      <c r="O1232" s="23"/>
      <c r="P1232" s="23"/>
      <c r="Q1232" s="23"/>
      <c r="R1232" s="23"/>
      <c r="S1232" s="23"/>
      <c r="T1232" s="23"/>
      <c r="U1232" s="23"/>
    </row>
    <row r="1233" spans="1:21" x14ac:dyDescent="0.2">
      <c r="A1233" s="23">
        <v>20</v>
      </c>
      <c r="B1233" s="23">
        <v>0</v>
      </c>
      <c r="C1233" s="23">
        <v>21.8</v>
      </c>
      <c r="D1233" s="23">
        <v>0</v>
      </c>
      <c r="E1233" s="23">
        <v>1</v>
      </c>
      <c r="F1233" s="23">
        <v>0</v>
      </c>
      <c r="G1233" s="23">
        <v>0</v>
      </c>
      <c r="H1233" s="23">
        <v>1</v>
      </c>
      <c r="I1233" s="23">
        <v>0</v>
      </c>
      <c r="J1233" s="23">
        <v>20167.336029999999</v>
      </c>
      <c r="N1233" s="23"/>
      <c r="O1233" s="23"/>
      <c r="P1233" s="23"/>
      <c r="Q1233" s="23"/>
      <c r="R1233" s="23"/>
      <c r="S1233" s="23"/>
      <c r="T1233" s="23"/>
      <c r="U1233" s="23"/>
    </row>
    <row r="1234" spans="1:21" x14ac:dyDescent="0.2">
      <c r="A1234" s="23">
        <v>54</v>
      </c>
      <c r="B1234" s="23">
        <v>0</v>
      </c>
      <c r="C1234" s="23">
        <v>24.605</v>
      </c>
      <c r="D1234" s="23">
        <v>3</v>
      </c>
      <c r="E1234" s="23">
        <v>0</v>
      </c>
      <c r="F1234" s="23">
        <v>0</v>
      </c>
      <c r="G1234" s="23">
        <v>0</v>
      </c>
      <c r="H1234" s="23">
        <v>0</v>
      </c>
      <c r="I1234" s="23">
        <v>1</v>
      </c>
      <c r="J1234" s="23">
        <v>12479.70895</v>
      </c>
      <c r="N1234" s="23"/>
      <c r="O1234" s="23"/>
      <c r="P1234" s="23"/>
      <c r="Q1234" s="23"/>
      <c r="R1234" s="23"/>
      <c r="S1234" s="23"/>
      <c r="T1234" s="23"/>
      <c r="U1234" s="23"/>
    </row>
    <row r="1235" spans="1:21" x14ac:dyDescent="0.2">
      <c r="A1235" s="23">
        <v>58</v>
      </c>
      <c r="B1235" s="23">
        <v>1</v>
      </c>
      <c r="C1235" s="23">
        <v>23.3</v>
      </c>
      <c r="D1235" s="23">
        <v>0</v>
      </c>
      <c r="E1235" s="23">
        <v>0</v>
      </c>
      <c r="F1235" s="23">
        <v>0</v>
      </c>
      <c r="G1235" s="23">
        <v>0</v>
      </c>
      <c r="H1235" s="23">
        <v>1</v>
      </c>
      <c r="I1235" s="23">
        <v>0</v>
      </c>
      <c r="J1235" s="23">
        <v>11345.519</v>
      </c>
      <c r="N1235" s="23"/>
      <c r="O1235" s="23"/>
      <c r="P1235" s="23"/>
      <c r="Q1235" s="23"/>
      <c r="R1235" s="23"/>
      <c r="S1235" s="23"/>
      <c r="T1235" s="23"/>
      <c r="U1235" s="23"/>
    </row>
    <row r="1236" spans="1:21" x14ac:dyDescent="0.2">
      <c r="A1236" s="23">
        <v>45</v>
      </c>
      <c r="B1236" s="23">
        <v>0</v>
      </c>
      <c r="C1236" s="23">
        <v>27.83</v>
      </c>
      <c r="D1236" s="23">
        <v>2</v>
      </c>
      <c r="E1236" s="23">
        <v>0</v>
      </c>
      <c r="F1236" s="23">
        <v>0</v>
      </c>
      <c r="G1236" s="23">
        <v>1</v>
      </c>
      <c r="H1236" s="23">
        <v>0</v>
      </c>
      <c r="I1236" s="23">
        <v>0</v>
      </c>
      <c r="J1236" s="23">
        <v>8515.7587000000003</v>
      </c>
      <c r="N1236" s="23"/>
      <c r="O1236" s="23"/>
      <c r="P1236" s="23"/>
      <c r="Q1236" s="23"/>
      <c r="R1236" s="23"/>
      <c r="S1236" s="23"/>
      <c r="T1236" s="23"/>
      <c r="U1236" s="23"/>
    </row>
    <row r="1237" spans="1:21" x14ac:dyDescent="0.2">
      <c r="A1237" s="23">
        <v>26</v>
      </c>
      <c r="B1237" s="23">
        <v>1</v>
      </c>
      <c r="C1237" s="23">
        <v>31.065000000000001</v>
      </c>
      <c r="D1237" s="23">
        <v>0</v>
      </c>
      <c r="E1237" s="23">
        <v>0</v>
      </c>
      <c r="F1237" s="23">
        <v>0</v>
      </c>
      <c r="G1237" s="23">
        <v>0</v>
      </c>
      <c r="H1237" s="23">
        <v>0</v>
      </c>
      <c r="I1237" s="23">
        <v>1</v>
      </c>
      <c r="J1237" s="23">
        <v>2699.56835</v>
      </c>
      <c r="N1237" s="23"/>
      <c r="O1237" s="23"/>
      <c r="P1237" s="23"/>
      <c r="Q1237" s="23"/>
      <c r="R1237" s="23"/>
      <c r="S1237" s="23"/>
      <c r="T1237" s="23"/>
      <c r="U1237" s="23"/>
    </row>
    <row r="1238" spans="1:21" x14ac:dyDescent="0.2">
      <c r="A1238" s="23">
        <v>63</v>
      </c>
      <c r="B1238" s="23">
        <v>0</v>
      </c>
      <c r="C1238" s="23">
        <v>21.66</v>
      </c>
      <c r="D1238" s="23">
        <v>0</v>
      </c>
      <c r="E1238" s="23">
        <v>0</v>
      </c>
      <c r="F1238" s="23">
        <v>1</v>
      </c>
      <c r="G1238" s="23">
        <v>0</v>
      </c>
      <c r="H1238" s="23">
        <v>0</v>
      </c>
      <c r="I1238" s="23">
        <v>0</v>
      </c>
      <c r="J1238" s="23">
        <v>14449.8544</v>
      </c>
      <c r="N1238" s="23"/>
      <c r="O1238" s="23"/>
      <c r="P1238" s="23"/>
      <c r="Q1238" s="23"/>
      <c r="R1238" s="23"/>
      <c r="S1238" s="23"/>
      <c r="T1238" s="23"/>
      <c r="U1238" s="23"/>
    </row>
    <row r="1239" spans="1:21" x14ac:dyDescent="0.2">
      <c r="A1239" s="23">
        <v>58</v>
      </c>
      <c r="B1239" s="23">
        <v>0</v>
      </c>
      <c r="C1239" s="23">
        <v>28.215</v>
      </c>
      <c r="D1239" s="23">
        <v>0</v>
      </c>
      <c r="E1239" s="23">
        <v>0</v>
      </c>
      <c r="F1239" s="23">
        <v>0</v>
      </c>
      <c r="G1239" s="23">
        <v>0</v>
      </c>
      <c r="H1239" s="23">
        <v>0</v>
      </c>
      <c r="I1239" s="23">
        <v>1</v>
      </c>
      <c r="J1239" s="23">
        <v>12224.350850000001</v>
      </c>
      <c r="N1239" s="23"/>
      <c r="O1239" s="23"/>
      <c r="P1239" s="23"/>
      <c r="Q1239" s="23"/>
      <c r="R1239" s="23"/>
      <c r="S1239" s="23"/>
      <c r="T1239" s="23"/>
      <c r="U1239" s="23"/>
    </row>
    <row r="1240" spans="1:21" x14ac:dyDescent="0.2">
      <c r="A1240" s="23">
        <v>37</v>
      </c>
      <c r="B1240" s="23">
        <v>1</v>
      </c>
      <c r="C1240" s="23">
        <v>22.704999999999998</v>
      </c>
      <c r="D1240" s="23">
        <v>3</v>
      </c>
      <c r="E1240" s="23">
        <v>0</v>
      </c>
      <c r="F1240" s="23">
        <v>1</v>
      </c>
      <c r="G1240" s="23">
        <v>0</v>
      </c>
      <c r="H1240" s="23">
        <v>0</v>
      </c>
      <c r="I1240" s="23">
        <v>0</v>
      </c>
      <c r="J1240" s="23">
        <v>6985.50695</v>
      </c>
      <c r="N1240" s="23"/>
      <c r="O1240" s="23"/>
      <c r="P1240" s="23"/>
      <c r="Q1240" s="23"/>
      <c r="R1240" s="23"/>
      <c r="S1240" s="23"/>
      <c r="T1240" s="23"/>
      <c r="U1240" s="23"/>
    </row>
    <row r="1241" spans="1:21" x14ac:dyDescent="0.2">
      <c r="A1241" s="23">
        <v>25</v>
      </c>
      <c r="B1241" s="23">
        <v>0</v>
      </c>
      <c r="C1241" s="23">
        <v>42.13</v>
      </c>
      <c r="D1241" s="23">
        <v>1</v>
      </c>
      <c r="E1241" s="23">
        <v>0</v>
      </c>
      <c r="F1241" s="23">
        <v>0</v>
      </c>
      <c r="G1241" s="23">
        <v>1</v>
      </c>
      <c r="H1241" s="23">
        <v>0</v>
      </c>
      <c r="I1241" s="23">
        <v>0</v>
      </c>
      <c r="J1241" s="23">
        <v>3238.4357</v>
      </c>
      <c r="N1241" s="23"/>
      <c r="O1241" s="23"/>
      <c r="P1241" s="23"/>
      <c r="Q1241" s="23"/>
      <c r="R1241" s="23"/>
      <c r="S1241" s="23"/>
      <c r="T1241" s="23"/>
      <c r="U1241" s="23"/>
    </row>
    <row r="1242" spans="1:21" x14ac:dyDescent="0.2">
      <c r="A1242" s="23">
        <v>52</v>
      </c>
      <c r="B1242" s="23">
        <v>1</v>
      </c>
      <c r="C1242" s="23">
        <v>41.8</v>
      </c>
      <c r="D1242" s="23">
        <v>2</v>
      </c>
      <c r="E1242" s="23">
        <v>1</v>
      </c>
      <c r="F1242" s="23">
        <v>0</v>
      </c>
      <c r="G1242" s="23">
        <v>1</v>
      </c>
      <c r="H1242" s="23">
        <v>0</v>
      </c>
      <c r="I1242" s="23">
        <v>0</v>
      </c>
      <c r="J1242" s="23">
        <v>47269.853999999999</v>
      </c>
      <c r="N1242" s="23"/>
      <c r="O1242" s="23"/>
      <c r="P1242" s="23"/>
      <c r="Q1242" s="23"/>
      <c r="R1242" s="23"/>
      <c r="S1242" s="23"/>
      <c r="T1242" s="23"/>
      <c r="U1242" s="23"/>
    </row>
    <row r="1243" spans="1:21" x14ac:dyDescent="0.2">
      <c r="A1243" s="23">
        <v>64</v>
      </c>
      <c r="B1243" s="23">
        <v>1</v>
      </c>
      <c r="C1243" s="23">
        <v>36.96</v>
      </c>
      <c r="D1243" s="23">
        <v>2</v>
      </c>
      <c r="E1243" s="23">
        <v>1</v>
      </c>
      <c r="F1243" s="23">
        <v>0</v>
      </c>
      <c r="G1243" s="23">
        <v>1</v>
      </c>
      <c r="H1243" s="23">
        <v>0</v>
      </c>
      <c r="I1243" s="23">
        <v>0</v>
      </c>
      <c r="J1243" s="23">
        <v>49577.662400000001</v>
      </c>
      <c r="N1243" s="23"/>
      <c r="O1243" s="23"/>
      <c r="P1243" s="23"/>
      <c r="Q1243" s="23"/>
      <c r="R1243" s="23"/>
      <c r="S1243" s="23"/>
      <c r="T1243" s="23"/>
      <c r="U1243" s="23"/>
    </row>
    <row r="1244" spans="1:21" x14ac:dyDescent="0.2">
      <c r="A1244" s="23">
        <v>22</v>
      </c>
      <c r="B1244" s="23">
        <v>0</v>
      </c>
      <c r="C1244" s="23">
        <v>21.28</v>
      </c>
      <c r="D1244" s="23">
        <v>3</v>
      </c>
      <c r="E1244" s="23">
        <v>0</v>
      </c>
      <c r="F1244" s="23">
        <v>0</v>
      </c>
      <c r="G1244" s="23">
        <v>0</v>
      </c>
      <c r="H1244" s="23">
        <v>0</v>
      </c>
      <c r="I1244" s="23">
        <v>1</v>
      </c>
      <c r="J1244" s="23">
        <v>4296.2712000000001</v>
      </c>
      <c r="N1244" s="23"/>
      <c r="O1244" s="23"/>
      <c r="P1244" s="23"/>
      <c r="Q1244" s="23"/>
      <c r="R1244" s="23"/>
      <c r="S1244" s="23"/>
      <c r="T1244" s="23"/>
      <c r="U1244" s="23"/>
    </row>
    <row r="1245" spans="1:21" x14ac:dyDescent="0.2">
      <c r="A1245" s="23">
        <v>28</v>
      </c>
      <c r="B1245" s="23">
        <v>0</v>
      </c>
      <c r="C1245" s="23">
        <v>33.11</v>
      </c>
      <c r="D1245" s="23">
        <v>0</v>
      </c>
      <c r="E1245" s="23">
        <v>0</v>
      </c>
      <c r="F1245" s="23">
        <v>0</v>
      </c>
      <c r="G1245" s="23">
        <v>1</v>
      </c>
      <c r="H1245" s="23">
        <v>0</v>
      </c>
      <c r="I1245" s="23">
        <v>0</v>
      </c>
      <c r="J1245" s="23">
        <v>3171.6149</v>
      </c>
      <c r="N1245" s="23"/>
      <c r="O1245" s="23"/>
      <c r="P1245" s="23"/>
      <c r="Q1245" s="23"/>
      <c r="R1245" s="23"/>
      <c r="S1245" s="23"/>
      <c r="T1245" s="23"/>
      <c r="U1245" s="23"/>
    </row>
    <row r="1246" spans="1:21" x14ac:dyDescent="0.2">
      <c r="A1246" s="23">
        <v>18</v>
      </c>
      <c r="B1246" s="23">
        <v>1</v>
      </c>
      <c r="C1246" s="23">
        <v>33.33</v>
      </c>
      <c r="D1246" s="23">
        <v>0</v>
      </c>
      <c r="E1246" s="23">
        <v>0</v>
      </c>
      <c r="F1246" s="23">
        <v>0</v>
      </c>
      <c r="G1246" s="23">
        <v>1</v>
      </c>
      <c r="H1246" s="23">
        <v>0</v>
      </c>
      <c r="I1246" s="23">
        <v>0</v>
      </c>
      <c r="J1246" s="23">
        <v>1135.9407000000001</v>
      </c>
      <c r="N1246" s="23"/>
      <c r="O1246" s="23"/>
      <c r="P1246" s="23"/>
      <c r="Q1246" s="23"/>
      <c r="R1246" s="23"/>
      <c r="S1246" s="23"/>
      <c r="T1246" s="23"/>
      <c r="U1246" s="23"/>
    </row>
    <row r="1247" spans="1:21" x14ac:dyDescent="0.2">
      <c r="A1247" s="23">
        <v>28</v>
      </c>
      <c r="B1247" s="23">
        <v>1</v>
      </c>
      <c r="C1247" s="23">
        <v>24.3</v>
      </c>
      <c r="D1247" s="23">
        <v>5</v>
      </c>
      <c r="E1247" s="23">
        <v>0</v>
      </c>
      <c r="F1247" s="23">
        <v>0</v>
      </c>
      <c r="G1247" s="23">
        <v>0</v>
      </c>
      <c r="H1247" s="23">
        <v>1</v>
      </c>
      <c r="I1247" s="23">
        <v>0</v>
      </c>
      <c r="J1247" s="23">
        <v>5615.3689999999997</v>
      </c>
      <c r="N1247" s="23"/>
      <c r="O1247" s="23"/>
      <c r="P1247" s="23"/>
      <c r="Q1247" s="23"/>
      <c r="R1247" s="23"/>
      <c r="S1247" s="23"/>
      <c r="T1247" s="23"/>
      <c r="U1247" s="23"/>
    </row>
    <row r="1248" spans="1:21" x14ac:dyDescent="0.2">
      <c r="A1248" s="23">
        <v>45</v>
      </c>
      <c r="B1248" s="23">
        <v>0</v>
      </c>
      <c r="C1248" s="23">
        <v>25.7</v>
      </c>
      <c r="D1248" s="23">
        <v>3</v>
      </c>
      <c r="E1248" s="23">
        <v>0</v>
      </c>
      <c r="F1248" s="23">
        <v>0</v>
      </c>
      <c r="G1248" s="23">
        <v>0</v>
      </c>
      <c r="H1248" s="23">
        <v>1</v>
      </c>
      <c r="I1248" s="23">
        <v>0</v>
      </c>
      <c r="J1248" s="23">
        <v>9101.7980000000007</v>
      </c>
      <c r="N1248" s="23"/>
      <c r="O1248" s="23"/>
      <c r="P1248" s="23"/>
      <c r="Q1248" s="23"/>
      <c r="R1248" s="23"/>
      <c r="S1248" s="23"/>
      <c r="T1248" s="23"/>
      <c r="U1248" s="23"/>
    </row>
    <row r="1249" spans="1:21" x14ac:dyDescent="0.2">
      <c r="A1249" s="23">
        <v>33</v>
      </c>
      <c r="B1249" s="23">
        <v>1</v>
      </c>
      <c r="C1249" s="23">
        <v>29.4</v>
      </c>
      <c r="D1249" s="23">
        <v>4</v>
      </c>
      <c r="E1249" s="23">
        <v>0</v>
      </c>
      <c r="F1249" s="23">
        <v>0</v>
      </c>
      <c r="G1249" s="23">
        <v>0</v>
      </c>
      <c r="H1249" s="23">
        <v>1</v>
      </c>
      <c r="I1249" s="23">
        <v>0</v>
      </c>
      <c r="J1249" s="23">
        <v>6059.1729999999998</v>
      </c>
      <c r="N1249" s="23"/>
      <c r="O1249" s="23"/>
      <c r="P1249" s="23"/>
      <c r="Q1249" s="23"/>
      <c r="R1249" s="23"/>
      <c r="S1249" s="23"/>
      <c r="T1249" s="23"/>
      <c r="U1249" s="23"/>
    </row>
    <row r="1250" spans="1:21" x14ac:dyDescent="0.2">
      <c r="A1250" s="23">
        <v>18</v>
      </c>
      <c r="B1250" s="23">
        <v>0</v>
      </c>
      <c r="C1250" s="23">
        <v>39.82</v>
      </c>
      <c r="D1250" s="23">
        <v>0</v>
      </c>
      <c r="E1250" s="23">
        <v>0</v>
      </c>
      <c r="F1250" s="23">
        <v>0</v>
      </c>
      <c r="G1250" s="23">
        <v>1</v>
      </c>
      <c r="H1250" s="23">
        <v>0</v>
      </c>
      <c r="I1250" s="23">
        <v>0</v>
      </c>
      <c r="J1250" s="23">
        <v>1633.9618</v>
      </c>
      <c r="N1250" s="23"/>
      <c r="O1250" s="23"/>
      <c r="P1250" s="23"/>
      <c r="Q1250" s="23"/>
      <c r="R1250" s="23"/>
      <c r="S1250" s="23"/>
      <c r="T1250" s="23"/>
      <c r="U1250" s="23"/>
    </row>
    <row r="1251" spans="1:21" x14ac:dyDescent="0.2">
      <c r="A1251" s="23">
        <v>32</v>
      </c>
      <c r="B1251" s="23">
        <v>1</v>
      </c>
      <c r="C1251" s="23">
        <v>33.630000000000003</v>
      </c>
      <c r="D1251" s="23">
        <v>1</v>
      </c>
      <c r="E1251" s="23">
        <v>1</v>
      </c>
      <c r="F1251" s="23">
        <v>1</v>
      </c>
      <c r="G1251" s="23">
        <v>0</v>
      </c>
      <c r="H1251" s="23">
        <v>0</v>
      </c>
      <c r="I1251" s="23">
        <v>0</v>
      </c>
      <c r="J1251" s="23">
        <v>37607.527699999999</v>
      </c>
      <c r="N1251" s="23"/>
      <c r="O1251" s="23"/>
      <c r="P1251" s="23"/>
      <c r="Q1251" s="23"/>
      <c r="R1251" s="23"/>
      <c r="S1251" s="23"/>
      <c r="T1251" s="23"/>
      <c r="U1251" s="23"/>
    </row>
    <row r="1252" spans="1:21" x14ac:dyDescent="0.2">
      <c r="A1252" s="23">
        <v>24</v>
      </c>
      <c r="B1252" s="23">
        <v>1</v>
      </c>
      <c r="C1252" s="23">
        <v>29.83</v>
      </c>
      <c r="D1252" s="23">
        <v>0</v>
      </c>
      <c r="E1252" s="23">
        <v>1</v>
      </c>
      <c r="F1252" s="23">
        <v>1</v>
      </c>
      <c r="G1252" s="23">
        <v>0</v>
      </c>
      <c r="H1252" s="23">
        <v>0</v>
      </c>
      <c r="I1252" s="23">
        <v>0</v>
      </c>
      <c r="J1252" s="23">
        <v>18648.421699999999</v>
      </c>
      <c r="N1252" s="23"/>
      <c r="O1252" s="23"/>
      <c r="P1252" s="23"/>
      <c r="Q1252" s="23"/>
      <c r="R1252" s="23"/>
      <c r="S1252" s="23"/>
      <c r="T1252" s="23"/>
      <c r="U1252" s="23"/>
    </row>
    <row r="1253" spans="1:21" x14ac:dyDescent="0.2">
      <c r="A1253" s="23">
        <v>19</v>
      </c>
      <c r="B1253" s="23">
        <v>1</v>
      </c>
      <c r="C1253" s="23">
        <v>19.8</v>
      </c>
      <c r="D1253" s="23">
        <v>0</v>
      </c>
      <c r="E1253" s="23">
        <v>0</v>
      </c>
      <c r="F1253" s="23">
        <v>0</v>
      </c>
      <c r="G1253" s="23">
        <v>0</v>
      </c>
      <c r="H1253" s="23">
        <v>1</v>
      </c>
      <c r="I1253" s="23">
        <v>0</v>
      </c>
      <c r="J1253" s="23">
        <v>1241.5650000000001</v>
      </c>
      <c r="N1253" s="23"/>
      <c r="O1253" s="23"/>
      <c r="P1253" s="23"/>
      <c r="Q1253" s="23"/>
      <c r="R1253" s="23"/>
      <c r="S1253" s="23"/>
      <c r="T1253" s="23"/>
      <c r="U1253" s="23"/>
    </row>
    <row r="1254" spans="1:21" x14ac:dyDescent="0.2">
      <c r="A1254" s="23">
        <v>20</v>
      </c>
      <c r="B1254" s="23">
        <v>1</v>
      </c>
      <c r="C1254" s="23">
        <v>27.3</v>
      </c>
      <c r="D1254" s="23">
        <v>0</v>
      </c>
      <c r="E1254" s="23">
        <v>1</v>
      </c>
      <c r="F1254" s="23">
        <v>0</v>
      </c>
      <c r="G1254" s="23">
        <v>0</v>
      </c>
      <c r="H1254" s="23">
        <v>1</v>
      </c>
      <c r="I1254" s="23">
        <v>0</v>
      </c>
      <c r="J1254" s="23">
        <v>16232.847</v>
      </c>
      <c r="N1254" s="23"/>
      <c r="O1254" s="23"/>
      <c r="P1254" s="23"/>
      <c r="Q1254" s="23"/>
      <c r="R1254" s="23"/>
      <c r="S1254" s="23"/>
      <c r="T1254" s="23"/>
      <c r="U1254" s="23"/>
    </row>
    <row r="1255" spans="1:21" x14ac:dyDescent="0.2">
      <c r="A1255" s="23">
        <v>40</v>
      </c>
      <c r="B1255" s="23">
        <v>0</v>
      </c>
      <c r="C1255" s="23">
        <v>29.3</v>
      </c>
      <c r="D1255" s="23">
        <v>4</v>
      </c>
      <c r="E1255" s="23">
        <v>0</v>
      </c>
      <c r="F1255" s="23">
        <v>0</v>
      </c>
      <c r="G1255" s="23">
        <v>0</v>
      </c>
      <c r="H1255" s="23">
        <v>1</v>
      </c>
      <c r="I1255" s="23">
        <v>0</v>
      </c>
      <c r="J1255" s="23">
        <v>15828.82173</v>
      </c>
      <c r="N1255" s="23"/>
      <c r="O1255" s="23"/>
      <c r="P1255" s="23"/>
      <c r="Q1255" s="23"/>
      <c r="R1255" s="23"/>
      <c r="S1255" s="23"/>
      <c r="T1255" s="23"/>
      <c r="U1255" s="23"/>
    </row>
    <row r="1256" spans="1:21" x14ac:dyDescent="0.2">
      <c r="A1256" s="23">
        <v>34</v>
      </c>
      <c r="B1256" s="23">
        <v>0</v>
      </c>
      <c r="C1256" s="23">
        <v>27.72</v>
      </c>
      <c r="D1256" s="23">
        <v>0</v>
      </c>
      <c r="E1256" s="23">
        <v>0</v>
      </c>
      <c r="F1256" s="23">
        <v>0</v>
      </c>
      <c r="G1256" s="23">
        <v>1</v>
      </c>
      <c r="H1256" s="23">
        <v>0</v>
      </c>
      <c r="I1256" s="23">
        <v>0</v>
      </c>
      <c r="J1256" s="23">
        <v>4415.1588000000002</v>
      </c>
      <c r="N1256" s="23"/>
      <c r="O1256" s="23"/>
      <c r="P1256" s="23"/>
      <c r="Q1256" s="23"/>
      <c r="R1256" s="23"/>
      <c r="S1256" s="23"/>
      <c r="T1256" s="23"/>
      <c r="U1256" s="23"/>
    </row>
    <row r="1257" spans="1:21" x14ac:dyDescent="0.2">
      <c r="A1257" s="23">
        <v>42</v>
      </c>
      <c r="B1257" s="23">
        <v>0</v>
      </c>
      <c r="C1257" s="23">
        <v>37.9</v>
      </c>
      <c r="D1257" s="23">
        <v>0</v>
      </c>
      <c r="E1257" s="23">
        <v>0</v>
      </c>
      <c r="F1257" s="23">
        <v>0</v>
      </c>
      <c r="G1257" s="23">
        <v>0</v>
      </c>
      <c r="H1257" s="23">
        <v>1</v>
      </c>
      <c r="I1257" s="23">
        <v>0</v>
      </c>
      <c r="J1257" s="23">
        <v>6474.0129999999999</v>
      </c>
      <c r="N1257" s="23"/>
      <c r="O1257" s="23"/>
      <c r="P1257" s="23"/>
      <c r="Q1257" s="23"/>
      <c r="R1257" s="23"/>
      <c r="S1257" s="23"/>
      <c r="T1257" s="23"/>
      <c r="U1257" s="23"/>
    </row>
    <row r="1258" spans="1:21" x14ac:dyDescent="0.2">
      <c r="A1258" s="23">
        <v>51</v>
      </c>
      <c r="B1258" s="23">
        <v>0</v>
      </c>
      <c r="C1258" s="23">
        <v>36.384999999999998</v>
      </c>
      <c r="D1258" s="23">
        <v>3</v>
      </c>
      <c r="E1258" s="23">
        <v>0</v>
      </c>
      <c r="F1258" s="23">
        <v>0</v>
      </c>
      <c r="G1258" s="23">
        <v>0</v>
      </c>
      <c r="H1258" s="23">
        <v>0</v>
      </c>
      <c r="I1258" s="23">
        <v>1</v>
      </c>
      <c r="J1258" s="23">
        <v>11436.738149999999</v>
      </c>
      <c r="N1258" s="23"/>
      <c r="O1258" s="23"/>
      <c r="P1258" s="23"/>
      <c r="Q1258" s="23"/>
      <c r="R1258" s="23"/>
      <c r="S1258" s="23"/>
      <c r="T1258" s="23"/>
      <c r="U1258" s="23"/>
    </row>
    <row r="1259" spans="1:21" x14ac:dyDescent="0.2">
      <c r="A1259" s="23">
        <v>54</v>
      </c>
      <c r="B1259" s="23">
        <v>0</v>
      </c>
      <c r="C1259" s="23">
        <v>27.645</v>
      </c>
      <c r="D1259" s="23">
        <v>1</v>
      </c>
      <c r="E1259" s="23">
        <v>0</v>
      </c>
      <c r="F1259" s="23">
        <v>0</v>
      </c>
      <c r="G1259" s="23">
        <v>0</v>
      </c>
      <c r="H1259" s="23">
        <v>0</v>
      </c>
      <c r="I1259" s="23">
        <v>1</v>
      </c>
      <c r="J1259" s="23">
        <v>11305.93455</v>
      </c>
      <c r="N1259" s="23"/>
      <c r="O1259" s="23"/>
      <c r="P1259" s="23"/>
      <c r="Q1259" s="23"/>
      <c r="R1259" s="23"/>
      <c r="S1259" s="23"/>
      <c r="T1259" s="23"/>
      <c r="U1259" s="23"/>
    </row>
    <row r="1260" spans="1:21" x14ac:dyDescent="0.2">
      <c r="A1260" s="23">
        <v>55</v>
      </c>
      <c r="B1260" s="23">
        <v>1</v>
      </c>
      <c r="C1260" s="23">
        <v>37.715000000000003</v>
      </c>
      <c r="D1260" s="23">
        <v>3</v>
      </c>
      <c r="E1260" s="23">
        <v>0</v>
      </c>
      <c r="F1260" s="23">
        <v>0</v>
      </c>
      <c r="G1260" s="23">
        <v>0</v>
      </c>
      <c r="H1260" s="23">
        <v>0</v>
      </c>
      <c r="I1260" s="23">
        <v>1</v>
      </c>
      <c r="J1260" s="23">
        <v>30063.580549999999</v>
      </c>
      <c r="N1260" s="23"/>
      <c r="O1260" s="23"/>
      <c r="P1260" s="23"/>
      <c r="Q1260" s="23"/>
      <c r="R1260" s="23"/>
      <c r="S1260" s="23"/>
      <c r="T1260" s="23"/>
      <c r="U1260" s="23"/>
    </row>
    <row r="1261" spans="1:21" x14ac:dyDescent="0.2">
      <c r="A1261" s="23">
        <v>52</v>
      </c>
      <c r="B1261" s="23">
        <v>0</v>
      </c>
      <c r="C1261" s="23">
        <v>23.18</v>
      </c>
      <c r="D1261" s="23">
        <v>0</v>
      </c>
      <c r="E1261" s="23">
        <v>0</v>
      </c>
      <c r="F1261" s="23">
        <v>1</v>
      </c>
      <c r="G1261" s="23">
        <v>0</v>
      </c>
      <c r="H1261" s="23">
        <v>0</v>
      </c>
      <c r="I1261" s="23">
        <v>0</v>
      </c>
      <c r="J1261" s="23">
        <v>10197.772199999999</v>
      </c>
      <c r="N1261" s="23"/>
      <c r="O1261" s="23"/>
      <c r="P1261" s="23"/>
      <c r="Q1261" s="23"/>
      <c r="R1261" s="23"/>
      <c r="S1261" s="23"/>
      <c r="T1261" s="23"/>
      <c r="U1261" s="23"/>
    </row>
    <row r="1262" spans="1:21" x14ac:dyDescent="0.2">
      <c r="A1262" s="23">
        <v>32</v>
      </c>
      <c r="B1262" s="23">
        <v>0</v>
      </c>
      <c r="C1262" s="23">
        <v>20.52</v>
      </c>
      <c r="D1262" s="23">
        <v>0</v>
      </c>
      <c r="E1262" s="23">
        <v>0</v>
      </c>
      <c r="F1262" s="23">
        <v>1</v>
      </c>
      <c r="G1262" s="23">
        <v>0</v>
      </c>
      <c r="H1262" s="23">
        <v>0</v>
      </c>
      <c r="I1262" s="23">
        <v>0</v>
      </c>
      <c r="J1262" s="23">
        <v>4544.2348000000002</v>
      </c>
      <c r="N1262" s="23"/>
      <c r="O1262" s="23"/>
      <c r="P1262" s="23"/>
      <c r="Q1262" s="23"/>
      <c r="R1262" s="23"/>
      <c r="S1262" s="23"/>
      <c r="T1262" s="23"/>
      <c r="U1262" s="23"/>
    </row>
    <row r="1263" spans="1:21" x14ac:dyDescent="0.2">
      <c r="A1263" s="23">
        <v>28</v>
      </c>
      <c r="B1263" s="23">
        <v>1</v>
      </c>
      <c r="C1263" s="23">
        <v>37.1</v>
      </c>
      <c r="D1263" s="23">
        <v>1</v>
      </c>
      <c r="E1263" s="23">
        <v>0</v>
      </c>
      <c r="F1263" s="23">
        <v>0</v>
      </c>
      <c r="G1263" s="23">
        <v>0</v>
      </c>
      <c r="H1263" s="23">
        <v>1</v>
      </c>
      <c r="I1263" s="23">
        <v>0</v>
      </c>
      <c r="J1263" s="23">
        <v>3277.1610000000001</v>
      </c>
      <c r="N1263" s="23"/>
      <c r="O1263" s="23"/>
      <c r="P1263" s="23"/>
      <c r="Q1263" s="23"/>
      <c r="R1263" s="23"/>
      <c r="S1263" s="23"/>
      <c r="T1263" s="23"/>
      <c r="U1263" s="23"/>
    </row>
    <row r="1264" spans="1:21" x14ac:dyDescent="0.2">
      <c r="A1264" s="23">
        <v>41</v>
      </c>
      <c r="B1264" s="23">
        <v>0</v>
      </c>
      <c r="C1264" s="23">
        <v>28.05</v>
      </c>
      <c r="D1264" s="23">
        <v>1</v>
      </c>
      <c r="E1264" s="23">
        <v>0</v>
      </c>
      <c r="F1264" s="23">
        <v>0</v>
      </c>
      <c r="G1264" s="23">
        <v>1</v>
      </c>
      <c r="H1264" s="23">
        <v>0</v>
      </c>
      <c r="I1264" s="23">
        <v>0</v>
      </c>
      <c r="J1264" s="23">
        <v>6770.1925000000001</v>
      </c>
      <c r="N1264" s="23"/>
      <c r="O1264" s="23"/>
      <c r="P1264" s="23"/>
      <c r="Q1264" s="23"/>
      <c r="R1264" s="23"/>
      <c r="S1264" s="23"/>
      <c r="T1264" s="23"/>
      <c r="U1264" s="23"/>
    </row>
    <row r="1265" spans="1:21" x14ac:dyDescent="0.2">
      <c r="A1265" s="23">
        <v>43</v>
      </c>
      <c r="B1265" s="23">
        <v>0</v>
      </c>
      <c r="C1265" s="23">
        <v>29.9</v>
      </c>
      <c r="D1265" s="23">
        <v>1</v>
      </c>
      <c r="E1265" s="23">
        <v>0</v>
      </c>
      <c r="F1265" s="23">
        <v>0</v>
      </c>
      <c r="G1265" s="23">
        <v>0</v>
      </c>
      <c r="H1265" s="23">
        <v>1</v>
      </c>
      <c r="I1265" s="23">
        <v>0</v>
      </c>
      <c r="J1265" s="23">
        <v>7337.7479999999996</v>
      </c>
      <c r="N1265" s="23"/>
      <c r="O1265" s="23"/>
      <c r="P1265" s="23"/>
      <c r="Q1265" s="23"/>
      <c r="R1265" s="23"/>
      <c r="S1265" s="23"/>
      <c r="T1265" s="23"/>
      <c r="U1265" s="23"/>
    </row>
    <row r="1266" spans="1:21" x14ac:dyDescent="0.2">
      <c r="A1266" s="23">
        <v>49</v>
      </c>
      <c r="B1266" s="23">
        <v>0</v>
      </c>
      <c r="C1266" s="23">
        <v>33.344999999999999</v>
      </c>
      <c r="D1266" s="23">
        <v>2</v>
      </c>
      <c r="E1266" s="23">
        <v>0</v>
      </c>
      <c r="F1266" s="23">
        <v>1</v>
      </c>
      <c r="G1266" s="23">
        <v>0</v>
      </c>
      <c r="H1266" s="23">
        <v>0</v>
      </c>
      <c r="I1266" s="23">
        <v>0</v>
      </c>
      <c r="J1266" s="23">
        <v>10370.912549999999</v>
      </c>
      <c r="N1266" s="23"/>
      <c r="O1266" s="23"/>
      <c r="P1266" s="23"/>
      <c r="Q1266" s="23"/>
      <c r="R1266" s="23"/>
      <c r="S1266" s="23"/>
      <c r="T1266" s="23"/>
      <c r="U1266" s="23"/>
    </row>
    <row r="1267" spans="1:21" x14ac:dyDescent="0.2">
      <c r="A1267" s="23">
        <v>64</v>
      </c>
      <c r="B1267" s="23">
        <v>1</v>
      </c>
      <c r="C1267" s="23">
        <v>23.76</v>
      </c>
      <c r="D1267" s="23">
        <v>0</v>
      </c>
      <c r="E1267" s="23">
        <v>1</v>
      </c>
      <c r="F1267" s="23">
        <v>0</v>
      </c>
      <c r="G1267" s="23">
        <v>1</v>
      </c>
      <c r="H1267" s="23">
        <v>0</v>
      </c>
      <c r="I1267" s="23">
        <v>0</v>
      </c>
      <c r="J1267" s="23">
        <v>26926.5144</v>
      </c>
      <c r="N1267" s="23"/>
      <c r="O1267" s="23"/>
      <c r="P1267" s="23"/>
      <c r="Q1267" s="23"/>
      <c r="R1267" s="23"/>
      <c r="S1267" s="23"/>
      <c r="T1267" s="23"/>
      <c r="U1267" s="23"/>
    </row>
    <row r="1268" spans="1:21" x14ac:dyDescent="0.2">
      <c r="A1268" s="23">
        <v>55</v>
      </c>
      <c r="B1268" s="23">
        <v>0</v>
      </c>
      <c r="C1268" s="23">
        <v>30.5</v>
      </c>
      <c r="D1268" s="23">
        <v>0</v>
      </c>
      <c r="E1268" s="23">
        <v>0</v>
      </c>
      <c r="F1268" s="23">
        <v>0</v>
      </c>
      <c r="G1268" s="23">
        <v>0</v>
      </c>
      <c r="H1268" s="23">
        <v>1</v>
      </c>
      <c r="I1268" s="23">
        <v>0</v>
      </c>
      <c r="J1268" s="23">
        <v>10704.47</v>
      </c>
      <c r="N1268" s="23"/>
      <c r="O1268" s="23"/>
      <c r="P1268" s="23"/>
      <c r="Q1268" s="23"/>
      <c r="R1268" s="23"/>
      <c r="S1268" s="23"/>
      <c r="T1268" s="23"/>
      <c r="U1268" s="23"/>
    </row>
    <row r="1269" spans="1:21" x14ac:dyDescent="0.2">
      <c r="A1269" s="23">
        <v>24</v>
      </c>
      <c r="B1269" s="23">
        <v>1</v>
      </c>
      <c r="C1269" s="23">
        <v>31.065000000000001</v>
      </c>
      <c r="D1269" s="23">
        <v>0</v>
      </c>
      <c r="E1269" s="23">
        <v>1</v>
      </c>
      <c r="F1269" s="23">
        <v>1</v>
      </c>
      <c r="G1269" s="23">
        <v>0</v>
      </c>
      <c r="H1269" s="23">
        <v>0</v>
      </c>
      <c r="I1269" s="23">
        <v>0</v>
      </c>
      <c r="J1269" s="23">
        <v>34254.053350000002</v>
      </c>
      <c r="N1269" s="23"/>
      <c r="O1269" s="23"/>
      <c r="P1269" s="23"/>
      <c r="Q1269" s="23"/>
      <c r="R1269" s="23"/>
      <c r="S1269" s="23"/>
      <c r="T1269" s="23"/>
      <c r="U1269" s="23"/>
    </row>
    <row r="1270" spans="1:21" x14ac:dyDescent="0.2">
      <c r="A1270" s="23">
        <v>20</v>
      </c>
      <c r="B1270" s="23">
        <v>0</v>
      </c>
      <c r="C1270" s="23">
        <v>33.299999999999997</v>
      </c>
      <c r="D1270" s="23">
        <v>0</v>
      </c>
      <c r="E1270" s="23">
        <v>0</v>
      </c>
      <c r="F1270" s="23">
        <v>0</v>
      </c>
      <c r="G1270" s="23">
        <v>0</v>
      </c>
      <c r="H1270" s="23">
        <v>1</v>
      </c>
      <c r="I1270" s="23">
        <v>0</v>
      </c>
      <c r="J1270" s="23">
        <v>1880.4870000000001</v>
      </c>
      <c r="N1270" s="23"/>
      <c r="O1270" s="23"/>
      <c r="P1270" s="23"/>
      <c r="Q1270" s="23"/>
      <c r="R1270" s="23"/>
      <c r="S1270" s="23"/>
      <c r="T1270" s="23"/>
      <c r="U1270" s="23"/>
    </row>
    <row r="1271" spans="1:21" x14ac:dyDescent="0.2">
      <c r="A1271" s="23">
        <v>45</v>
      </c>
      <c r="B1271" s="23">
        <v>1</v>
      </c>
      <c r="C1271" s="23">
        <v>27.5</v>
      </c>
      <c r="D1271" s="23">
        <v>3</v>
      </c>
      <c r="E1271" s="23">
        <v>0</v>
      </c>
      <c r="F1271" s="23">
        <v>0</v>
      </c>
      <c r="G1271" s="23">
        <v>0</v>
      </c>
      <c r="H1271" s="23">
        <v>1</v>
      </c>
      <c r="I1271" s="23">
        <v>0</v>
      </c>
      <c r="J1271" s="23">
        <v>8615.2999999999993</v>
      </c>
      <c r="N1271" s="23"/>
      <c r="O1271" s="23"/>
      <c r="P1271" s="23"/>
      <c r="Q1271" s="23"/>
      <c r="R1271" s="23"/>
      <c r="S1271" s="23"/>
      <c r="T1271" s="23"/>
      <c r="U1271" s="23"/>
    </row>
    <row r="1272" spans="1:21" x14ac:dyDescent="0.2">
      <c r="A1272" s="23">
        <v>26</v>
      </c>
      <c r="B1272" s="23">
        <v>1</v>
      </c>
      <c r="C1272" s="23">
        <v>33.914999999999999</v>
      </c>
      <c r="D1272" s="23">
        <v>1</v>
      </c>
      <c r="E1272" s="23">
        <v>0</v>
      </c>
      <c r="F1272" s="23">
        <v>0</v>
      </c>
      <c r="G1272" s="23">
        <v>0</v>
      </c>
      <c r="H1272" s="23">
        <v>0</v>
      </c>
      <c r="I1272" s="23">
        <v>1</v>
      </c>
      <c r="J1272" s="23">
        <v>3292.5298499999999</v>
      </c>
      <c r="N1272" s="23"/>
      <c r="O1272" s="23"/>
      <c r="P1272" s="23"/>
      <c r="Q1272" s="23"/>
      <c r="R1272" s="23"/>
      <c r="S1272" s="23"/>
      <c r="T1272" s="23"/>
      <c r="U1272" s="23"/>
    </row>
    <row r="1273" spans="1:21" x14ac:dyDescent="0.2">
      <c r="A1273" s="23">
        <v>25</v>
      </c>
      <c r="B1273" s="23">
        <v>0</v>
      </c>
      <c r="C1273" s="23">
        <v>34.484999999999999</v>
      </c>
      <c r="D1273" s="23">
        <v>0</v>
      </c>
      <c r="E1273" s="23">
        <v>0</v>
      </c>
      <c r="F1273" s="23">
        <v>0</v>
      </c>
      <c r="G1273" s="23">
        <v>0</v>
      </c>
      <c r="H1273" s="23">
        <v>0</v>
      </c>
      <c r="I1273" s="23">
        <v>1</v>
      </c>
      <c r="J1273" s="23">
        <v>3021.80915</v>
      </c>
      <c r="N1273" s="23"/>
      <c r="O1273" s="23"/>
      <c r="P1273" s="23"/>
      <c r="Q1273" s="23"/>
      <c r="R1273" s="23"/>
      <c r="S1273" s="23"/>
      <c r="T1273" s="23"/>
      <c r="U1273" s="23"/>
    </row>
    <row r="1274" spans="1:21" x14ac:dyDescent="0.2">
      <c r="A1274" s="23">
        <v>43</v>
      </c>
      <c r="B1274" s="23">
        <v>1</v>
      </c>
      <c r="C1274" s="23">
        <v>25.52</v>
      </c>
      <c r="D1274" s="23">
        <v>5</v>
      </c>
      <c r="E1274" s="23">
        <v>0</v>
      </c>
      <c r="F1274" s="23">
        <v>0</v>
      </c>
      <c r="G1274" s="23">
        <v>1</v>
      </c>
      <c r="H1274" s="23">
        <v>0</v>
      </c>
      <c r="I1274" s="23">
        <v>0</v>
      </c>
      <c r="J1274" s="23">
        <v>14478.33015</v>
      </c>
      <c r="N1274" s="23"/>
      <c r="O1274" s="23"/>
      <c r="P1274" s="23"/>
      <c r="Q1274" s="23"/>
      <c r="R1274" s="23"/>
      <c r="S1274" s="23"/>
      <c r="T1274" s="23"/>
      <c r="U1274" s="23"/>
    </row>
    <row r="1275" spans="1:21" x14ac:dyDescent="0.2">
      <c r="A1275" s="23">
        <v>35</v>
      </c>
      <c r="B1275" s="23">
        <v>1</v>
      </c>
      <c r="C1275" s="23">
        <v>27.61</v>
      </c>
      <c r="D1275" s="23">
        <v>1</v>
      </c>
      <c r="E1275" s="23">
        <v>0</v>
      </c>
      <c r="F1275" s="23">
        <v>0</v>
      </c>
      <c r="G1275" s="23">
        <v>1</v>
      </c>
      <c r="H1275" s="23">
        <v>0</v>
      </c>
      <c r="I1275" s="23">
        <v>0</v>
      </c>
      <c r="J1275" s="23">
        <v>4747.0528999999997</v>
      </c>
      <c r="N1275" s="23"/>
      <c r="O1275" s="23"/>
      <c r="P1275" s="23"/>
      <c r="Q1275" s="23"/>
      <c r="R1275" s="23"/>
      <c r="S1275" s="23"/>
      <c r="T1275" s="23"/>
      <c r="U1275" s="23"/>
    </row>
    <row r="1276" spans="1:21" x14ac:dyDescent="0.2">
      <c r="A1276" s="23">
        <v>26</v>
      </c>
      <c r="B1276" s="23">
        <v>1</v>
      </c>
      <c r="C1276" s="23">
        <v>27.06</v>
      </c>
      <c r="D1276" s="23">
        <v>0</v>
      </c>
      <c r="E1276" s="23">
        <v>1</v>
      </c>
      <c r="F1276" s="23">
        <v>0</v>
      </c>
      <c r="G1276" s="23">
        <v>1</v>
      </c>
      <c r="H1276" s="23">
        <v>0</v>
      </c>
      <c r="I1276" s="23">
        <v>0</v>
      </c>
      <c r="J1276" s="23">
        <v>17043.341400000001</v>
      </c>
      <c r="N1276" s="23"/>
      <c r="O1276" s="23"/>
      <c r="P1276" s="23"/>
      <c r="Q1276" s="23"/>
      <c r="R1276" s="23"/>
      <c r="S1276" s="23"/>
      <c r="T1276" s="23"/>
      <c r="U1276" s="23"/>
    </row>
    <row r="1277" spans="1:21" x14ac:dyDescent="0.2">
      <c r="A1277" s="23">
        <v>57</v>
      </c>
      <c r="B1277" s="23">
        <v>1</v>
      </c>
      <c r="C1277" s="23">
        <v>23.7</v>
      </c>
      <c r="D1277" s="23">
        <v>0</v>
      </c>
      <c r="E1277" s="23">
        <v>0</v>
      </c>
      <c r="F1277" s="23">
        <v>0</v>
      </c>
      <c r="G1277" s="23">
        <v>0</v>
      </c>
      <c r="H1277" s="23">
        <v>1</v>
      </c>
      <c r="I1277" s="23">
        <v>0</v>
      </c>
      <c r="J1277" s="23">
        <v>10959.33</v>
      </c>
      <c r="N1277" s="23"/>
      <c r="O1277" s="23"/>
      <c r="P1277" s="23"/>
      <c r="Q1277" s="23"/>
      <c r="R1277" s="23"/>
      <c r="S1277" s="23"/>
      <c r="T1277" s="23"/>
      <c r="U1277" s="23"/>
    </row>
    <row r="1278" spans="1:21" x14ac:dyDescent="0.2">
      <c r="A1278" s="23">
        <v>22</v>
      </c>
      <c r="B1278" s="23">
        <v>0</v>
      </c>
      <c r="C1278" s="23">
        <v>30.4</v>
      </c>
      <c r="D1278" s="23">
        <v>0</v>
      </c>
      <c r="E1278" s="23">
        <v>0</v>
      </c>
      <c r="F1278" s="23">
        <v>1</v>
      </c>
      <c r="G1278" s="23">
        <v>0</v>
      </c>
      <c r="H1278" s="23">
        <v>0</v>
      </c>
      <c r="I1278" s="23">
        <v>0</v>
      </c>
      <c r="J1278" s="23">
        <v>2741.9479999999999</v>
      </c>
      <c r="N1278" s="23"/>
      <c r="O1278" s="23"/>
      <c r="P1278" s="23"/>
      <c r="Q1278" s="23"/>
      <c r="R1278" s="23"/>
      <c r="S1278" s="23"/>
      <c r="T1278" s="23"/>
      <c r="U1278" s="23"/>
    </row>
    <row r="1279" spans="1:21" x14ac:dyDescent="0.2">
      <c r="A1279" s="23">
        <v>32</v>
      </c>
      <c r="B1279" s="23">
        <v>0</v>
      </c>
      <c r="C1279" s="23">
        <v>29.734999999999999</v>
      </c>
      <c r="D1279" s="23">
        <v>0</v>
      </c>
      <c r="E1279" s="23">
        <v>0</v>
      </c>
      <c r="F1279" s="23">
        <v>0</v>
      </c>
      <c r="G1279" s="23">
        <v>0</v>
      </c>
      <c r="H1279" s="23">
        <v>0</v>
      </c>
      <c r="I1279" s="23">
        <v>1</v>
      </c>
      <c r="J1279" s="23">
        <v>4357.0436499999996</v>
      </c>
      <c r="N1279" s="23"/>
      <c r="O1279" s="23"/>
      <c r="P1279" s="23"/>
      <c r="Q1279" s="23"/>
      <c r="R1279" s="23"/>
      <c r="S1279" s="23"/>
      <c r="T1279" s="23"/>
      <c r="U1279" s="23"/>
    </row>
    <row r="1280" spans="1:21" x14ac:dyDescent="0.2">
      <c r="A1280" s="23">
        <v>39</v>
      </c>
      <c r="B1280" s="23">
        <v>1</v>
      </c>
      <c r="C1280" s="23">
        <v>29.925000000000001</v>
      </c>
      <c r="D1280" s="23">
        <v>1</v>
      </c>
      <c r="E1280" s="23">
        <v>1</v>
      </c>
      <c r="F1280" s="23">
        <v>1</v>
      </c>
      <c r="G1280" s="23">
        <v>0</v>
      </c>
      <c r="H1280" s="23">
        <v>0</v>
      </c>
      <c r="I1280" s="23">
        <v>0</v>
      </c>
      <c r="J1280" s="23">
        <v>22462.043750000001</v>
      </c>
      <c r="N1280" s="23"/>
      <c r="O1280" s="23"/>
      <c r="P1280" s="23"/>
      <c r="Q1280" s="23"/>
      <c r="R1280" s="23"/>
      <c r="S1280" s="23"/>
      <c r="T1280" s="23"/>
      <c r="U1280" s="23"/>
    </row>
    <row r="1281" spans="1:21" x14ac:dyDescent="0.2">
      <c r="A1281" s="23">
        <v>25</v>
      </c>
      <c r="B1281" s="23">
        <v>0</v>
      </c>
      <c r="C1281" s="23">
        <v>26.79</v>
      </c>
      <c r="D1281" s="23">
        <v>2</v>
      </c>
      <c r="E1281" s="23">
        <v>0</v>
      </c>
      <c r="F1281" s="23">
        <v>0</v>
      </c>
      <c r="G1281" s="23">
        <v>0</v>
      </c>
      <c r="H1281" s="23">
        <v>0</v>
      </c>
      <c r="I1281" s="23">
        <v>1</v>
      </c>
      <c r="J1281" s="23">
        <v>4189.1130999999996</v>
      </c>
      <c r="N1281" s="23"/>
      <c r="O1281" s="23"/>
      <c r="P1281" s="23"/>
      <c r="Q1281" s="23"/>
      <c r="R1281" s="23"/>
      <c r="S1281" s="23"/>
      <c r="T1281" s="23"/>
      <c r="U1281" s="23"/>
    </row>
    <row r="1282" spans="1:21" x14ac:dyDescent="0.2">
      <c r="A1282" s="23">
        <v>48</v>
      </c>
      <c r="B1282" s="23">
        <v>0</v>
      </c>
      <c r="C1282" s="23">
        <v>33.33</v>
      </c>
      <c r="D1282" s="23">
        <v>0</v>
      </c>
      <c r="E1282" s="23">
        <v>0</v>
      </c>
      <c r="F1282" s="23">
        <v>0</v>
      </c>
      <c r="G1282" s="23">
        <v>1</v>
      </c>
      <c r="H1282" s="23">
        <v>0</v>
      </c>
      <c r="I1282" s="23">
        <v>0</v>
      </c>
      <c r="J1282" s="23">
        <v>8283.6807000000008</v>
      </c>
      <c r="N1282" s="23"/>
      <c r="O1282" s="23"/>
      <c r="P1282" s="23"/>
      <c r="Q1282" s="23"/>
      <c r="R1282" s="23"/>
      <c r="S1282" s="23"/>
      <c r="T1282" s="23"/>
      <c r="U1282" s="23"/>
    </row>
    <row r="1283" spans="1:21" x14ac:dyDescent="0.2">
      <c r="A1283" s="23">
        <v>47</v>
      </c>
      <c r="B1283" s="23">
        <v>0</v>
      </c>
      <c r="C1283" s="23">
        <v>27.645</v>
      </c>
      <c r="D1283" s="23">
        <v>2</v>
      </c>
      <c r="E1283" s="23">
        <v>1</v>
      </c>
      <c r="F1283" s="23">
        <v>0</v>
      </c>
      <c r="G1283" s="23">
        <v>0</v>
      </c>
      <c r="H1283" s="23">
        <v>0</v>
      </c>
      <c r="I1283" s="23">
        <v>1</v>
      </c>
      <c r="J1283" s="23">
        <v>24535.698550000001</v>
      </c>
      <c r="N1283" s="23"/>
      <c r="O1283" s="23"/>
      <c r="P1283" s="23"/>
      <c r="Q1283" s="23"/>
      <c r="R1283" s="23"/>
      <c r="S1283" s="23"/>
      <c r="T1283" s="23"/>
      <c r="U1283" s="23"/>
    </row>
    <row r="1284" spans="1:21" x14ac:dyDescent="0.2">
      <c r="A1284" s="23">
        <v>18</v>
      </c>
      <c r="B1284" s="23">
        <v>0</v>
      </c>
      <c r="C1284" s="23">
        <v>21.66</v>
      </c>
      <c r="D1284" s="23">
        <v>0</v>
      </c>
      <c r="E1284" s="23">
        <v>1</v>
      </c>
      <c r="F1284" s="23">
        <v>1</v>
      </c>
      <c r="G1284" s="23">
        <v>0</v>
      </c>
      <c r="H1284" s="23">
        <v>0</v>
      </c>
      <c r="I1284" s="23">
        <v>0</v>
      </c>
      <c r="J1284" s="23">
        <v>14283.4594</v>
      </c>
      <c r="N1284" s="23"/>
      <c r="O1284" s="23"/>
      <c r="P1284" s="23"/>
      <c r="Q1284" s="23"/>
      <c r="R1284" s="23"/>
      <c r="S1284" s="23"/>
      <c r="T1284" s="23"/>
      <c r="U1284" s="23"/>
    </row>
    <row r="1285" spans="1:21" x14ac:dyDescent="0.2">
      <c r="A1285" s="23">
        <v>18</v>
      </c>
      <c r="B1285" s="23">
        <v>1</v>
      </c>
      <c r="C1285" s="23">
        <v>30.03</v>
      </c>
      <c r="D1285" s="23">
        <v>1</v>
      </c>
      <c r="E1285" s="23">
        <v>0</v>
      </c>
      <c r="F1285" s="23">
        <v>0</v>
      </c>
      <c r="G1285" s="23">
        <v>1</v>
      </c>
      <c r="H1285" s="23">
        <v>0</v>
      </c>
      <c r="I1285" s="23">
        <v>0</v>
      </c>
      <c r="J1285" s="23">
        <v>1720.3536999999999</v>
      </c>
      <c r="N1285" s="23"/>
      <c r="O1285" s="23"/>
      <c r="P1285" s="23"/>
      <c r="Q1285" s="23"/>
      <c r="R1285" s="23"/>
      <c r="S1285" s="23"/>
      <c r="T1285" s="23"/>
      <c r="U1285" s="23"/>
    </row>
    <row r="1286" spans="1:21" x14ac:dyDescent="0.2">
      <c r="A1286" s="23">
        <v>61</v>
      </c>
      <c r="B1286" s="23">
        <v>1</v>
      </c>
      <c r="C1286" s="23">
        <v>36.299999999999997</v>
      </c>
      <c r="D1286" s="23">
        <v>1</v>
      </c>
      <c r="E1286" s="23">
        <v>1</v>
      </c>
      <c r="F1286" s="23">
        <v>0</v>
      </c>
      <c r="G1286" s="23">
        <v>0</v>
      </c>
      <c r="H1286" s="23">
        <v>1</v>
      </c>
      <c r="I1286" s="23">
        <v>0</v>
      </c>
      <c r="J1286" s="23">
        <v>47403.88</v>
      </c>
      <c r="N1286" s="23"/>
      <c r="O1286" s="23"/>
      <c r="P1286" s="23"/>
      <c r="Q1286" s="23"/>
      <c r="R1286" s="23"/>
      <c r="S1286" s="23"/>
      <c r="T1286" s="23"/>
      <c r="U1286" s="23"/>
    </row>
    <row r="1287" spans="1:21" x14ac:dyDescent="0.2">
      <c r="A1287" s="23">
        <v>47</v>
      </c>
      <c r="B1287" s="23">
        <v>0</v>
      </c>
      <c r="C1287" s="23">
        <v>24.32</v>
      </c>
      <c r="D1287" s="23">
        <v>0</v>
      </c>
      <c r="E1287" s="23">
        <v>0</v>
      </c>
      <c r="F1287" s="23">
        <v>1</v>
      </c>
      <c r="G1287" s="23">
        <v>0</v>
      </c>
      <c r="H1287" s="23">
        <v>0</v>
      </c>
      <c r="I1287" s="23">
        <v>0</v>
      </c>
      <c r="J1287" s="23">
        <v>8534.6718000000001</v>
      </c>
      <c r="N1287" s="23"/>
      <c r="O1287" s="23"/>
      <c r="P1287" s="23"/>
      <c r="Q1287" s="23"/>
      <c r="R1287" s="23"/>
      <c r="S1287" s="23"/>
      <c r="T1287" s="23"/>
      <c r="U1287" s="23"/>
    </row>
    <row r="1288" spans="1:21" x14ac:dyDescent="0.2">
      <c r="A1288" s="23">
        <v>28</v>
      </c>
      <c r="B1288" s="23">
        <v>0</v>
      </c>
      <c r="C1288" s="23">
        <v>17.29</v>
      </c>
      <c r="D1288" s="23">
        <v>0</v>
      </c>
      <c r="E1288" s="23">
        <v>0</v>
      </c>
      <c r="F1288" s="23">
        <v>1</v>
      </c>
      <c r="G1288" s="23">
        <v>0</v>
      </c>
      <c r="H1288" s="23">
        <v>0</v>
      </c>
      <c r="I1288" s="23">
        <v>0</v>
      </c>
      <c r="J1288" s="23">
        <v>3732.6251000000002</v>
      </c>
      <c r="N1288" s="23"/>
      <c r="O1288" s="23"/>
      <c r="P1288" s="23"/>
      <c r="Q1288" s="23"/>
      <c r="R1288" s="23"/>
      <c r="S1288" s="23"/>
      <c r="T1288" s="23"/>
      <c r="U1288" s="23"/>
    </row>
    <row r="1289" spans="1:21" x14ac:dyDescent="0.2">
      <c r="A1289" s="23">
        <v>36</v>
      </c>
      <c r="B1289" s="23">
        <v>0</v>
      </c>
      <c r="C1289" s="23">
        <v>25.9</v>
      </c>
      <c r="D1289" s="23">
        <v>1</v>
      </c>
      <c r="E1289" s="23">
        <v>0</v>
      </c>
      <c r="F1289" s="23">
        <v>0</v>
      </c>
      <c r="G1289" s="23">
        <v>0</v>
      </c>
      <c r="H1289" s="23">
        <v>1</v>
      </c>
      <c r="I1289" s="23">
        <v>0</v>
      </c>
      <c r="J1289" s="23">
        <v>5472.4489999999996</v>
      </c>
      <c r="N1289" s="23"/>
      <c r="O1289" s="23"/>
      <c r="P1289" s="23"/>
      <c r="Q1289" s="23"/>
      <c r="R1289" s="23"/>
      <c r="S1289" s="23"/>
      <c r="T1289" s="23"/>
      <c r="U1289" s="23"/>
    </row>
    <row r="1290" spans="1:21" x14ac:dyDescent="0.2">
      <c r="A1290" s="23">
        <v>20</v>
      </c>
      <c r="B1290" s="23">
        <v>1</v>
      </c>
      <c r="C1290" s="23">
        <v>39.4</v>
      </c>
      <c r="D1290" s="23">
        <v>2</v>
      </c>
      <c r="E1290" s="23">
        <v>1</v>
      </c>
      <c r="F1290" s="23">
        <v>0</v>
      </c>
      <c r="G1290" s="23">
        <v>0</v>
      </c>
      <c r="H1290" s="23">
        <v>1</v>
      </c>
      <c r="I1290" s="23">
        <v>0</v>
      </c>
      <c r="J1290" s="23">
        <v>38344.565999999999</v>
      </c>
      <c r="N1290" s="23"/>
      <c r="O1290" s="23"/>
      <c r="P1290" s="23"/>
      <c r="Q1290" s="23"/>
      <c r="R1290" s="23"/>
      <c r="S1290" s="23"/>
      <c r="T1290" s="23"/>
      <c r="U1290" s="23"/>
    </row>
    <row r="1291" spans="1:21" x14ac:dyDescent="0.2">
      <c r="A1291" s="23">
        <v>44</v>
      </c>
      <c r="B1291" s="23">
        <v>1</v>
      </c>
      <c r="C1291" s="23">
        <v>34.32</v>
      </c>
      <c r="D1291" s="23">
        <v>1</v>
      </c>
      <c r="E1291" s="23">
        <v>0</v>
      </c>
      <c r="F1291" s="23">
        <v>0</v>
      </c>
      <c r="G1291" s="23">
        <v>1</v>
      </c>
      <c r="H1291" s="23">
        <v>0</v>
      </c>
      <c r="I1291" s="23">
        <v>0</v>
      </c>
      <c r="J1291" s="23">
        <v>7147.4727999999996</v>
      </c>
      <c r="N1291" s="23"/>
      <c r="O1291" s="23"/>
      <c r="P1291" s="23"/>
      <c r="Q1291" s="23"/>
      <c r="R1291" s="23"/>
      <c r="S1291" s="23"/>
      <c r="T1291" s="23"/>
      <c r="U1291" s="23"/>
    </row>
    <row r="1292" spans="1:21" x14ac:dyDescent="0.2">
      <c r="A1292" s="23">
        <v>38</v>
      </c>
      <c r="B1292" s="23">
        <v>0</v>
      </c>
      <c r="C1292" s="23">
        <v>19.95</v>
      </c>
      <c r="D1292" s="23">
        <v>2</v>
      </c>
      <c r="E1292" s="23">
        <v>0</v>
      </c>
      <c r="F1292" s="23">
        <v>1</v>
      </c>
      <c r="G1292" s="23">
        <v>0</v>
      </c>
      <c r="H1292" s="23">
        <v>0</v>
      </c>
      <c r="I1292" s="23">
        <v>0</v>
      </c>
      <c r="J1292" s="23">
        <v>7133.9025000000001</v>
      </c>
      <c r="N1292" s="23"/>
      <c r="O1292" s="23"/>
      <c r="P1292" s="23"/>
      <c r="Q1292" s="23"/>
      <c r="R1292" s="23"/>
      <c r="S1292" s="23"/>
      <c r="T1292" s="23"/>
      <c r="U1292" s="23"/>
    </row>
    <row r="1293" spans="1:21" x14ac:dyDescent="0.2">
      <c r="A1293" s="23">
        <v>19</v>
      </c>
      <c r="B1293" s="23">
        <v>1</v>
      </c>
      <c r="C1293" s="23">
        <v>34.9</v>
      </c>
      <c r="D1293" s="23">
        <v>0</v>
      </c>
      <c r="E1293" s="23">
        <v>1</v>
      </c>
      <c r="F1293" s="23">
        <v>0</v>
      </c>
      <c r="G1293" s="23">
        <v>0</v>
      </c>
      <c r="H1293" s="23">
        <v>1</v>
      </c>
      <c r="I1293" s="23">
        <v>0</v>
      </c>
      <c r="J1293" s="23">
        <v>34828.654000000002</v>
      </c>
      <c r="N1293" s="23"/>
      <c r="O1293" s="23"/>
      <c r="P1293" s="23"/>
      <c r="Q1293" s="23"/>
      <c r="R1293" s="23"/>
      <c r="S1293" s="23"/>
      <c r="T1293" s="23"/>
      <c r="U1293" s="23"/>
    </row>
    <row r="1294" spans="1:21" x14ac:dyDescent="0.2">
      <c r="A1294" s="23">
        <v>21</v>
      </c>
      <c r="B1294" s="23">
        <v>1</v>
      </c>
      <c r="C1294" s="23">
        <v>23.21</v>
      </c>
      <c r="D1294" s="23">
        <v>0</v>
      </c>
      <c r="E1294" s="23">
        <v>0</v>
      </c>
      <c r="F1294" s="23">
        <v>0</v>
      </c>
      <c r="G1294" s="23">
        <v>1</v>
      </c>
      <c r="H1294" s="23">
        <v>0</v>
      </c>
      <c r="I1294" s="23">
        <v>0</v>
      </c>
      <c r="J1294" s="23">
        <v>1515.3449000000001</v>
      </c>
      <c r="N1294" s="23"/>
      <c r="O1294" s="23"/>
      <c r="P1294" s="23"/>
      <c r="Q1294" s="23"/>
      <c r="R1294" s="23"/>
      <c r="S1294" s="23"/>
      <c r="T1294" s="23"/>
      <c r="U1294" s="23"/>
    </row>
    <row r="1295" spans="1:21" x14ac:dyDescent="0.2">
      <c r="A1295" s="23">
        <v>46</v>
      </c>
      <c r="B1295" s="23">
        <v>1</v>
      </c>
      <c r="C1295" s="23">
        <v>25.745000000000001</v>
      </c>
      <c r="D1295" s="23">
        <v>3</v>
      </c>
      <c r="E1295" s="23">
        <v>0</v>
      </c>
      <c r="F1295" s="23">
        <v>0</v>
      </c>
      <c r="G1295" s="23">
        <v>0</v>
      </c>
      <c r="H1295" s="23">
        <v>0</v>
      </c>
      <c r="I1295" s="23">
        <v>1</v>
      </c>
      <c r="J1295" s="23">
        <v>9301.8935500000007</v>
      </c>
      <c r="N1295" s="23"/>
      <c r="O1295" s="23"/>
      <c r="P1295" s="23"/>
      <c r="Q1295" s="23"/>
      <c r="R1295" s="23"/>
      <c r="S1295" s="23"/>
      <c r="T1295" s="23"/>
      <c r="U1295" s="23"/>
    </row>
    <row r="1296" spans="1:21" x14ac:dyDescent="0.2">
      <c r="A1296" s="23">
        <v>58</v>
      </c>
      <c r="B1296" s="23">
        <v>1</v>
      </c>
      <c r="C1296" s="23">
        <v>25.175000000000001</v>
      </c>
      <c r="D1296" s="23">
        <v>0</v>
      </c>
      <c r="E1296" s="23">
        <v>0</v>
      </c>
      <c r="F1296" s="23">
        <v>1</v>
      </c>
      <c r="G1296" s="23">
        <v>0</v>
      </c>
      <c r="H1296" s="23">
        <v>0</v>
      </c>
      <c r="I1296" s="23">
        <v>0</v>
      </c>
      <c r="J1296" s="23">
        <v>11931.125249999999</v>
      </c>
      <c r="N1296" s="23"/>
      <c r="O1296" s="23"/>
      <c r="P1296" s="23"/>
      <c r="Q1296" s="23"/>
      <c r="R1296" s="23"/>
      <c r="S1296" s="23"/>
      <c r="T1296" s="23"/>
      <c r="U1296" s="23"/>
    </row>
    <row r="1297" spans="1:21" x14ac:dyDescent="0.2">
      <c r="A1297" s="23">
        <v>20</v>
      </c>
      <c r="B1297" s="23">
        <v>1</v>
      </c>
      <c r="C1297" s="23">
        <v>22</v>
      </c>
      <c r="D1297" s="23">
        <v>1</v>
      </c>
      <c r="E1297" s="23">
        <v>0</v>
      </c>
      <c r="F1297" s="23">
        <v>0</v>
      </c>
      <c r="G1297" s="23">
        <v>0</v>
      </c>
      <c r="H1297" s="23">
        <v>1</v>
      </c>
      <c r="I1297" s="23">
        <v>0</v>
      </c>
      <c r="J1297" s="23">
        <v>1964.78</v>
      </c>
      <c r="N1297" s="23"/>
      <c r="O1297" s="23"/>
      <c r="P1297" s="23"/>
      <c r="Q1297" s="23"/>
      <c r="R1297" s="23"/>
      <c r="S1297" s="23"/>
      <c r="T1297" s="23"/>
      <c r="U1297" s="23"/>
    </row>
    <row r="1298" spans="1:21" x14ac:dyDescent="0.2">
      <c r="A1298" s="23">
        <v>18</v>
      </c>
      <c r="B1298" s="23">
        <v>1</v>
      </c>
      <c r="C1298" s="23">
        <v>26.125</v>
      </c>
      <c r="D1298" s="23">
        <v>0</v>
      </c>
      <c r="E1298" s="23">
        <v>0</v>
      </c>
      <c r="F1298" s="23">
        <v>1</v>
      </c>
      <c r="G1298" s="23">
        <v>0</v>
      </c>
      <c r="H1298" s="23">
        <v>0</v>
      </c>
      <c r="I1298" s="23">
        <v>0</v>
      </c>
      <c r="J1298" s="23">
        <v>1708.9257500000001</v>
      </c>
      <c r="N1298" s="23"/>
      <c r="O1298" s="23"/>
      <c r="P1298" s="23"/>
      <c r="Q1298" s="23"/>
      <c r="R1298" s="23"/>
      <c r="S1298" s="23"/>
      <c r="T1298" s="23"/>
      <c r="U1298" s="23"/>
    </row>
    <row r="1299" spans="1:21" x14ac:dyDescent="0.2">
      <c r="A1299" s="23">
        <v>28</v>
      </c>
      <c r="B1299" s="23">
        <v>0</v>
      </c>
      <c r="C1299" s="23">
        <v>26.51</v>
      </c>
      <c r="D1299" s="23">
        <v>2</v>
      </c>
      <c r="E1299" s="23">
        <v>0</v>
      </c>
      <c r="F1299" s="23">
        <v>0</v>
      </c>
      <c r="G1299" s="23">
        <v>1</v>
      </c>
      <c r="H1299" s="23">
        <v>0</v>
      </c>
      <c r="I1299" s="23">
        <v>0</v>
      </c>
      <c r="J1299" s="23">
        <v>4340.4408999999996</v>
      </c>
      <c r="N1299" s="23"/>
      <c r="O1299" s="23"/>
      <c r="P1299" s="23"/>
      <c r="Q1299" s="23"/>
      <c r="R1299" s="23"/>
      <c r="S1299" s="23"/>
      <c r="T1299" s="23"/>
      <c r="U1299" s="23"/>
    </row>
    <row r="1300" spans="1:21" x14ac:dyDescent="0.2">
      <c r="A1300" s="23">
        <v>33</v>
      </c>
      <c r="B1300" s="23">
        <v>1</v>
      </c>
      <c r="C1300" s="23">
        <v>27.454999999999998</v>
      </c>
      <c r="D1300" s="23">
        <v>2</v>
      </c>
      <c r="E1300" s="23">
        <v>0</v>
      </c>
      <c r="F1300" s="23">
        <v>0</v>
      </c>
      <c r="G1300" s="23">
        <v>0</v>
      </c>
      <c r="H1300" s="23">
        <v>0</v>
      </c>
      <c r="I1300" s="23">
        <v>1</v>
      </c>
      <c r="J1300" s="23">
        <v>5261.4694499999996</v>
      </c>
      <c r="N1300" s="23"/>
      <c r="O1300" s="23"/>
      <c r="P1300" s="23"/>
      <c r="Q1300" s="23"/>
      <c r="R1300" s="23"/>
      <c r="S1300" s="23"/>
      <c r="T1300" s="23"/>
      <c r="U1300" s="23"/>
    </row>
    <row r="1301" spans="1:21" x14ac:dyDescent="0.2">
      <c r="A1301" s="23">
        <v>19</v>
      </c>
      <c r="B1301" s="23">
        <v>0</v>
      </c>
      <c r="C1301" s="23">
        <v>25.745000000000001</v>
      </c>
      <c r="D1301" s="23">
        <v>1</v>
      </c>
      <c r="E1301" s="23">
        <v>0</v>
      </c>
      <c r="F1301" s="23">
        <v>0</v>
      </c>
      <c r="G1301" s="23">
        <v>0</v>
      </c>
      <c r="H1301" s="23">
        <v>0</v>
      </c>
      <c r="I1301" s="23">
        <v>1</v>
      </c>
      <c r="J1301" s="23">
        <v>2710.8285500000002</v>
      </c>
      <c r="N1301" s="23"/>
      <c r="O1301" s="23"/>
      <c r="P1301" s="23"/>
      <c r="Q1301" s="23"/>
      <c r="R1301" s="23"/>
      <c r="S1301" s="23"/>
      <c r="T1301" s="23"/>
      <c r="U1301" s="23"/>
    </row>
    <row r="1302" spans="1:21" x14ac:dyDescent="0.2">
      <c r="A1302" s="23">
        <v>45</v>
      </c>
      <c r="B1302" s="23">
        <v>1</v>
      </c>
      <c r="C1302" s="23">
        <v>30.36</v>
      </c>
      <c r="D1302" s="23">
        <v>0</v>
      </c>
      <c r="E1302" s="23">
        <v>1</v>
      </c>
      <c r="F1302" s="23">
        <v>0</v>
      </c>
      <c r="G1302" s="23">
        <v>1</v>
      </c>
      <c r="H1302" s="23">
        <v>0</v>
      </c>
      <c r="I1302" s="23">
        <v>0</v>
      </c>
      <c r="J1302" s="23">
        <v>62592.873090000001</v>
      </c>
      <c r="N1302" s="23"/>
      <c r="O1302" s="23"/>
      <c r="P1302" s="23"/>
      <c r="Q1302" s="23"/>
      <c r="R1302" s="23"/>
      <c r="S1302" s="23"/>
      <c r="T1302" s="23"/>
      <c r="U1302" s="23"/>
    </row>
    <row r="1303" spans="1:21" x14ac:dyDescent="0.2">
      <c r="A1303" s="23">
        <v>62</v>
      </c>
      <c r="B1303" s="23">
        <v>1</v>
      </c>
      <c r="C1303" s="23">
        <v>30.875</v>
      </c>
      <c r="D1303" s="23">
        <v>3</v>
      </c>
      <c r="E1303" s="23">
        <v>1</v>
      </c>
      <c r="F1303" s="23">
        <v>0</v>
      </c>
      <c r="G1303" s="23">
        <v>0</v>
      </c>
      <c r="H1303" s="23">
        <v>0</v>
      </c>
      <c r="I1303" s="23">
        <v>1</v>
      </c>
      <c r="J1303" s="23">
        <v>46718.163249999998</v>
      </c>
      <c r="N1303" s="23"/>
      <c r="O1303" s="23"/>
      <c r="P1303" s="23"/>
      <c r="Q1303" s="23"/>
      <c r="R1303" s="23"/>
      <c r="S1303" s="23"/>
      <c r="T1303" s="23"/>
      <c r="U1303" s="23"/>
    </row>
    <row r="1304" spans="1:21" x14ac:dyDescent="0.2">
      <c r="A1304" s="23">
        <v>25</v>
      </c>
      <c r="B1304" s="23">
        <v>0</v>
      </c>
      <c r="C1304" s="23">
        <v>20.8</v>
      </c>
      <c r="D1304" s="23">
        <v>1</v>
      </c>
      <c r="E1304" s="23">
        <v>0</v>
      </c>
      <c r="F1304" s="23">
        <v>0</v>
      </c>
      <c r="G1304" s="23">
        <v>0</v>
      </c>
      <c r="H1304" s="23">
        <v>1</v>
      </c>
      <c r="I1304" s="23">
        <v>0</v>
      </c>
      <c r="J1304" s="23">
        <v>3208.7869999999998</v>
      </c>
      <c r="N1304" s="23"/>
      <c r="O1304" s="23"/>
      <c r="P1304" s="23"/>
      <c r="Q1304" s="23"/>
      <c r="R1304" s="23"/>
      <c r="S1304" s="23"/>
      <c r="T1304" s="23"/>
      <c r="U1304" s="23"/>
    </row>
    <row r="1305" spans="1:21" x14ac:dyDescent="0.2">
      <c r="A1305" s="23">
        <v>43</v>
      </c>
      <c r="B1305" s="23">
        <v>1</v>
      </c>
      <c r="C1305" s="23">
        <v>27.8</v>
      </c>
      <c r="D1305" s="23">
        <v>0</v>
      </c>
      <c r="E1305" s="23">
        <v>1</v>
      </c>
      <c r="F1305" s="23">
        <v>0</v>
      </c>
      <c r="G1305" s="23">
        <v>0</v>
      </c>
      <c r="H1305" s="23">
        <v>1</v>
      </c>
      <c r="I1305" s="23">
        <v>0</v>
      </c>
      <c r="J1305" s="23">
        <v>37829.724199999997</v>
      </c>
      <c r="N1305" s="23"/>
      <c r="O1305" s="23"/>
      <c r="P1305" s="23"/>
      <c r="Q1305" s="23"/>
      <c r="R1305" s="23"/>
      <c r="S1305" s="23"/>
      <c r="T1305" s="23"/>
      <c r="U1305" s="23"/>
    </row>
    <row r="1306" spans="1:21" x14ac:dyDescent="0.2">
      <c r="A1306" s="23">
        <v>42</v>
      </c>
      <c r="B1306" s="23">
        <v>1</v>
      </c>
      <c r="C1306" s="23">
        <v>24.605</v>
      </c>
      <c r="D1306" s="23">
        <v>2</v>
      </c>
      <c r="E1306" s="23">
        <v>1</v>
      </c>
      <c r="F1306" s="23">
        <v>1</v>
      </c>
      <c r="G1306" s="23">
        <v>0</v>
      </c>
      <c r="H1306" s="23">
        <v>0</v>
      </c>
      <c r="I1306" s="23">
        <v>0</v>
      </c>
      <c r="J1306" s="23">
        <v>21259.377949999998</v>
      </c>
      <c r="N1306" s="23"/>
      <c r="O1306" s="23"/>
      <c r="P1306" s="23"/>
      <c r="Q1306" s="23"/>
      <c r="R1306" s="23"/>
      <c r="S1306" s="23"/>
      <c r="T1306" s="23"/>
      <c r="U1306" s="23"/>
    </row>
    <row r="1307" spans="1:21" x14ac:dyDescent="0.2">
      <c r="A1307" s="23">
        <v>24</v>
      </c>
      <c r="B1307" s="23">
        <v>0</v>
      </c>
      <c r="C1307" s="23">
        <v>27.72</v>
      </c>
      <c r="D1307" s="23">
        <v>0</v>
      </c>
      <c r="E1307" s="23">
        <v>0</v>
      </c>
      <c r="F1307" s="23">
        <v>0</v>
      </c>
      <c r="G1307" s="23">
        <v>1</v>
      </c>
      <c r="H1307" s="23">
        <v>0</v>
      </c>
      <c r="I1307" s="23">
        <v>0</v>
      </c>
      <c r="J1307" s="23">
        <v>2464.6188000000002</v>
      </c>
      <c r="N1307" s="23"/>
      <c r="O1307" s="23"/>
      <c r="P1307" s="23"/>
      <c r="Q1307" s="23"/>
      <c r="R1307" s="23"/>
      <c r="S1307" s="23"/>
      <c r="T1307" s="23"/>
      <c r="U1307" s="23"/>
    </row>
    <row r="1308" spans="1:21" x14ac:dyDescent="0.2">
      <c r="A1308" s="23">
        <v>29</v>
      </c>
      <c r="B1308" s="23">
        <v>0</v>
      </c>
      <c r="C1308" s="23">
        <v>21.85</v>
      </c>
      <c r="D1308" s="23">
        <v>0</v>
      </c>
      <c r="E1308" s="23">
        <v>1</v>
      </c>
      <c r="F1308" s="23">
        <v>1</v>
      </c>
      <c r="G1308" s="23">
        <v>0</v>
      </c>
      <c r="H1308" s="23">
        <v>0</v>
      </c>
      <c r="I1308" s="23">
        <v>0</v>
      </c>
      <c r="J1308" s="23">
        <v>16115.3045</v>
      </c>
      <c r="N1308" s="23"/>
      <c r="O1308" s="23"/>
      <c r="P1308" s="23"/>
      <c r="Q1308" s="23"/>
      <c r="R1308" s="23"/>
      <c r="S1308" s="23"/>
      <c r="T1308" s="23"/>
      <c r="U1308" s="23"/>
    </row>
    <row r="1309" spans="1:21" x14ac:dyDescent="0.2">
      <c r="A1309" s="23">
        <v>32</v>
      </c>
      <c r="B1309" s="23">
        <v>1</v>
      </c>
      <c r="C1309" s="23">
        <v>28.12</v>
      </c>
      <c r="D1309" s="23">
        <v>4</v>
      </c>
      <c r="E1309" s="23">
        <v>1</v>
      </c>
      <c r="F1309" s="23">
        <v>0</v>
      </c>
      <c r="G1309" s="23">
        <v>0</v>
      </c>
      <c r="H1309" s="23">
        <v>0</v>
      </c>
      <c r="I1309" s="23">
        <v>1</v>
      </c>
      <c r="J1309" s="23">
        <v>21472.478800000001</v>
      </c>
      <c r="N1309" s="23"/>
      <c r="O1309" s="23"/>
      <c r="P1309" s="23"/>
      <c r="Q1309" s="23"/>
      <c r="R1309" s="23"/>
      <c r="S1309" s="23"/>
      <c r="T1309" s="23"/>
      <c r="U1309" s="23"/>
    </row>
    <row r="1310" spans="1:21" x14ac:dyDescent="0.2">
      <c r="A1310" s="23">
        <v>25</v>
      </c>
      <c r="B1310" s="23">
        <v>0</v>
      </c>
      <c r="C1310" s="23">
        <v>30.2</v>
      </c>
      <c r="D1310" s="23">
        <v>0</v>
      </c>
      <c r="E1310" s="23">
        <v>1</v>
      </c>
      <c r="F1310" s="23">
        <v>0</v>
      </c>
      <c r="G1310" s="23">
        <v>0</v>
      </c>
      <c r="H1310" s="23">
        <v>1</v>
      </c>
      <c r="I1310" s="23">
        <v>0</v>
      </c>
      <c r="J1310" s="23">
        <v>33900.652999999998</v>
      </c>
      <c r="N1310" s="23"/>
      <c r="O1310" s="23"/>
      <c r="P1310" s="23"/>
      <c r="Q1310" s="23"/>
      <c r="R1310" s="23"/>
      <c r="S1310" s="23"/>
      <c r="T1310" s="23"/>
      <c r="U1310" s="23"/>
    </row>
    <row r="1311" spans="1:21" x14ac:dyDescent="0.2">
      <c r="A1311" s="23">
        <v>41</v>
      </c>
      <c r="B1311" s="23">
        <v>1</v>
      </c>
      <c r="C1311" s="23">
        <v>32.200000000000003</v>
      </c>
      <c r="D1311" s="23">
        <v>2</v>
      </c>
      <c r="E1311" s="23">
        <v>0</v>
      </c>
      <c r="F1311" s="23">
        <v>0</v>
      </c>
      <c r="G1311" s="23">
        <v>0</v>
      </c>
      <c r="H1311" s="23">
        <v>1</v>
      </c>
      <c r="I1311" s="23">
        <v>0</v>
      </c>
      <c r="J1311" s="23">
        <v>6875.9610000000002</v>
      </c>
      <c r="N1311" s="23"/>
      <c r="O1311" s="23"/>
      <c r="P1311" s="23"/>
      <c r="Q1311" s="23"/>
      <c r="R1311" s="23"/>
      <c r="S1311" s="23"/>
      <c r="T1311" s="23"/>
      <c r="U1311" s="23"/>
    </row>
    <row r="1312" spans="1:21" x14ac:dyDescent="0.2">
      <c r="A1312" s="23">
        <v>42</v>
      </c>
      <c r="B1312" s="23">
        <v>1</v>
      </c>
      <c r="C1312" s="23">
        <v>26.315000000000001</v>
      </c>
      <c r="D1312" s="23">
        <v>1</v>
      </c>
      <c r="E1312" s="23">
        <v>0</v>
      </c>
      <c r="F1312" s="23">
        <v>0</v>
      </c>
      <c r="G1312" s="23">
        <v>0</v>
      </c>
      <c r="H1312" s="23">
        <v>0</v>
      </c>
      <c r="I1312" s="23">
        <v>1</v>
      </c>
      <c r="J1312" s="23">
        <v>6940.90985</v>
      </c>
      <c r="N1312" s="23"/>
      <c r="O1312" s="23"/>
      <c r="P1312" s="23"/>
      <c r="Q1312" s="23"/>
      <c r="R1312" s="23"/>
      <c r="S1312" s="23"/>
      <c r="T1312" s="23"/>
      <c r="U1312" s="23"/>
    </row>
    <row r="1313" spans="1:21" x14ac:dyDescent="0.2">
      <c r="A1313" s="23">
        <v>33</v>
      </c>
      <c r="B1313" s="23">
        <v>0</v>
      </c>
      <c r="C1313" s="23">
        <v>26.695</v>
      </c>
      <c r="D1313" s="23">
        <v>0</v>
      </c>
      <c r="E1313" s="23">
        <v>0</v>
      </c>
      <c r="F1313" s="23">
        <v>0</v>
      </c>
      <c r="G1313" s="23">
        <v>0</v>
      </c>
      <c r="H1313" s="23">
        <v>0</v>
      </c>
      <c r="I1313" s="23">
        <v>1</v>
      </c>
      <c r="J1313" s="23">
        <v>4571.4130500000001</v>
      </c>
      <c r="N1313" s="23"/>
      <c r="O1313" s="23"/>
      <c r="P1313" s="23"/>
      <c r="Q1313" s="23"/>
      <c r="R1313" s="23"/>
      <c r="S1313" s="23"/>
      <c r="T1313" s="23"/>
      <c r="U1313" s="23"/>
    </row>
    <row r="1314" spans="1:21" x14ac:dyDescent="0.2">
      <c r="A1314" s="23">
        <v>34</v>
      </c>
      <c r="B1314" s="23">
        <v>1</v>
      </c>
      <c r="C1314" s="23">
        <v>42.9</v>
      </c>
      <c r="D1314" s="23">
        <v>1</v>
      </c>
      <c r="E1314" s="23">
        <v>0</v>
      </c>
      <c r="F1314" s="23">
        <v>0</v>
      </c>
      <c r="G1314" s="23">
        <v>0</v>
      </c>
      <c r="H1314" s="23">
        <v>1</v>
      </c>
      <c r="I1314" s="23">
        <v>0</v>
      </c>
      <c r="J1314" s="23">
        <v>4536.259</v>
      </c>
      <c r="N1314" s="23"/>
      <c r="O1314" s="23"/>
      <c r="P1314" s="23"/>
      <c r="Q1314" s="23"/>
      <c r="R1314" s="23"/>
      <c r="S1314" s="23"/>
      <c r="T1314" s="23"/>
      <c r="U1314" s="23"/>
    </row>
    <row r="1315" spans="1:21" x14ac:dyDescent="0.2">
      <c r="A1315" s="23">
        <v>19</v>
      </c>
      <c r="B1315" s="23">
        <v>0</v>
      </c>
      <c r="C1315" s="23">
        <v>34.700000000000003</v>
      </c>
      <c r="D1315" s="23">
        <v>2</v>
      </c>
      <c r="E1315" s="23">
        <v>1</v>
      </c>
      <c r="F1315" s="23">
        <v>0</v>
      </c>
      <c r="G1315" s="23">
        <v>0</v>
      </c>
      <c r="H1315" s="23">
        <v>1</v>
      </c>
      <c r="I1315" s="23">
        <v>0</v>
      </c>
      <c r="J1315" s="23">
        <v>36397.576000000001</v>
      </c>
      <c r="N1315" s="23"/>
      <c r="O1315" s="23"/>
      <c r="P1315" s="23"/>
      <c r="Q1315" s="23"/>
      <c r="R1315" s="23"/>
      <c r="S1315" s="23"/>
      <c r="T1315" s="23"/>
      <c r="U1315" s="23"/>
    </row>
    <row r="1316" spans="1:21" x14ac:dyDescent="0.2">
      <c r="A1316" s="23">
        <v>30</v>
      </c>
      <c r="B1316" s="23">
        <v>0</v>
      </c>
      <c r="C1316" s="23">
        <v>23.655000000000001</v>
      </c>
      <c r="D1316" s="23">
        <v>3</v>
      </c>
      <c r="E1316" s="23">
        <v>1</v>
      </c>
      <c r="F1316" s="23">
        <v>0</v>
      </c>
      <c r="G1316" s="23">
        <v>0</v>
      </c>
      <c r="H1316" s="23">
        <v>0</v>
      </c>
      <c r="I1316" s="23">
        <v>1</v>
      </c>
      <c r="J1316" s="23">
        <v>18765.87545</v>
      </c>
      <c r="N1316" s="23"/>
      <c r="O1316" s="23"/>
      <c r="P1316" s="23"/>
      <c r="Q1316" s="23"/>
      <c r="R1316" s="23"/>
      <c r="S1316" s="23"/>
      <c r="T1316" s="23"/>
      <c r="U1316" s="23"/>
    </row>
    <row r="1317" spans="1:21" x14ac:dyDescent="0.2">
      <c r="A1317" s="23">
        <v>18</v>
      </c>
      <c r="B1317" s="23">
        <v>1</v>
      </c>
      <c r="C1317" s="23">
        <v>28.31</v>
      </c>
      <c r="D1317" s="23">
        <v>1</v>
      </c>
      <c r="E1317" s="23">
        <v>0</v>
      </c>
      <c r="F1317" s="23">
        <v>1</v>
      </c>
      <c r="G1317" s="23">
        <v>0</v>
      </c>
      <c r="H1317" s="23">
        <v>0</v>
      </c>
      <c r="I1317" s="23">
        <v>0</v>
      </c>
      <c r="J1317" s="23">
        <v>11272.331389999999</v>
      </c>
      <c r="N1317" s="23"/>
      <c r="O1317" s="23"/>
      <c r="P1317" s="23"/>
      <c r="Q1317" s="23"/>
      <c r="R1317" s="23"/>
      <c r="S1317" s="23"/>
      <c r="T1317" s="23"/>
      <c r="U1317" s="23"/>
    </row>
    <row r="1318" spans="1:21" x14ac:dyDescent="0.2">
      <c r="A1318" s="23">
        <v>19</v>
      </c>
      <c r="B1318" s="23">
        <v>0</v>
      </c>
      <c r="C1318" s="23">
        <v>20.6</v>
      </c>
      <c r="D1318" s="23">
        <v>0</v>
      </c>
      <c r="E1318" s="23">
        <v>0</v>
      </c>
      <c r="F1318" s="23">
        <v>0</v>
      </c>
      <c r="G1318" s="23">
        <v>0</v>
      </c>
      <c r="H1318" s="23">
        <v>1</v>
      </c>
      <c r="I1318" s="23">
        <v>0</v>
      </c>
      <c r="J1318" s="23">
        <v>1731.6769999999999</v>
      </c>
      <c r="N1318" s="23"/>
      <c r="O1318" s="23"/>
      <c r="P1318" s="23"/>
      <c r="Q1318" s="23"/>
      <c r="R1318" s="23"/>
      <c r="S1318" s="23"/>
      <c r="T1318" s="23"/>
      <c r="U1318" s="23"/>
    </row>
    <row r="1319" spans="1:21" x14ac:dyDescent="0.2">
      <c r="A1319" s="23">
        <v>18</v>
      </c>
      <c r="B1319" s="23">
        <v>1</v>
      </c>
      <c r="C1319" s="23">
        <v>53.13</v>
      </c>
      <c r="D1319" s="23">
        <v>0</v>
      </c>
      <c r="E1319" s="23">
        <v>0</v>
      </c>
      <c r="F1319" s="23">
        <v>0</v>
      </c>
      <c r="G1319" s="23">
        <v>1</v>
      </c>
      <c r="H1319" s="23">
        <v>0</v>
      </c>
      <c r="I1319" s="23">
        <v>0</v>
      </c>
      <c r="J1319" s="23">
        <v>1163.4627</v>
      </c>
      <c r="N1319" s="23"/>
      <c r="O1319" s="23"/>
      <c r="P1319" s="23"/>
      <c r="Q1319" s="23"/>
      <c r="R1319" s="23"/>
      <c r="S1319" s="23"/>
      <c r="T1319" s="23"/>
      <c r="U1319" s="23"/>
    </row>
    <row r="1320" spans="1:21" x14ac:dyDescent="0.2">
      <c r="A1320" s="23">
        <v>35</v>
      </c>
      <c r="B1320" s="23">
        <v>1</v>
      </c>
      <c r="C1320" s="23">
        <v>39.71</v>
      </c>
      <c r="D1320" s="23">
        <v>4</v>
      </c>
      <c r="E1320" s="23">
        <v>0</v>
      </c>
      <c r="F1320" s="23">
        <v>1</v>
      </c>
      <c r="G1320" s="23">
        <v>0</v>
      </c>
      <c r="H1320" s="23">
        <v>0</v>
      </c>
      <c r="I1320" s="23">
        <v>0</v>
      </c>
      <c r="J1320" s="23">
        <v>19496.71917</v>
      </c>
      <c r="N1320" s="23"/>
      <c r="O1320" s="23"/>
      <c r="P1320" s="23"/>
      <c r="Q1320" s="23"/>
      <c r="R1320" s="23"/>
      <c r="S1320" s="23"/>
      <c r="T1320" s="23"/>
      <c r="U1320" s="23"/>
    </row>
    <row r="1321" spans="1:21" x14ac:dyDescent="0.2">
      <c r="A1321" s="23">
        <v>39</v>
      </c>
      <c r="B1321" s="23">
        <v>0</v>
      </c>
      <c r="C1321" s="23">
        <v>26.315000000000001</v>
      </c>
      <c r="D1321" s="23">
        <v>2</v>
      </c>
      <c r="E1321" s="23">
        <v>0</v>
      </c>
      <c r="F1321" s="23">
        <v>0</v>
      </c>
      <c r="G1321" s="23">
        <v>0</v>
      </c>
      <c r="H1321" s="23">
        <v>0</v>
      </c>
      <c r="I1321" s="23">
        <v>1</v>
      </c>
      <c r="J1321" s="23">
        <v>7201.7008500000002</v>
      </c>
      <c r="N1321" s="23"/>
      <c r="O1321" s="23"/>
      <c r="P1321" s="23"/>
      <c r="Q1321" s="23"/>
      <c r="R1321" s="23"/>
      <c r="S1321" s="23"/>
      <c r="T1321" s="23"/>
      <c r="U1321" s="23"/>
    </row>
    <row r="1322" spans="1:21" x14ac:dyDescent="0.2">
      <c r="A1322" s="23">
        <v>31</v>
      </c>
      <c r="B1322" s="23">
        <v>1</v>
      </c>
      <c r="C1322" s="23">
        <v>31.065000000000001</v>
      </c>
      <c r="D1322" s="23">
        <v>3</v>
      </c>
      <c r="E1322" s="23">
        <v>0</v>
      </c>
      <c r="F1322" s="23">
        <v>0</v>
      </c>
      <c r="G1322" s="23">
        <v>0</v>
      </c>
      <c r="H1322" s="23">
        <v>0</v>
      </c>
      <c r="I1322" s="23">
        <v>1</v>
      </c>
      <c r="J1322" s="23">
        <v>5425.0233500000004</v>
      </c>
      <c r="N1322" s="23"/>
      <c r="O1322" s="23"/>
      <c r="P1322" s="23"/>
      <c r="Q1322" s="23"/>
      <c r="R1322" s="23"/>
      <c r="S1322" s="23"/>
      <c r="T1322" s="23"/>
      <c r="U1322" s="23"/>
    </row>
    <row r="1323" spans="1:21" x14ac:dyDescent="0.2">
      <c r="A1323" s="23">
        <v>62</v>
      </c>
      <c r="B1323" s="23">
        <v>1</v>
      </c>
      <c r="C1323" s="23">
        <v>26.695</v>
      </c>
      <c r="D1323" s="23">
        <v>0</v>
      </c>
      <c r="E1323" s="23">
        <v>1</v>
      </c>
      <c r="F1323" s="23">
        <v>1</v>
      </c>
      <c r="G1323" s="23">
        <v>0</v>
      </c>
      <c r="H1323" s="23">
        <v>0</v>
      </c>
      <c r="I1323" s="23">
        <v>0</v>
      </c>
      <c r="J1323" s="23">
        <v>28101.333050000001</v>
      </c>
      <c r="N1323" s="23"/>
      <c r="O1323" s="23"/>
      <c r="P1323" s="23"/>
      <c r="Q1323" s="23"/>
      <c r="R1323" s="23"/>
      <c r="S1323" s="23"/>
      <c r="T1323" s="23"/>
      <c r="U1323" s="23"/>
    </row>
    <row r="1324" spans="1:21" x14ac:dyDescent="0.2">
      <c r="A1324" s="23">
        <v>62</v>
      </c>
      <c r="B1324" s="23">
        <v>1</v>
      </c>
      <c r="C1324" s="23">
        <v>38.83</v>
      </c>
      <c r="D1324" s="23">
        <v>0</v>
      </c>
      <c r="E1324" s="23">
        <v>0</v>
      </c>
      <c r="F1324" s="23">
        <v>0</v>
      </c>
      <c r="G1324" s="23">
        <v>1</v>
      </c>
      <c r="H1324" s="23">
        <v>0</v>
      </c>
      <c r="I1324" s="23">
        <v>0</v>
      </c>
      <c r="J1324" s="23">
        <v>12981.3457</v>
      </c>
      <c r="N1324" s="23"/>
      <c r="O1324" s="23"/>
      <c r="P1324" s="23"/>
      <c r="Q1324" s="23"/>
      <c r="R1324" s="23"/>
      <c r="S1324" s="23"/>
      <c r="T1324" s="23"/>
      <c r="U1324" s="23"/>
    </row>
    <row r="1325" spans="1:21" x14ac:dyDescent="0.2">
      <c r="A1325" s="23">
        <v>42</v>
      </c>
      <c r="B1325" s="23">
        <v>0</v>
      </c>
      <c r="C1325" s="23">
        <v>40.369999999999997</v>
      </c>
      <c r="D1325" s="23">
        <v>2</v>
      </c>
      <c r="E1325" s="23">
        <v>1</v>
      </c>
      <c r="F1325" s="23">
        <v>0</v>
      </c>
      <c r="G1325" s="23">
        <v>1</v>
      </c>
      <c r="H1325" s="23">
        <v>0</v>
      </c>
      <c r="I1325" s="23">
        <v>0</v>
      </c>
      <c r="J1325" s="23">
        <v>43896.376300000004</v>
      </c>
      <c r="N1325" s="23"/>
      <c r="O1325" s="23"/>
      <c r="P1325" s="23"/>
      <c r="Q1325" s="23"/>
      <c r="R1325" s="23"/>
      <c r="S1325" s="23"/>
      <c r="T1325" s="23"/>
      <c r="U1325" s="23"/>
    </row>
    <row r="1326" spans="1:21" x14ac:dyDescent="0.2">
      <c r="A1326" s="23">
        <v>31</v>
      </c>
      <c r="B1326" s="23">
        <v>1</v>
      </c>
      <c r="C1326" s="23">
        <v>25.934999999999999</v>
      </c>
      <c r="D1326" s="23">
        <v>1</v>
      </c>
      <c r="E1326" s="23">
        <v>0</v>
      </c>
      <c r="F1326" s="23">
        <v>0</v>
      </c>
      <c r="G1326" s="23">
        <v>0</v>
      </c>
      <c r="H1326" s="23">
        <v>0</v>
      </c>
      <c r="I1326" s="23">
        <v>1</v>
      </c>
      <c r="J1326" s="23">
        <v>4239.8926499999998</v>
      </c>
      <c r="N1326" s="23"/>
      <c r="O1326" s="23"/>
      <c r="P1326" s="23"/>
      <c r="Q1326" s="23"/>
      <c r="R1326" s="23"/>
      <c r="S1326" s="23"/>
      <c r="T1326" s="23"/>
      <c r="U1326" s="23"/>
    </row>
    <row r="1327" spans="1:21" x14ac:dyDescent="0.2">
      <c r="A1327" s="23">
        <v>61</v>
      </c>
      <c r="B1327" s="23">
        <v>1</v>
      </c>
      <c r="C1327" s="23">
        <v>33.534999999999997</v>
      </c>
      <c r="D1327" s="23">
        <v>0</v>
      </c>
      <c r="E1327" s="23">
        <v>0</v>
      </c>
      <c r="F1327" s="23">
        <v>1</v>
      </c>
      <c r="G1327" s="23">
        <v>0</v>
      </c>
      <c r="H1327" s="23">
        <v>0</v>
      </c>
      <c r="I1327" s="23">
        <v>0</v>
      </c>
      <c r="J1327" s="23">
        <v>13143.336649999999</v>
      </c>
      <c r="N1327" s="23"/>
      <c r="O1327" s="23"/>
      <c r="P1327" s="23"/>
      <c r="Q1327" s="23"/>
      <c r="R1327" s="23"/>
      <c r="S1327" s="23"/>
      <c r="T1327" s="23"/>
      <c r="U1327" s="23"/>
    </row>
    <row r="1328" spans="1:21" x14ac:dyDescent="0.2">
      <c r="A1328" s="23">
        <v>42</v>
      </c>
      <c r="B1328" s="23">
        <v>0</v>
      </c>
      <c r="C1328" s="23">
        <v>32.869999999999997</v>
      </c>
      <c r="D1328" s="23">
        <v>0</v>
      </c>
      <c r="E1328" s="23">
        <v>0</v>
      </c>
      <c r="F1328" s="23">
        <v>1</v>
      </c>
      <c r="G1328" s="23">
        <v>0</v>
      </c>
      <c r="H1328" s="23">
        <v>0</v>
      </c>
      <c r="I1328" s="23">
        <v>0</v>
      </c>
      <c r="J1328" s="23">
        <v>7050.0213000000003</v>
      </c>
      <c r="N1328" s="23"/>
      <c r="O1328" s="23"/>
      <c r="P1328" s="23"/>
      <c r="Q1328" s="23"/>
      <c r="R1328" s="23"/>
      <c r="S1328" s="23"/>
      <c r="T1328" s="23"/>
      <c r="U1328" s="23"/>
    </row>
    <row r="1329" spans="1:21" x14ac:dyDescent="0.2">
      <c r="A1329" s="23">
        <v>51</v>
      </c>
      <c r="B1329" s="23">
        <v>1</v>
      </c>
      <c r="C1329" s="23">
        <v>30.03</v>
      </c>
      <c r="D1329" s="23">
        <v>1</v>
      </c>
      <c r="E1329" s="23">
        <v>0</v>
      </c>
      <c r="F1329" s="23">
        <v>0</v>
      </c>
      <c r="G1329" s="23">
        <v>1</v>
      </c>
      <c r="H1329" s="23">
        <v>0</v>
      </c>
      <c r="I1329" s="23">
        <v>0</v>
      </c>
      <c r="J1329" s="23">
        <v>9377.9046999999991</v>
      </c>
      <c r="N1329" s="23"/>
      <c r="O1329" s="23"/>
      <c r="P1329" s="23"/>
      <c r="Q1329" s="23"/>
      <c r="R1329" s="23"/>
      <c r="S1329" s="23"/>
      <c r="T1329" s="23"/>
      <c r="U1329" s="23"/>
    </row>
    <row r="1330" spans="1:21" x14ac:dyDescent="0.2">
      <c r="A1330" s="23">
        <v>23</v>
      </c>
      <c r="B1330" s="23">
        <v>0</v>
      </c>
      <c r="C1330" s="23">
        <v>24.225000000000001</v>
      </c>
      <c r="D1330" s="23">
        <v>2</v>
      </c>
      <c r="E1330" s="23">
        <v>0</v>
      </c>
      <c r="F1330" s="23">
        <v>1</v>
      </c>
      <c r="G1330" s="23">
        <v>0</v>
      </c>
      <c r="H1330" s="23">
        <v>0</v>
      </c>
      <c r="I1330" s="23">
        <v>0</v>
      </c>
      <c r="J1330" s="23">
        <v>22395.74424</v>
      </c>
      <c r="N1330" s="23"/>
      <c r="O1330" s="23"/>
      <c r="P1330" s="23"/>
      <c r="Q1330" s="23"/>
      <c r="R1330" s="23"/>
      <c r="S1330" s="23"/>
      <c r="T1330" s="23"/>
      <c r="U1330" s="23"/>
    </row>
    <row r="1331" spans="1:21" x14ac:dyDescent="0.2">
      <c r="A1331" s="23">
        <v>52</v>
      </c>
      <c r="B1331" s="23">
        <v>1</v>
      </c>
      <c r="C1331" s="23">
        <v>38.6</v>
      </c>
      <c r="D1331" s="23">
        <v>2</v>
      </c>
      <c r="E1331" s="23">
        <v>0</v>
      </c>
      <c r="F1331" s="23">
        <v>0</v>
      </c>
      <c r="G1331" s="23">
        <v>0</v>
      </c>
      <c r="H1331" s="23">
        <v>1</v>
      </c>
      <c r="I1331" s="23">
        <v>0</v>
      </c>
      <c r="J1331" s="23">
        <v>10325.206</v>
      </c>
      <c r="N1331" s="23"/>
      <c r="O1331" s="23"/>
      <c r="P1331" s="23"/>
      <c r="Q1331" s="23"/>
      <c r="R1331" s="23"/>
      <c r="S1331" s="23"/>
      <c r="T1331" s="23"/>
      <c r="U1331" s="23"/>
    </row>
    <row r="1332" spans="1:21" x14ac:dyDescent="0.2">
      <c r="A1332" s="23">
        <v>57</v>
      </c>
      <c r="B1332" s="23">
        <v>0</v>
      </c>
      <c r="C1332" s="23">
        <v>25.74</v>
      </c>
      <c r="D1332" s="23">
        <v>2</v>
      </c>
      <c r="E1332" s="23">
        <v>0</v>
      </c>
      <c r="F1332" s="23">
        <v>0</v>
      </c>
      <c r="G1332" s="23">
        <v>1</v>
      </c>
      <c r="H1332" s="23">
        <v>0</v>
      </c>
      <c r="I1332" s="23">
        <v>0</v>
      </c>
      <c r="J1332" s="23">
        <v>12629.1656</v>
      </c>
      <c r="N1332" s="23"/>
      <c r="O1332" s="23"/>
      <c r="P1332" s="23"/>
      <c r="Q1332" s="23"/>
      <c r="R1332" s="23"/>
      <c r="S1332" s="23"/>
      <c r="T1332" s="23"/>
      <c r="U1332" s="23"/>
    </row>
    <row r="1333" spans="1:21" x14ac:dyDescent="0.2">
      <c r="A1333" s="23">
        <v>23</v>
      </c>
      <c r="B1333" s="23">
        <v>0</v>
      </c>
      <c r="C1333" s="23">
        <v>33.4</v>
      </c>
      <c r="D1333" s="23">
        <v>0</v>
      </c>
      <c r="E1333" s="23">
        <v>0</v>
      </c>
      <c r="F1333" s="23">
        <v>0</v>
      </c>
      <c r="G1333" s="23">
        <v>0</v>
      </c>
      <c r="H1333" s="23">
        <v>1</v>
      </c>
      <c r="I1333" s="23">
        <v>0</v>
      </c>
      <c r="J1333" s="23">
        <v>10795.937330000001</v>
      </c>
      <c r="N1333" s="23"/>
      <c r="O1333" s="23"/>
      <c r="P1333" s="23"/>
      <c r="Q1333" s="23"/>
      <c r="R1333" s="23"/>
      <c r="S1333" s="23"/>
      <c r="T1333" s="23"/>
      <c r="U1333" s="23"/>
    </row>
    <row r="1334" spans="1:21" x14ac:dyDescent="0.2">
      <c r="A1334" s="23">
        <v>52</v>
      </c>
      <c r="B1334" s="23">
        <v>0</v>
      </c>
      <c r="C1334" s="23">
        <v>44.7</v>
      </c>
      <c r="D1334" s="23">
        <v>3</v>
      </c>
      <c r="E1334" s="23">
        <v>0</v>
      </c>
      <c r="F1334" s="23">
        <v>0</v>
      </c>
      <c r="G1334" s="23">
        <v>0</v>
      </c>
      <c r="H1334" s="23">
        <v>1</v>
      </c>
      <c r="I1334" s="23">
        <v>0</v>
      </c>
      <c r="J1334" s="23">
        <v>11411.684999999999</v>
      </c>
      <c r="N1334" s="23"/>
      <c r="O1334" s="23"/>
      <c r="P1334" s="23"/>
      <c r="Q1334" s="23"/>
      <c r="R1334" s="23"/>
      <c r="S1334" s="23"/>
      <c r="T1334" s="23"/>
      <c r="U1334" s="23"/>
    </row>
    <row r="1335" spans="1:21" x14ac:dyDescent="0.2">
      <c r="A1335" s="23">
        <v>50</v>
      </c>
      <c r="B1335" s="23">
        <v>1</v>
      </c>
      <c r="C1335" s="23">
        <v>30.97</v>
      </c>
      <c r="D1335" s="23">
        <v>3</v>
      </c>
      <c r="E1335" s="23">
        <v>0</v>
      </c>
      <c r="F1335" s="23">
        <v>0</v>
      </c>
      <c r="G1335" s="23">
        <v>0</v>
      </c>
      <c r="H1335" s="23">
        <v>0</v>
      </c>
      <c r="I1335" s="23">
        <v>1</v>
      </c>
      <c r="J1335" s="23">
        <v>10600.5483</v>
      </c>
      <c r="N1335" s="23"/>
      <c r="O1335" s="23"/>
      <c r="P1335" s="23"/>
      <c r="Q1335" s="23"/>
      <c r="R1335" s="23"/>
      <c r="S1335" s="23"/>
      <c r="T1335" s="23"/>
      <c r="U1335" s="23"/>
    </row>
    <row r="1336" spans="1:21" x14ac:dyDescent="0.2">
      <c r="A1336" s="23">
        <v>18</v>
      </c>
      <c r="B1336" s="23">
        <v>0</v>
      </c>
      <c r="C1336" s="23">
        <v>31.92</v>
      </c>
      <c r="D1336" s="23">
        <v>0</v>
      </c>
      <c r="E1336" s="23">
        <v>0</v>
      </c>
      <c r="F1336" s="23">
        <v>1</v>
      </c>
      <c r="G1336" s="23">
        <v>0</v>
      </c>
      <c r="H1336" s="23">
        <v>0</v>
      </c>
      <c r="I1336" s="23">
        <v>0</v>
      </c>
      <c r="J1336" s="23">
        <v>2205.9807999999998</v>
      </c>
      <c r="N1336" s="23"/>
      <c r="O1336" s="23"/>
      <c r="P1336" s="23"/>
      <c r="Q1336" s="23"/>
      <c r="R1336" s="23"/>
      <c r="S1336" s="23"/>
      <c r="T1336" s="23"/>
      <c r="U1336" s="23"/>
    </row>
    <row r="1337" spans="1:21" x14ac:dyDescent="0.2">
      <c r="A1337" s="23">
        <v>18</v>
      </c>
      <c r="B1337" s="23">
        <v>0</v>
      </c>
      <c r="C1337" s="23">
        <v>36.85</v>
      </c>
      <c r="D1337" s="23">
        <v>0</v>
      </c>
      <c r="E1337" s="23">
        <v>0</v>
      </c>
      <c r="F1337" s="23">
        <v>0</v>
      </c>
      <c r="G1337" s="23">
        <v>1</v>
      </c>
      <c r="H1337" s="23">
        <v>0</v>
      </c>
      <c r="I1337" s="23">
        <v>0</v>
      </c>
      <c r="J1337" s="23">
        <v>1629.8335</v>
      </c>
      <c r="N1337" s="23"/>
      <c r="O1337" s="23"/>
      <c r="P1337" s="23"/>
      <c r="Q1337" s="23"/>
      <c r="R1337" s="23"/>
      <c r="S1337" s="23"/>
      <c r="T1337" s="23"/>
      <c r="U1337" s="23"/>
    </row>
    <row r="1338" spans="1:21" x14ac:dyDescent="0.2">
      <c r="A1338" s="23">
        <v>21</v>
      </c>
      <c r="B1338" s="23">
        <v>0</v>
      </c>
      <c r="C1338" s="23">
        <v>25.8</v>
      </c>
      <c r="D1338" s="23">
        <v>0</v>
      </c>
      <c r="E1338" s="23">
        <v>0</v>
      </c>
      <c r="F1338" s="23">
        <v>0</v>
      </c>
      <c r="G1338" s="23">
        <v>0</v>
      </c>
      <c r="H1338" s="23">
        <v>1</v>
      </c>
      <c r="I1338" s="23">
        <v>0</v>
      </c>
      <c r="J1338" s="23">
        <v>2007.9449999999999</v>
      </c>
      <c r="N1338" s="23"/>
      <c r="O1338" s="23"/>
      <c r="P1338" s="23"/>
      <c r="Q1338" s="23"/>
      <c r="R1338" s="23"/>
      <c r="S1338" s="23"/>
      <c r="T1338" s="23"/>
      <c r="U1338" s="23"/>
    </row>
    <row r="1339" spans="1:21" x14ac:dyDescent="0.2">
      <c r="A1339" s="23">
        <v>61</v>
      </c>
      <c r="B1339" s="23">
        <v>0</v>
      </c>
      <c r="C1339" s="23">
        <v>29.07</v>
      </c>
      <c r="D1339" s="23">
        <v>0</v>
      </c>
      <c r="E1339" s="23">
        <v>1</v>
      </c>
      <c r="F1339" s="23">
        <v>0</v>
      </c>
      <c r="G1339" s="23">
        <v>0</v>
      </c>
      <c r="H1339" s="23">
        <v>0</v>
      </c>
      <c r="I1339" s="23">
        <v>1</v>
      </c>
      <c r="J1339" s="23">
        <v>29141.3603</v>
      </c>
      <c r="N1339" s="23"/>
      <c r="O1339" s="23"/>
      <c r="P1339" s="23"/>
      <c r="Q1339" s="23"/>
      <c r="R1339" s="23"/>
      <c r="S1339" s="23"/>
      <c r="T1339" s="23"/>
      <c r="U1339" s="23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B76C7-5048-9B40-9DD0-3AE68E1EFDBE}">
  <dimension ref="A1:AI1422"/>
  <sheetViews>
    <sheetView tabSelected="1" zoomScale="125" workbookViewId="0">
      <selection activeCell="I28" sqref="I28"/>
    </sheetView>
  </sheetViews>
  <sheetFormatPr baseColWidth="10" defaultRowHeight="15" x14ac:dyDescent="0.2"/>
  <cols>
    <col min="1" max="2" width="15.5" bestFit="1" customWidth="1"/>
    <col min="3" max="3" width="14.1640625" bestFit="1" customWidth="1"/>
    <col min="4" max="4" width="13.33203125" bestFit="1" customWidth="1"/>
    <col min="5" max="5" width="12.1640625" bestFit="1" customWidth="1"/>
    <col min="6" max="9" width="12.6640625" bestFit="1" customWidth="1"/>
    <col min="10" max="11" width="12.6640625" style="23" customWidth="1"/>
    <col min="28" max="28" width="16.33203125" bestFit="1" customWidth="1"/>
    <col min="29" max="29" width="7.6640625" bestFit="1" customWidth="1"/>
    <col min="30" max="30" width="11.83203125" bestFit="1" customWidth="1"/>
    <col min="31" max="31" width="12.1640625" bestFit="1" customWidth="1"/>
    <col min="32" max="35" width="7.6640625" bestFit="1" customWidth="1"/>
  </cols>
  <sheetData>
    <row r="1" spans="1:35" ht="21" thickBot="1" x14ac:dyDescent="0.3">
      <c r="A1" s="38" t="s">
        <v>180</v>
      </c>
      <c r="AB1" s="38" t="s">
        <v>313</v>
      </c>
    </row>
    <row r="2" spans="1:35" ht="17" thickTop="1" thickBot="1" x14ac:dyDescent="0.25">
      <c r="AB2" s="23" t="s">
        <v>206</v>
      </c>
      <c r="AC2" s="23"/>
      <c r="AD2" s="23"/>
      <c r="AE2" s="23"/>
      <c r="AF2" s="23"/>
      <c r="AG2" s="23"/>
      <c r="AH2" s="23"/>
      <c r="AI2" s="23"/>
    </row>
    <row r="3" spans="1:35" x14ac:dyDescent="0.2">
      <c r="A3" s="43" t="s">
        <v>181</v>
      </c>
      <c r="B3" s="43"/>
      <c r="AB3" s="23"/>
      <c r="AC3" s="23"/>
      <c r="AD3" s="23"/>
      <c r="AE3" s="23"/>
      <c r="AF3" s="23"/>
      <c r="AG3" s="23"/>
      <c r="AH3" s="23"/>
      <c r="AI3" s="23"/>
    </row>
    <row r="4" spans="1:35" ht="16" thickBot="1" x14ac:dyDescent="0.25">
      <c r="A4" s="6" t="s">
        <v>182</v>
      </c>
      <c r="B4" s="6">
        <v>0.86655238422066583</v>
      </c>
      <c r="AB4" s="44" t="s">
        <v>207</v>
      </c>
      <c r="AC4" s="44"/>
      <c r="AD4" s="23"/>
      <c r="AE4" s="44"/>
      <c r="AF4" s="44"/>
      <c r="AG4" s="23"/>
      <c r="AH4" s="23"/>
      <c r="AI4" s="23"/>
    </row>
    <row r="5" spans="1:35" ht="16" thickTop="1" x14ac:dyDescent="0.2">
      <c r="A5" s="6" t="s">
        <v>183</v>
      </c>
      <c r="B5" s="6">
        <v>0.75091303459852043</v>
      </c>
      <c r="C5" s="66" t="s">
        <v>297</v>
      </c>
      <c r="AB5" s="23" t="s">
        <v>182</v>
      </c>
      <c r="AC5" s="23">
        <v>0.86655238422066638</v>
      </c>
      <c r="AD5" s="23"/>
      <c r="AE5" s="23" t="s">
        <v>208</v>
      </c>
      <c r="AF5" s="23">
        <v>23318.426322408286</v>
      </c>
      <c r="AG5" s="23"/>
      <c r="AH5" s="23"/>
      <c r="AI5" s="23"/>
    </row>
    <row r="6" spans="1:35" x14ac:dyDescent="0.2">
      <c r="A6" s="6" t="s">
        <v>184</v>
      </c>
      <c r="B6" s="6">
        <v>0.74866119432522338</v>
      </c>
      <c r="C6" s="66"/>
      <c r="E6" s="65"/>
      <c r="AB6" s="23" t="s">
        <v>183</v>
      </c>
      <c r="AC6" s="23">
        <v>0.75091303459852132</v>
      </c>
      <c r="AD6" s="23"/>
      <c r="AE6" s="23" t="s">
        <v>209</v>
      </c>
      <c r="AF6" s="23">
        <v>23318.625417430911</v>
      </c>
      <c r="AG6" s="23"/>
      <c r="AH6" s="23"/>
      <c r="AI6" s="23"/>
    </row>
    <row r="7" spans="1:35" x14ac:dyDescent="0.2">
      <c r="A7" s="6" t="s">
        <v>185</v>
      </c>
      <c r="B7" s="6">
        <v>6062.1022885175607</v>
      </c>
      <c r="C7" s="66" t="s">
        <v>298</v>
      </c>
      <c r="AB7" s="23" t="s">
        <v>184</v>
      </c>
      <c r="AC7" s="23">
        <v>0.74922494522456551</v>
      </c>
      <c r="AD7" s="23"/>
      <c r="AE7" s="45" t="s">
        <v>210</v>
      </c>
      <c r="AF7" s="45">
        <v>23370.415634815166</v>
      </c>
      <c r="AG7" s="23"/>
      <c r="AH7" s="23"/>
      <c r="AI7" s="23"/>
    </row>
    <row r="8" spans="1:35" ht="16" thickBot="1" x14ac:dyDescent="0.25">
      <c r="A8" s="7" t="s">
        <v>186</v>
      </c>
      <c r="B8" s="7">
        <v>1338</v>
      </c>
      <c r="C8" s="66" t="s">
        <v>296</v>
      </c>
      <c r="AB8" s="23" t="s">
        <v>185</v>
      </c>
      <c r="AC8" s="23">
        <v>6064.384277037494</v>
      </c>
      <c r="AD8" s="23"/>
      <c r="AE8" s="23"/>
      <c r="AF8" s="23"/>
      <c r="AG8" s="23"/>
      <c r="AH8" s="23"/>
      <c r="AI8" s="23"/>
    </row>
    <row r="9" spans="1:35" x14ac:dyDescent="0.2">
      <c r="AB9" s="45" t="s">
        <v>186</v>
      </c>
      <c r="AC9" s="45">
        <v>1338</v>
      </c>
      <c r="AD9" s="23"/>
      <c r="AE9" s="23"/>
      <c r="AF9" s="23"/>
      <c r="AG9" s="23"/>
      <c r="AH9" s="23"/>
      <c r="AI9" s="23"/>
    </row>
    <row r="10" spans="1:35" ht="16" thickBot="1" x14ac:dyDescent="0.25">
      <c r="A10" t="s">
        <v>187</v>
      </c>
      <c r="AB10" s="23"/>
      <c r="AC10" s="23"/>
      <c r="AD10" s="23"/>
      <c r="AE10" s="23"/>
      <c r="AF10" s="23"/>
      <c r="AG10" s="23"/>
      <c r="AH10" s="23"/>
      <c r="AI10" s="23"/>
    </row>
    <row r="11" spans="1:35" ht="16" thickBot="1" x14ac:dyDescent="0.25">
      <c r="A11" s="8"/>
      <c r="B11" s="8" t="s">
        <v>192</v>
      </c>
      <c r="C11" s="8" t="s">
        <v>193</v>
      </c>
      <c r="D11" s="8" t="s">
        <v>194</v>
      </c>
      <c r="E11" s="8" t="s">
        <v>195</v>
      </c>
      <c r="F11" s="8" t="s">
        <v>196</v>
      </c>
      <c r="G11" s="8" t="s">
        <v>213</v>
      </c>
      <c r="AB11" s="23" t="s">
        <v>187</v>
      </c>
      <c r="AC11" s="23"/>
      <c r="AD11" s="23"/>
      <c r="AE11" s="23"/>
      <c r="AF11" s="4" t="s">
        <v>211</v>
      </c>
      <c r="AG11" s="4">
        <v>0.05</v>
      </c>
      <c r="AH11" s="23"/>
      <c r="AI11" s="23"/>
    </row>
    <row r="12" spans="1:35" ht="16" thickTop="1" x14ac:dyDescent="0.2">
      <c r="A12" s="6" t="s">
        <v>188</v>
      </c>
      <c r="B12" s="6">
        <v>9</v>
      </c>
      <c r="C12" s="6">
        <v>147234688724.44504</v>
      </c>
      <c r="D12" s="6">
        <v>16359409858.271671</v>
      </c>
      <c r="E12" s="6">
        <v>500.81074162838632</v>
      </c>
      <c r="F12" s="60">
        <v>0</v>
      </c>
      <c r="G12" s="4" t="s">
        <v>7</v>
      </c>
      <c r="H12" t="s">
        <v>307</v>
      </c>
      <c r="AB12" s="46"/>
      <c r="AC12" s="46" t="s">
        <v>192</v>
      </c>
      <c r="AD12" s="46" t="s">
        <v>193</v>
      </c>
      <c r="AE12" s="46" t="s">
        <v>194</v>
      </c>
      <c r="AF12" s="46" t="s">
        <v>195</v>
      </c>
      <c r="AG12" s="46" t="s">
        <v>212</v>
      </c>
      <c r="AH12" s="46" t="s">
        <v>213</v>
      </c>
      <c r="AI12" s="23"/>
    </row>
    <row r="13" spans="1:35" x14ac:dyDescent="0.2">
      <c r="A13" s="6" t="s">
        <v>189</v>
      </c>
      <c r="B13" s="6">
        <v>1329</v>
      </c>
      <c r="C13" s="6">
        <v>48839532843.921844</v>
      </c>
      <c r="D13" s="6">
        <v>36749084.156449847</v>
      </c>
      <c r="E13" s="6"/>
      <c r="F13" s="6"/>
      <c r="AB13" s="23" t="s">
        <v>188</v>
      </c>
      <c r="AC13" s="23">
        <v>9</v>
      </c>
      <c r="AD13" s="23">
        <v>147234688724.44522</v>
      </c>
      <c r="AE13" s="23">
        <v>16359409858.27169</v>
      </c>
      <c r="AF13" s="23">
        <v>444.83014121394552</v>
      </c>
      <c r="AG13" s="23">
        <v>0</v>
      </c>
      <c r="AH13" s="4" t="s">
        <v>7</v>
      </c>
      <c r="AI13" s="23"/>
    </row>
    <row r="14" spans="1:35" ht="16" thickBot="1" x14ac:dyDescent="0.25">
      <c r="A14" s="7" t="s">
        <v>190</v>
      </c>
      <c r="B14" s="7">
        <v>1338</v>
      </c>
      <c r="C14" s="7">
        <v>196074221568.36688</v>
      </c>
      <c r="D14" s="64">
        <f>SUM(D12:D13)</f>
        <v>16396158942.428122</v>
      </c>
      <c r="E14" s="7"/>
      <c r="F14" s="7"/>
      <c r="J14" s="6"/>
      <c r="AB14" s="23" t="s">
        <v>189</v>
      </c>
      <c r="AC14" s="23">
        <v>1328</v>
      </c>
      <c r="AD14" s="23">
        <v>48839532843.921661</v>
      </c>
      <c r="AE14" s="23">
        <v>36776756.659579568</v>
      </c>
      <c r="AF14" s="23"/>
      <c r="AG14" s="23"/>
      <c r="AH14" s="23"/>
      <c r="AI14" s="23"/>
    </row>
    <row r="15" spans="1:35" ht="16" thickBot="1" x14ac:dyDescent="0.25">
      <c r="AB15" s="45" t="s">
        <v>190</v>
      </c>
      <c r="AC15" s="45">
        <v>1337</v>
      </c>
      <c r="AD15" s="45">
        <v>196074221568.36688</v>
      </c>
      <c r="AE15" s="45"/>
      <c r="AF15" s="45"/>
      <c r="AG15" s="45"/>
      <c r="AH15" s="45"/>
      <c r="AI15" s="23"/>
    </row>
    <row r="16" spans="1:35" ht="16" thickBot="1" x14ac:dyDescent="0.25">
      <c r="A16" s="8"/>
      <c r="B16" s="8" t="s">
        <v>197</v>
      </c>
      <c r="C16" s="8" t="s">
        <v>185</v>
      </c>
      <c r="D16" s="8" t="s">
        <v>198</v>
      </c>
      <c r="E16" s="8" t="s">
        <v>199</v>
      </c>
      <c r="F16" s="8" t="s">
        <v>200</v>
      </c>
      <c r="G16" s="8" t="s">
        <v>201</v>
      </c>
      <c r="H16" s="8" t="s">
        <v>219</v>
      </c>
      <c r="I16" s="23"/>
      <c r="K16" s="49"/>
      <c r="AB16" s="23"/>
      <c r="AC16" s="23"/>
      <c r="AD16" s="23"/>
      <c r="AE16" s="23"/>
      <c r="AF16" s="23"/>
      <c r="AG16" s="23"/>
      <c r="AH16" s="23"/>
      <c r="AI16" s="23"/>
    </row>
    <row r="17" spans="1:35" ht="16" thickTop="1" x14ac:dyDescent="0.2">
      <c r="A17" s="6" t="s">
        <v>191</v>
      </c>
      <c r="B17" s="6">
        <v>-12291.502475591853</v>
      </c>
      <c r="C17" s="6">
        <v>988.1958986823056</v>
      </c>
      <c r="D17" s="6">
        <v>-12.438325732763884</v>
      </c>
      <c r="E17" s="6">
        <v>1.1189081734604407E-33</v>
      </c>
      <c r="F17" s="6">
        <v>-14230.096361230087</v>
      </c>
      <c r="G17" s="6">
        <v>-10352.908589953619</v>
      </c>
      <c r="H17" s="6"/>
      <c r="I17" s="23"/>
      <c r="K17" s="6"/>
      <c r="AB17" s="46"/>
      <c r="AC17" s="46" t="s">
        <v>214</v>
      </c>
      <c r="AD17" s="46" t="s">
        <v>215</v>
      </c>
      <c r="AE17" s="46" t="s">
        <v>216</v>
      </c>
      <c r="AF17" s="46" t="s">
        <v>212</v>
      </c>
      <c r="AG17" s="46" t="s">
        <v>217</v>
      </c>
      <c r="AH17" s="46" t="s">
        <v>218</v>
      </c>
      <c r="AI17" s="46" t="s">
        <v>219</v>
      </c>
    </row>
    <row r="18" spans="1:35" x14ac:dyDescent="0.2">
      <c r="A18" s="6" t="s">
        <v>0</v>
      </c>
      <c r="B18" s="6">
        <v>256.85635253734796</v>
      </c>
      <c r="C18" s="6">
        <v>11.898849070910652</v>
      </c>
      <c r="D18" s="6">
        <v>21.586655230823098</v>
      </c>
      <c r="E18" s="6">
        <v>7.7832174364981841E-89</v>
      </c>
      <c r="F18" s="6">
        <v>233.51377837188343</v>
      </c>
      <c r="G18" s="6">
        <v>280.19892670281246</v>
      </c>
      <c r="H18" s="6">
        <v>1.0168221490038107</v>
      </c>
      <c r="I18" s="23"/>
      <c r="K18" s="6"/>
      <c r="AB18" s="23" t="s">
        <v>191</v>
      </c>
      <c r="AC18" s="23">
        <v>-12291.502475591853</v>
      </c>
      <c r="AD18" s="23">
        <v>988.1958986823056</v>
      </c>
      <c r="AE18" s="23">
        <v>-12.438325732763884</v>
      </c>
      <c r="AF18" s="23">
        <v>1.1222301021683529E-33</v>
      </c>
      <c r="AG18" s="23">
        <v>-14230.097691875499</v>
      </c>
      <c r="AH18" s="23">
        <v>-10352.907259308207</v>
      </c>
      <c r="AI18" s="23"/>
    </row>
    <row r="19" spans="1:35" x14ac:dyDescent="0.2">
      <c r="A19" s="6" t="s">
        <v>1</v>
      </c>
      <c r="B19" s="6">
        <v>-131.31435939510757</v>
      </c>
      <c r="C19" s="6">
        <v>332.94543913187579</v>
      </c>
      <c r="D19" s="6">
        <v>-0.39440203697487952</v>
      </c>
      <c r="E19" s="6">
        <v>0.69334751915998116</v>
      </c>
      <c r="F19" s="6">
        <v>-784.47027049821088</v>
      </c>
      <c r="G19" s="6">
        <v>521.84155170799579</v>
      </c>
      <c r="H19" s="6">
        <v>1.0089001621005735</v>
      </c>
      <c r="I19" s="23"/>
      <c r="K19" s="6"/>
      <c r="AB19" s="23" t="s">
        <v>0</v>
      </c>
      <c r="AC19" s="23">
        <v>256.85635253734796</v>
      </c>
      <c r="AD19" s="23">
        <v>11.898849070910652</v>
      </c>
      <c r="AE19" s="23">
        <v>21.586655230823098</v>
      </c>
      <c r="AF19" s="23">
        <v>7.9451605787966164E-89</v>
      </c>
      <c r="AG19" s="23">
        <v>233.51376234960594</v>
      </c>
      <c r="AH19" s="23">
        <v>280.19894272508998</v>
      </c>
      <c r="AI19" s="23">
        <v>1.0168221490038107</v>
      </c>
    </row>
    <row r="20" spans="1:35" x14ac:dyDescent="0.2">
      <c r="A20" s="6" t="s">
        <v>2</v>
      </c>
      <c r="B20" s="6">
        <v>339.19345361084009</v>
      </c>
      <c r="C20" s="6">
        <v>28.599470479168062</v>
      </c>
      <c r="D20" s="6">
        <v>11.860130552343954</v>
      </c>
      <c r="E20" s="6">
        <v>6.4981939262582519E-31</v>
      </c>
      <c r="F20" s="6">
        <v>283.0884255720315</v>
      </c>
      <c r="G20" s="6">
        <v>395.29848164964869</v>
      </c>
      <c r="H20" s="6">
        <v>1.1066297324286174</v>
      </c>
      <c r="I20" s="23"/>
      <c r="K20" s="6"/>
      <c r="AB20" s="23" t="s">
        <v>1</v>
      </c>
      <c r="AC20" s="23">
        <v>-131.31435939510757</v>
      </c>
      <c r="AD20" s="23">
        <v>332.94543913187579</v>
      </c>
      <c r="AE20" s="23">
        <v>-0.39440203697487952</v>
      </c>
      <c r="AF20" s="23">
        <v>0.69334756680474963</v>
      </c>
      <c r="AG20" s="23">
        <v>-784.47071882259797</v>
      </c>
      <c r="AH20" s="23">
        <v>521.84200003238288</v>
      </c>
      <c r="AI20" s="23">
        <v>1.0089001621005735</v>
      </c>
    </row>
    <row r="21" spans="1:35" x14ac:dyDescent="0.2">
      <c r="A21" s="6" t="s">
        <v>3</v>
      </c>
      <c r="B21" s="6">
        <v>475.50054514913262</v>
      </c>
      <c r="C21" s="6">
        <v>137.80409251438991</v>
      </c>
      <c r="D21" s="6">
        <v>3.4505545987284774</v>
      </c>
      <c r="E21" s="6">
        <v>5.7696824232805158E-4</v>
      </c>
      <c r="F21" s="6">
        <v>205.16328558294362</v>
      </c>
      <c r="G21" s="6">
        <v>745.83780471532168</v>
      </c>
      <c r="H21" s="6">
        <v>1.0040106421370238</v>
      </c>
      <c r="I21" s="23"/>
      <c r="K21" s="6"/>
      <c r="AB21" s="23" t="s">
        <v>2</v>
      </c>
      <c r="AC21" s="23">
        <v>339.19345361084009</v>
      </c>
      <c r="AD21" s="23">
        <v>28.599470479168062</v>
      </c>
      <c r="AE21" s="23">
        <v>11.860130552343954</v>
      </c>
      <c r="AF21" s="23">
        <v>6.5143636973069059E-31</v>
      </c>
      <c r="AG21" s="23">
        <v>283.08838706169752</v>
      </c>
      <c r="AH21" s="23">
        <v>395.29852015998267</v>
      </c>
      <c r="AI21" s="23">
        <v>1.1066297324286174</v>
      </c>
    </row>
    <row r="22" spans="1:35" x14ac:dyDescent="0.2">
      <c r="A22" s="6" t="s">
        <v>4</v>
      </c>
      <c r="B22" s="6">
        <v>23848.534541912821</v>
      </c>
      <c r="C22" s="6">
        <v>413.15335481829578</v>
      </c>
      <c r="D22" s="6">
        <v>57.72320196310973</v>
      </c>
      <c r="E22" s="6">
        <v>0</v>
      </c>
      <c r="F22" s="6">
        <v>23038.030705022109</v>
      </c>
      <c r="G22" s="6">
        <v>24659.038378803532</v>
      </c>
      <c r="H22" s="6">
        <v>1.0120736649061479</v>
      </c>
      <c r="I22" s="23"/>
      <c r="K22" s="6"/>
      <c r="AB22" s="23" t="s">
        <v>3</v>
      </c>
      <c r="AC22" s="23">
        <v>475.50054514913262</v>
      </c>
      <c r="AD22" s="23">
        <v>137.80409251438991</v>
      </c>
      <c r="AE22" s="23">
        <v>3.4505545987284774</v>
      </c>
      <c r="AF22" s="23">
        <v>5.7698157223976801E-4</v>
      </c>
      <c r="AG22" s="23">
        <v>205.16310002420619</v>
      </c>
      <c r="AH22" s="23">
        <v>745.83799027405905</v>
      </c>
      <c r="AI22" s="23">
        <v>1.0040106421370238</v>
      </c>
    </row>
    <row r="23" spans="1:35" x14ac:dyDescent="0.2">
      <c r="A23" s="6" t="s">
        <v>129</v>
      </c>
      <c r="B23" s="6">
        <v>352.96389942464157</v>
      </c>
      <c r="C23" s="6">
        <v>476.27578588527894</v>
      </c>
      <c r="D23" s="6">
        <v>0.74109142199738109</v>
      </c>
      <c r="E23" s="6">
        <v>0.45876893258605922</v>
      </c>
      <c r="F23" s="6">
        <v>-581.37040374936851</v>
      </c>
      <c r="G23" s="6">
        <v>1287.2982025986516</v>
      </c>
      <c r="H23" s="6">
        <v>237031559335289.25</v>
      </c>
      <c r="I23" s="23"/>
      <c r="K23" s="6"/>
      <c r="AB23" s="23" t="s">
        <v>4</v>
      </c>
      <c r="AC23" s="23">
        <v>23848.534541912821</v>
      </c>
      <c r="AD23" s="23">
        <v>413.15335481829578</v>
      </c>
      <c r="AE23" s="23">
        <v>57.72320196310973</v>
      </c>
      <c r="AF23" s="23">
        <v>0</v>
      </c>
      <c r="AG23" s="23">
        <v>23038.030148694546</v>
      </c>
      <c r="AH23" s="23">
        <v>24659.038935131095</v>
      </c>
      <c r="AI23" s="23">
        <v>1.0120736649061479</v>
      </c>
    </row>
    <row r="24" spans="1:35" x14ac:dyDescent="0.2">
      <c r="A24" s="6" t="s">
        <v>130</v>
      </c>
      <c r="B24" s="6">
        <v>0</v>
      </c>
      <c r="C24" s="6">
        <v>0</v>
      </c>
      <c r="D24" s="6">
        <v>65535</v>
      </c>
      <c r="E24" s="47" t="e">
        <v>#NUM!</v>
      </c>
      <c r="F24" s="6">
        <v>0</v>
      </c>
      <c r="G24" s="6">
        <v>0</v>
      </c>
      <c r="H24" s="6">
        <v>-1501199875790165.2</v>
      </c>
      <c r="I24" s="23"/>
      <c r="K24" s="6"/>
      <c r="AB24" s="23" t="s">
        <v>129</v>
      </c>
      <c r="AC24" s="23">
        <v>352.96389942464157</v>
      </c>
      <c r="AD24" s="23">
        <v>476.27578588527894</v>
      </c>
      <c r="AE24" s="23">
        <v>0.74109142199738109</v>
      </c>
      <c r="AF24" s="23">
        <v>0.45876903115737366</v>
      </c>
      <c r="AG24" s="23">
        <v>-581.37104507381594</v>
      </c>
      <c r="AH24" s="23">
        <v>1287.298843923099</v>
      </c>
      <c r="AI24" s="23">
        <v>237031559335289.25</v>
      </c>
    </row>
    <row r="25" spans="1:35" x14ac:dyDescent="0.2">
      <c r="A25" s="6" t="s">
        <v>131</v>
      </c>
      <c r="B25" s="6">
        <v>-682.05814996317918</v>
      </c>
      <c r="C25" s="6">
        <v>478.95915843084077</v>
      </c>
      <c r="D25" s="6">
        <v>-1.424042401021683</v>
      </c>
      <c r="E25" s="6" t="e">
        <v>#NUM!</v>
      </c>
      <c r="F25" s="6">
        <v>-1621.6565608071887</v>
      </c>
      <c r="G25" s="6">
        <v>257.54026088083049</v>
      </c>
      <c r="H25" s="6">
        <v>-4503599627370496</v>
      </c>
      <c r="I25" s="23"/>
      <c r="K25" s="6"/>
      <c r="AB25" s="23" t="s">
        <v>130</v>
      </c>
      <c r="AC25" s="23">
        <v>0</v>
      </c>
      <c r="AD25" s="23">
        <v>0</v>
      </c>
      <c r="AE25" s="23" t="e">
        <v>#DIV/0!</v>
      </c>
      <c r="AF25" s="23" t="e">
        <v>#DIV/0!</v>
      </c>
      <c r="AG25" s="23">
        <v>0</v>
      </c>
      <c r="AH25" s="23">
        <v>0</v>
      </c>
      <c r="AI25" s="23">
        <v>-1501199875790165.2</v>
      </c>
    </row>
    <row r="26" spans="1:35" ht="16" thickBot="1" x14ac:dyDescent="0.25">
      <c r="A26" s="7" t="s">
        <v>132</v>
      </c>
      <c r="B26" s="7">
        <v>-607.08709187618615</v>
      </c>
      <c r="C26" s="7">
        <v>477.20391188566487</v>
      </c>
      <c r="D26" s="7">
        <v>-1.2721754301579165</v>
      </c>
      <c r="E26" s="7">
        <v>0.20353334065188855</v>
      </c>
      <c r="F26" s="7">
        <v>-1543.2421467775098</v>
      </c>
      <c r="G26" s="7">
        <v>329.06796302513749</v>
      </c>
      <c r="H26" s="7">
        <v>9007199254740992</v>
      </c>
      <c r="I26" s="23"/>
      <c r="K26" s="6"/>
      <c r="AB26" s="23" t="s">
        <v>131</v>
      </c>
      <c r="AC26" s="23">
        <v>-682.05814996317918</v>
      </c>
      <c r="AD26" s="23">
        <v>478.95915843084077</v>
      </c>
      <c r="AE26" s="23">
        <v>-1.424042401021683</v>
      </c>
      <c r="AF26" s="23">
        <v>0.15466911706270955</v>
      </c>
      <c r="AG26" s="23">
        <v>-1621.6572057449052</v>
      </c>
      <c r="AH26" s="23">
        <v>257.54090581854678</v>
      </c>
      <c r="AI26" s="23">
        <v>-4503599627370496</v>
      </c>
    </row>
    <row r="27" spans="1:35" x14ac:dyDescent="0.2">
      <c r="I27" s="23"/>
      <c r="AB27" s="45" t="s">
        <v>132</v>
      </c>
      <c r="AC27" s="45">
        <v>-607.08709187618615</v>
      </c>
      <c r="AD27" s="45">
        <v>477.20391188566487</v>
      </c>
      <c r="AE27" s="45">
        <v>-1.2721754301579165</v>
      </c>
      <c r="AF27" s="45">
        <v>0.20353350819765142</v>
      </c>
      <c r="AG27" s="45">
        <v>-1543.2427893517161</v>
      </c>
      <c r="AH27" s="45">
        <v>329.06860559934387</v>
      </c>
      <c r="AI27" s="45">
        <v>9007199254740992</v>
      </c>
    </row>
    <row r="28" spans="1:35" x14ac:dyDescent="0.2">
      <c r="I28" s="23"/>
    </row>
    <row r="29" spans="1:35" s="23" customFormat="1" ht="21" thickBot="1" x14ac:dyDescent="0.3">
      <c r="A29" s="38" t="s">
        <v>220</v>
      </c>
    </row>
    <row r="30" spans="1:35" s="23" customFormat="1" ht="16" thickTop="1" x14ac:dyDescent="0.2"/>
    <row r="31" spans="1:35" s="23" customFormat="1" ht="21" thickBot="1" x14ac:dyDescent="0.3">
      <c r="A31" s="57" t="s">
        <v>211</v>
      </c>
      <c r="B31" s="58">
        <v>0.05</v>
      </c>
      <c r="AB31" s="38" t="s">
        <v>312</v>
      </c>
    </row>
    <row r="32" spans="1:35" s="23" customFormat="1" ht="16" thickTop="1" x14ac:dyDescent="0.2">
      <c r="AB32" s="23" t="s">
        <v>206</v>
      </c>
    </row>
    <row r="33" spans="1:35" s="23" customFormat="1" x14ac:dyDescent="0.2">
      <c r="A33" s="50" t="s">
        <v>221</v>
      </c>
      <c r="B33" s="56">
        <v>1</v>
      </c>
      <c r="C33" s="56">
        <v>2</v>
      </c>
      <c r="D33" s="56">
        <v>3</v>
      </c>
      <c r="E33" s="56">
        <v>4</v>
      </c>
      <c r="F33" s="56">
        <v>5</v>
      </c>
      <c r="G33" s="56">
        <v>6</v>
      </c>
      <c r="H33" s="56">
        <v>7</v>
      </c>
      <c r="I33" s="56">
        <v>8</v>
      </c>
      <c r="J33" s="51">
        <v>9</v>
      </c>
    </row>
    <row r="34" spans="1:35" s="23" customFormat="1" ht="16" thickBot="1" x14ac:dyDescent="0.25">
      <c r="A34" s="52" t="s">
        <v>224</v>
      </c>
      <c r="B34" s="48"/>
      <c r="C34" s="48"/>
      <c r="D34" s="48"/>
      <c r="E34" s="48"/>
      <c r="F34" s="48"/>
      <c r="G34" s="48"/>
      <c r="H34" s="48"/>
      <c r="I34" s="48"/>
      <c r="J34" s="53"/>
      <c r="AB34" s="44" t="s">
        <v>207</v>
      </c>
      <c r="AC34" s="44"/>
      <c r="AE34" s="44"/>
      <c r="AF34" s="44"/>
    </row>
    <row r="35" spans="1:35" s="23" customFormat="1" ht="16" thickTop="1" x14ac:dyDescent="0.2">
      <c r="A35" s="52" t="s">
        <v>225</v>
      </c>
      <c r="B35" s="48">
        <v>1</v>
      </c>
      <c r="C35" s="48" t="s">
        <v>39</v>
      </c>
      <c r="D35" s="48" t="s">
        <v>39</v>
      </c>
      <c r="E35" s="48" t="s">
        <v>39</v>
      </c>
      <c r="F35" s="48" t="s">
        <v>39</v>
      </c>
      <c r="G35" s="48" t="s">
        <v>39</v>
      </c>
      <c r="H35" s="48" t="s">
        <v>39</v>
      </c>
      <c r="I35" s="48" t="s">
        <v>39</v>
      </c>
      <c r="J35" s="53" t="s">
        <v>39</v>
      </c>
      <c r="AB35" s="23" t="s">
        <v>182</v>
      </c>
      <c r="AC35" s="23">
        <v>0.86655238422066638</v>
      </c>
      <c r="AE35" s="23" t="s">
        <v>208</v>
      </c>
      <c r="AF35" s="23">
        <v>23316.426322408286</v>
      </c>
    </row>
    <row r="36" spans="1:35" s="23" customFormat="1" x14ac:dyDescent="0.2">
      <c r="A36" s="52" t="s">
        <v>226</v>
      </c>
      <c r="B36" s="48">
        <v>1</v>
      </c>
      <c r="C36" s="48" t="s">
        <v>39</v>
      </c>
      <c r="D36" s="48" t="s">
        <v>39</v>
      </c>
      <c r="E36" s="48" t="s">
        <v>39</v>
      </c>
      <c r="F36" s="48" t="s">
        <v>39</v>
      </c>
      <c r="G36" s="48" t="s">
        <v>39</v>
      </c>
      <c r="H36" s="48" t="s">
        <v>39</v>
      </c>
      <c r="I36" s="48" t="s">
        <v>39</v>
      </c>
      <c r="J36" s="53" t="s">
        <v>39</v>
      </c>
      <c r="AB36" s="23" t="s">
        <v>183</v>
      </c>
      <c r="AC36" s="23">
        <v>0.75091303459852132</v>
      </c>
      <c r="AE36" s="23" t="s">
        <v>209</v>
      </c>
      <c r="AF36" s="23">
        <v>23316.592109898866</v>
      </c>
    </row>
    <row r="37" spans="1:35" s="23" customFormat="1" x14ac:dyDescent="0.2">
      <c r="A37" s="52" t="s">
        <v>227</v>
      </c>
      <c r="B37" s="48">
        <v>1</v>
      </c>
      <c r="C37" s="48" t="s">
        <v>39</v>
      </c>
      <c r="D37" s="48" t="s">
        <v>39</v>
      </c>
      <c r="E37" s="48" t="s">
        <v>39</v>
      </c>
      <c r="F37" s="48">
        <v>5</v>
      </c>
      <c r="G37" s="48" t="s">
        <v>39</v>
      </c>
      <c r="H37" s="48" t="s">
        <v>39</v>
      </c>
      <c r="I37" s="48" t="s">
        <v>39</v>
      </c>
      <c r="J37" s="53" t="s">
        <v>39</v>
      </c>
      <c r="AB37" s="23" t="s">
        <v>184</v>
      </c>
      <c r="AC37" s="23">
        <v>0.7494136397729293</v>
      </c>
      <c r="AE37" s="45" t="s">
        <v>210</v>
      </c>
      <c r="AF37" s="45">
        <v>23363.216703574479</v>
      </c>
    </row>
    <row r="38" spans="1:35" s="23" customFormat="1" x14ac:dyDescent="0.2">
      <c r="A38" s="52" t="s">
        <v>228</v>
      </c>
      <c r="B38" s="48">
        <v>1</v>
      </c>
      <c r="C38" s="48" t="s">
        <v>39</v>
      </c>
      <c r="D38" s="48" t="s">
        <v>39</v>
      </c>
      <c r="E38" s="48" t="s">
        <v>39</v>
      </c>
      <c r="F38" s="48">
        <v>5</v>
      </c>
      <c r="G38" s="48" t="s">
        <v>39</v>
      </c>
      <c r="H38" s="48" t="s">
        <v>39</v>
      </c>
      <c r="I38" s="48" t="s">
        <v>39</v>
      </c>
      <c r="J38" s="53" t="s">
        <v>39</v>
      </c>
      <c r="AB38" s="23" t="s">
        <v>185</v>
      </c>
      <c r="AC38" s="23">
        <v>6062.1022885175489</v>
      </c>
    </row>
    <row r="39" spans="1:35" s="23" customFormat="1" x14ac:dyDescent="0.2">
      <c r="A39" s="52" t="s">
        <v>229</v>
      </c>
      <c r="B39" s="48">
        <v>1</v>
      </c>
      <c r="C39" s="48" t="s">
        <v>39</v>
      </c>
      <c r="D39" s="48">
        <v>3</v>
      </c>
      <c r="E39" s="48" t="s">
        <v>39</v>
      </c>
      <c r="F39" s="48">
        <v>5</v>
      </c>
      <c r="G39" s="48" t="s">
        <v>39</v>
      </c>
      <c r="H39" s="48" t="s">
        <v>39</v>
      </c>
      <c r="I39" s="48" t="s">
        <v>39</v>
      </c>
      <c r="J39" s="53" t="s">
        <v>39</v>
      </c>
      <c r="AB39" s="45" t="s">
        <v>186</v>
      </c>
      <c r="AC39" s="45">
        <v>1338</v>
      </c>
    </row>
    <row r="40" spans="1:35" s="23" customFormat="1" x14ac:dyDescent="0.2">
      <c r="A40" s="52" t="s">
        <v>230</v>
      </c>
      <c r="B40" s="48">
        <v>1</v>
      </c>
      <c r="C40" s="48" t="s">
        <v>39</v>
      </c>
      <c r="D40" s="48">
        <v>3</v>
      </c>
      <c r="E40" s="48" t="s">
        <v>39</v>
      </c>
      <c r="F40" s="48">
        <v>5</v>
      </c>
      <c r="G40" s="48" t="s">
        <v>39</v>
      </c>
      <c r="H40" s="48" t="s">
        <v>39</v>
      </c>
      <c r="I40" s="48" t="s">
        <v>39</v>
      </c>
      <c r="J40" s="53" t="s">
        <v>39</v>
      </c>
    </row>
    <row r="41" spans="1:35" s="23" customFormat="1" ht="16" thickBot="1" x14ac:dyDescent="0.25">
      <c r="A41" s="52" t="s">
        <v>231</v>
      </c>
      <c r="B41" s="48">
        <v>1</v>
      </c>
      <c r="C41" s="48" t="s">
        <v>39</v>
      </c>
      <c r="D41" s="48">
        <v>3</v>
      </c>
      <c r="E41" s="48">
        <v>4</v>
      </c>
      <c r="F41" s="48">
        <v>5</v>
      </c>
      <c r="G41" s="48" t="s">
        <v>39</v>
      </c>
      <c r="H41" s="48" t="s">
        <v>39</v>
      </c>
      <c r="I41" s="48" t="s">
        <v>39</v>
      </c>
      <c r="J41" s="53" t="s">
        <v>39</v>
      </c>
      <c r="AB41" s="23" t="s">
        <v>187</v>
      </c>
      <c r="AF41" s="4" t="s">
        <v>211</v>
      </c>
      <c r="AG41" s="4">
        <v>0.05</v>
      </c>
    </row>
    <row r="42" spans="1:35" s="23" customFormat="1" ht="16" thickTop="1" x14ac:dyDescent="0.2">
      <c r="A42" s="52" t="s">
        <v>232</v>
      </c>
      <c r="B42" s="48">
        <v>1</v>
      </c>
      <c r="C42" s="48" t="s">
        <v>39</v>
      </c>
      <c r="D42" s="48">
        <v>3</v>
      </c>
      <c r="E42" s="48">
        <v>4</v>
      </c>
      <c r="F42" s="48">
        <v>5</v>
      </c>
      <c r="G42" s="48" t="s">
        <v>39</v>
      </c>
      <c r="H42" s="48" t="s">
        <v>39</v>
      </c>
      <c r="I42" s="48" t="s">
        <v>39</v>
      </c>
      <c r="J42" s="53" t="s">
        <v>39</v>
      </c>
      <c r="AB42" s="46"/>
      <c r="AC42" s="46" t="s">
        <v>192</v>
      </c>
      <c r="AD42" s="46" t="s">
        <v>193</v>
      </c>
      <c r="AE42" s="46" t="s">
        <v>194</v>
      </c>
      <c r="AF42" s="46" t="s">
        <v>195</v>
      </c>
      <c r="AG42" s="46" t="s">
        <v>212</v>
      </c>
      <c r="AH42" s="46" t="s">
        <v>213</v>
      </c>
    </row>
    <row r="43" spans="1:35" s="23" customFormat="1" x14ac:dyDescent="0.2">
      <c r="A43" s="52" t="s">
        <v>233</v>
      </c>
      <c r="B43" s="48">
        <v>1</v>
      </c>
      <c r="C43" s="48" t="s">
        <v>39</v>
      </c>
      <c r="D43" s="48">
        <v>3</v>
      </c>
      <c r="E43" s="48">
        <v>4</v>
      </c>
      <c r="F43" s="48">
        <v>5</v>
      </c>
      <c r="G43" s="48">
        <v>6</v>
      </c>
      <c r="H43" s="48" t="s">
        <v>39</v>
      </c>
      <c r="I43" s="48" t="s">
        <v>39</v>
      </c>
      <c r="J43" s="53" t="s">
        <v>39</v>
      </c>
      <c r="AB43" s="23" t="s">
        <v>188</v>
      </c>
      <c r="AC43" s="23">
        <v>8</v>
      </c>
      <c r="AD43" s="23">
        <v>147234688724.44522</v>
      </c>
      <c r="AE43" s="23">
        <v>18404336090.555653</v>
      </c>
      <c r="AF43" s="23">
        <v>500.81074162838888</v>
      </c>
      <c r="AG43" s="23">
        <v>0</v>
      </c>
      <c r="AH43" s="4" t="s">
        <v>7</v>
      </c>
    </row>
    <row r="44" spans="1:35" s="23" customFormat="1" x14ac:dyDescent="0.2">
      <c r="A44" s="54" t="s">
        <v>234</v>
      </c>
      <c r="B44" s="45">
        <v>1</v>
      </c>
      <c r="C44" s="45" t="s">
        <v>39</v>
      </c>
      <c r="D44" s="45">
        <v>3</v>
      </c>
      <c r="E44" s="45">
        <v>4</v>
      </c>
      <c r="F44" s="45">
        <v>5</v>
      </c>
      <c r="G44" s="45">
        <v>6</v>
      </c>
      <c r="H44" s="45" t="s">
        <v>39</v>
      </c>
      <c r="I44" s="45" t="s">
        <v>39</v>
      </c>
      <c r="J44" s="55" t="s">
        <v>39</v>
      </c>
      <c r="AB44" s="23" t="s">
        <v>189</v>
      </c>
      <c r="AC44" s="23">
        <v>1329</v>
      </c>
      <c r="AD44" s="23">
        <v>48839532843.921661</v>
      </c>
      <c r="AE44" s="23">
        <v>36749084.156449705</v>
      </c>
    </row>
    <row r="45" spans="1:35" s="23" customFormat="1" x14ac:dyDescent="0.2">
      <c r="AB45" s="45" t="s">
        <v>190</v>
      </c>
      <c r="AC45" s="45">
        <v>1337</v>
      </c>
      <c r="AD45" s="45">
        <v>196074221568.36688</v>
      </c>
      <c r="AE45" s="45"/>
      <c r="AF45" s="45"/>
      <c r="AG45" s="45"/>
      <c r="AH45" s="45"/>
    </row>
    <row r="46" spans="1:35" s="23" customFormat="1" ht="16" thickBot="1" x14ac:dyDescent="0.25"/>
    <row r="47" spans="1:35" s="23" customFormat="1" ht="16" thickTop="1" x14ac:dyDescent="0.2">
      <c r="AB47" s="46"/>
      <c r="AC47" s="46" t="s">
        <v>214</v>
      </c>
      <c r="AD47" s="46" t="s">
        <v>215</v>
      </c>
      <c r="AE47" s="46" t="s">
        <v>216</v>
      </c>
      <c r="AF47" s="46" t="s">
        <v>212</v>
      </c>
      <c r="AG47" s="46" t="s">
        <v>217</v>
      </c>
      <c r="AH47" s="46" t="s">
        <v>218</v>
      </c>
      <c r="AI47" s="46" t="s">
        <v>219</v>
      </c>
    </row>
    <row r="48" spans="1:35" s="23" customFormat="1" x14ac:dyDescent="0.2">
      <c r="AB48" s="23" t="s">
        <v>191</v>
      </c>
      <c r="AC48" s="23">
        <v>-12291.502475591853</v>
      </c>
      <c r="AD48" s="23">
        <v>988.1958986823056</v>
      </c>
      <c r="AE48" s="23">
        <v>-12.438325732763884</v>
      </c>
      <c r="AF48" s="23">
        <v>1.1189081734604407E-33</v>
      </c>
      <c r="AG48" s="23">
        <v>-14230.096361230087</v>
      </c>
      <c r="AH48" s="23">
        <v>-10352.908589953619</v>
      </c>
    </row>
    <row r="49" spans="1:35" s="23" customFormat="1" x14ac:dyDescent="0.2">
      <c r="AB49" s="23" t="s">
        <v>0</v>
      </c>
      <c r="AC49" s="23">
        <v>256.85635253734796</v>
      </c>
      <c r="AD49" s="23">
        <v>11.898849070910652</v>
      </c>
      <c r="AE49" s="23">
        <v>21.586655230823098</v>
      </c>
      <c r="AF49" s="23">
        <v>7.7832174364981841E-89</v>
      </c>
      <c r="AG49" s="23">
        <v>233.51377837188343</v>
      </c>
      <c r="AH49" s="23">
        <v>280.19892670281246</v>
      </c>
      <c r="AI49" s="23">
        <v>1.0168221490038107</v>
      </c>
    </row>
    <row r="50" spans="1:35" s="23" customFormat="1" x14ac:dyDescent="0.2">
      <c r="AB50" s="23" t="s">
        <v>1</v>
      </c>
      <c r="AC50" s="23">
        <v>-131.31435939510757</v>
      </c>
      <c r="AD50" s="23">
        <v>332.94543913187579</v>
      </c>
      <c r="AE50" s="23">
        <v>-0.39440203697487952</v>
      </c>
      <c r="AF50" s="23">
        <v>0.69334751915998116</v>
      </c>
      <c r="AG50" s="23">
        <v>-784.47027049821088</v>
      </c>
      <c r="AH50" s="23">
        <v>521.84155170799579</v>
      </c>
      <c r="AI50" s="23">
        <v>1.0089001621005735</v>
      </c>
    </row>
    <row r="51" spans="1:35" s="23" customFormat="1" x14ac:dyDescent="0.2">
      <c r="AB51" s="23" t="s">
        <v>2</v>
      </c>
      <c r="AC51" s="23">
        <v>339.19345361084009</v>
      </c>
      <c r="AD51" s="23">
        <v>28.599470479168062</v>
      </c>
      <c r="AE51" s="23">
        <v>11.860130552343954</v>
      </c>
      <c r="AF51" s="23">
        <v>6.4981939262582519E-31</v>
      </c>
      <c r="AG51" s="23">
        <v>283.0884255720315</v>
      </c>
      <c r="AH51" s="23">
        <v>395.29848164964869</v>
      </c>
      <c r="AI51" s="23">
        <v>1.1066297324286174</v>
      </c>
    </row>
    <row r="52" spans="1:35" s="23" customFormat="1" x14ac:dyDescent="0.2">
      <c r="A52" s="50" t="s">
        <v>0</v>
      </c>
      <c r="B52" s="56" t="s">
        <v>1</v>
      </c>
      <c r="C52" s="56" t="s">
        <v>2</v>
      </c>
      <c r="D52" s="56" t="s">
        <v>3</v>
      </c>
      <c r="E52" s="56" t="s">
        <v>4</v>
      </c>
      <c r="F52" s="56" t="s">
        <v>129</v>
      </c>
      <c r="G52" s="56" t="s">
        <v>130</v>
      </c>
      <c r="H52" s="56" t="s">
        <v>131</v>
      </c>
      <c r="I52" s="51" t="s">
        <v>132</v>
      </c>
      <c r="AB52" s="23" t="s">
        <v>3</v>
      </c>
      <c r="AC52" s="23">
        <v>475.50054514913262</v>
      </c>
      <c r="AD52" s="23">
        <v>137.80409251438991</v>
      </c>
      <c r="AE52" s="23">
        <v>3.4505545987284774</v>
      </c>
      <c r="AF52" s="23">
        <v>5.7696824232805158E-4</v>
      </c>
      <c r="AG52" s="23">
        <v>205.16328558294362</v>
      </c>
      <c r="AH52" s="23">
        <v>745.83780471532168</v>
      </c>
      <c r="AI52" s="23">
        <v>1.0040106421370238</v>
      </c>
    </row>
    <row r="53" spans="1:35" s="23" customFormat="1" x14ac:dyDescent="0.2">
      <c r="A53" s="52">
        <v>0</v>
      </c>
      <c r="B53" s="48">
        <v>3.6132721005929902E-2</v>
      </c>
      <c r="C53" s="48">
        <v>2.4591439995447217E-13</v>
      </c>
      <c r="D53" s="48">
        <v>1.285212852013573E-2</v>
      </c>
      <c r="E53" s="48">
        <v>0</v>
      </c>
      <c r="F53" s="48">
        <v>0.81652638153398593</v>
      </c>
      <c r="G53" s="48">
        <v>0.14459698799363818</v>
      </c>
      <c r="H53" s="48">
        <v>6.7826989106585245E-3</v>
      </c>
      <c r="I53" s="53">
        <v>0.11414659361882229</v>
      </c>
      <c r="AB53" s="23" t="s">
        <v>4</v>
      </c>
      <c r="AC53" s="23">
        <v>23848.534541912821</v>
      </c>
      <c r="AD53" s="23">
        <v>413.15335481829578</v>
      </c>
      <c r="AE53" s="23">
        <v>57.72320196310973</v>
      </c>
      <c r="AF53" s="23">
        <v>0</v>
      </c>
      <c r="AG53" s="23">
        <v>23038.030705022109</v>
      </c>
      <c r="AH53" s="23">
        <v>24659.038378803532</v>
      </c>
      <c r="AI53" s="23">
        <v>1.0120736649061477</v>
      </c>
    </row>
    <row r="54" spans="1:35" s="23" customFormat="1" x14ac:dyDescent="0.2">
      <c r="A54" s="52">
        <v>0</v>
      </c>
      <c r="B54" s="48" t="s">
        <v>39</v>
      </c>
      <c r="C54" s="48" t="s">
        <v>39</v>
      </c>
      <c r="D54" s="48" t="s">
        <v>39</v>
      </c>
      <c r="E54" s="48" t="s">
        <v>39</v>
      </c>
      <c r="F54" s="48" t="s">
        <v>39</v>
      </c>
      <c r="G54" s="48" t="s">
        <v>39</v>
      </c>
      <c r="H54" s="48" t="s">
        <v>39</v>
      </c>
      <c r="I54" s="53" t="s">
        <v>39</v>
      </c>
      <c r="AB54" s="23" t="s">
        <v>129</v>
      </c>
      <c r="AC54" s="23">
        <v>352.96389942464157</v>
      </c>
      <c r="AD54" s="23">
        <v>476.27578588527894</v>
      </c>
      <c r="AE54" s="23">
        <v>0.74109142199738109</v>
      </c>
      <c r="AF54" s="23">
        <v>0.45876893258605922</v>
      </c>
      <c r="AG54" s="23">
        <v>-581.37040374936851</v>
      </c>
      <c r="AH54" s="23">
        <v>1287.2982025986516</v>
      </c>
      <c r="AI54" s="23">
        <v>1.5156444589987197</v>
      </c>
    </row>
    <row r="55" spans="1:35" s="23" customFormat="1" x14ac:dyDescent="0.2">
      <c r="A55" s="52" t="s">
        <v>235</v>
      </c>
      <c r="B55" s="48">
        <v>1.4882362190016485E-2</v>
      </c>
      <c r="C55" s="48">
        <v>1.2775935864794974E-10</v>
      </c>
      <c r="D55" s="48">
        <v>3.3947943509938461E-2</v>
      </c>
      <c r="E55" s="48">
        <v>0</v>
      </c>
      <c r="F55" s="48">
        <v>0.82998765291862908</v>
      </c>
      <c r="G55" s="48">
        <v>0.12759744107781545</v>
      </c>
      <c r="H55" s="48">
        <v>2.9727347229380197E-3</v>
      </c>
      <c r="I55" s="53">
        <v>7.6734678935632572E-2</v>
      </c>
      <c r="AB55" s="23" t="s">
        <v>131</v>
      </c>
      <c r="AC55" s="23">
        <v>-682.05814996317918</v>
      </c>
      <c r="AD55" s="23">
        <v>478.95915843084077</v>
      </c>
      <c r="AE55" s="23">
        <v>-1.424042401021683</v>
      </c>
      <c r="AF55" s="23">
        <v>0.15466894033014233</v>
      </c>
      <c r="AG55" s="23">
        <v>-1621.6565608071887</v>
      </c>
      <c r="AH55" s="23">
        <v>257.54026088083049</v>
      </c>
      <c r="AI55" s="23">
        <v>1.6540729937369343</v>
      </c>
    </row>
    <row r="56" spans="1:35" s="23" customFormat="1" x14ac:dyDescent="0.2">
      <c r="A56" s="52">
        <v>0</v>
      </c>
      <c r="B56" s="48" t="s">
        <v>39</v>
      </c>
      <c r="C56" s="48" t="s">
        <v>39</v>
      </c>
      <c r="D56" s="48" t="s">
        <v>39</v>
      </c>
      <c r="E56" s="48">
        <v>0</v>
      </c>
      <c r="F56" s="48" t="s">
        <v>39</v>
      </c>
      <c r="G56" s="48" t="s">
        <v>39</v>
      </c>
      <c r="H56" s="48" t="s">
        <v>39</v>
      </c>
      <c r="I56" s="53" t="s">
        <v>39</v>
      </c>
      <c r="AB56" s="45" t="s">
        <v>132</v>
      </c>
      <c r="AC56" s="45">
        <v>-607.08709187618615</v>
      </c>
      <c r="AD56" s="45">
        <v>477.20391188566487</v>
      </c>
      <c r="AE56" s="45">
        <v>-1.2721754301579165</v>
      </c>
      <c r="AF56" s="45">
        <v>0.20353334065188855</v>
      </c>
      <c r="AG56" s="45">
        <v>-1543.2421467775098</v>
      </c>
      <c r="AH56" s="45">
        <v>329.06796302513749</v>
      </c>
      <c r="AI56" s="45">
        <v>1.5247483179554542</v>
      </c>
    </row>
    <row r="57" spans="1:35" s="23" customFormat="1" x14ac:dyDescent="0.2">
      <c r="A57" s="52" t="s">
        <v>235</v>
      </c>
      <c r="B57" s="48">
        <v>0.81569494306665868</v>
      </c>
      <c r="C57" s="48">
        <v>0</v>
      </c>
      <c r="D57" s="48">
        <v>7.9230989796585938E-4</v>
      </c>
      <c r="E57" s="48" t="s">
        <v>235</v>
      </c>
      <c r="F57" s="48">
        <v>0.81811348880812207</v>
      </c>
      <c r="G57" s="48">
        <v>0.47169971453928305</v>
      </c>
      <c r="H57" s="48">
        <v>0.10712398755299113</v>
      </c>
      <c r="I57" s="53">
        <v>0.2384148231687816</v>
      </c>
    </row>
    <row r="58" spans="1:35" s="23" customFormat="1" x14ac:dyDescent="0.2">
      <c r="A58" s="52">
        <v>0</v>
      </c>
      <c r="B58" s="48" t="s">
        <v>39</v>
      </c>
      <c r="C58" s="48">
        <v>0</v>
      </c>
      <c r="D58" s="48" t="s">
        <v>39</v>
      </c>
      <c r="E58" s="48">
        <v>0</v>
      </c>
      <c r="F58" s="48" t="s">
        <v>39</v>
      </c>
      <c r="G58" s="48" t="s">
        <v>39</v>
      </c>
      <c r="H58" s="48" t="s">
        <v>39</v>
      </c>
      <c r="I58" s="53" t="s">
        <v>39</v>
      </c>
    </row>
    <row r="59" spans="1:35" s="23" customFormat="1" x14ac:dyDescent="0.2">
      <c r="A59" s="52" t="s">
        <v>235</v>
      </c>
      <c r="B59" s="48">
        <v>0.74461022852830561</v>
      </c>
      <c r="C59" s="48" t="s">
        <v>235</v>
      </c>
      <c r="D59" s="48">
        <v>6.0771583467955637E-4</v>
      </c>
      <c r="E59" s="48" t="s">
        <v>235</v>
      </c>
      <c r="F59" s="48">
        <v>5.8089530535531564E-2</v>
      </c>
      <c r="G59" s="48">
        <v>0.39245580351013687</v>
      </c>
      <c r="H59" s="48">
        <v>0.11556269602568203</v>
      </c>
      <c r="I59" s="53">
        <v>0.24830744574462493</v>
      </c>
    </row>
    <row r="60" spans="1:35" s="23" customFormat="1" x14ac:dyDescent="0.2">
      <c r="A60" s="52">
        <v>0</v>
      </c>
      <c r="B60" s="48" t="s">
        <v>39</v>
      </c>
      <c r="C60" s="48">
        <v>0</v>
      </c>
      <c r="D60" s="48">
        <v>6.0771583467955637E-4</v>
      </c>
      <c r="E60" s="48">
        <v>0</v>
      </c>
      <c r="F60" s="48" t="s">
        <v>39</v>
      </c>
      <c r="G60" s="48" t="s">
        <v>39</v>
      </c>
      <c r="H60" s="48" t="s">
        <v>39</v>
      </c>
      <c r="I60" s="53" t="s">
        <v>39</v>
      </c>
    </row>
    <row r="61" spans="1:35" s="23" customFormat="1" ht="21" thickBot="1" x14ac:dyDescent="0.3">
      <c r="A61" s="52" t="s">
        <v>235</v>
      </c>
      <c r="B61" s="48">
        <v>0.69964117019424998</v>
      </c>
      <c r="C61" s="48" t="s">
        <v>235</v>
      </c>
      <c r="D61" s="48" t="s">
        <v>235</v>
      </c>
      <c r="E61" s="48" t="s">
        <v>235</v>
      </c>
      <c r="F61" s="48">
        <v>4.7810766443926567E-2</v>
      </c>
      <c r="G61" s="48">
        <v>0.44266796841755551</v>
      </c>
      <c r="H61" s="48">
        <v>0.1363464178000855</v>
      </c>
      <c r="I61" s="53">
        <v>0.21693259383831409</v>
      </c>
      <c r="AB61" s="38" t="s">
        <v>308</v>
      </c>
    </row>
    <row r="62" spans="1:35" s="23" customFormat="1" ht="16" thickTop="1" x14ac:dyDescent="0.2">
      <c r="A62" s="52">
        <v>0</v>
      </c>
      <c r="B62" s="48" t="s">
        <v>39</v>
      </c>
      <c r="C62" s="48">
        <v>0</v>
      </c>
      <c r="D62" s="48">
        <v>5.1196106063811087E-4</v>
      </c>
      <c r="E62" s="48">
        <v>0</v>
      </c>
      <c r="F62" s="48">
        <v>4.7810766443926567E-2</v>
      </c>
      <c r="G62" s="48" t="s">
        <v>39</v>
      </c>
      <c r="H62" s="48" t="s">
        <v>39</v>
      </c>
      <c r="I62" s="53" t="s">
        <v>39</v>
      </c>
      <c r="AB62" s="23" t="s">
        <v>206</v>
      </c>
    </row>
    <row r="63" spans="1:35" s="23" customFormat="1" x14ac:dyDescent="0.2">
      <c r="A63" s="54" t="s">
        <v>235</v>
      </c>
      <c r="B63" s="45">
        <v>0.69260074429719465</v>
      </c>
      <c r="C63" s="45" t="s">
        <v>235</v>
      </c>
      <c r="D63" s="45" t="s">
        <v>235</v>
      </c>
      <c r="E63" s="45" t="s">
        <v>235</v>
      </c>
      <c r="F63" s="45" t="s">
        <v>235</v>
      </c>
      <c r="G63" s="45">
        <v>0.12149286523365177</v>
      </c>
      <c r="H63" s="45">
        <v>0.36997899810266788</v>
      </c>
      <c r="I63" s="55">
        <v>0.5300658426196726</v>
      </c>
    </row>
    <row r="64" spans="1:35" s="23" customFormat="1" ht="16" thickBot="1" x14ac:dyDescent="0.25">
      <c r="AB64" s="44" t="s">
        <v>207</v>
      </c>
      <c r="AC64" s="44"/>
      <c r="AE64" s="44"/>
      <c r="AF64" s="44"/>
    </row>
    <row r="65" spans="1:35" s="23" customFormat="1" ht="16" thickTop="1" x14ac:dyDescent="0.2">
      <c r="AB65" s="23" t="s">
        <v>182</v>
      </c>
      <c r="AC65" s="23">
        <v>0.86633305221487444</v>
      </c>
      <c r="AE65" s="23" t="s">
        <v>208</v>
      </c>
      <c r="AF65" s="23">
        <v>23316.466396043397</v>
      </c>
    </row>
    <row r="66" spans="1:35" s="23" customFormat="1" x14ac:dyDescent="0.2">
      <c r="AB66" s="23" t="s">
        <v>183</v>
      </c>
      <c r="AC66" s="23">
        <v>0.75053295735994041</v>
      </c>
      <c r="AE66" s="23" t="s">
        <v>209</v>
      </c>
      <c r="AF66" s="23">
        <v>23316.601938212072</v>
      </c>
    </row>
    <row r="67" spans="1:35" s="23" customFormat="1" x14ac:dyDescent="0.2">
      <c r="A67" s="50" t="s">
        <v>222</v>
      </c>
      <c r="B67" s="51" t="s">
        <v>223</v>
      </c>
      <c r="AB67" s="23" t="s">
        <v>184</v>
      </c>
      <c r="AC67" s="23">
        <v>0.74921997292499265</v>
      </c>
      <c r="AE67" s="45" t="s">
        <v>210</v>
      </c>
      <c r="AF67" s="45">
        <v>23358.057845968902</v>
      </c>
    </row>
    <row r="68" spans="1:35" s="23" customFormat="1" x14ac:dyDescent="0.2">
      <c r="A68" s="52">
        <v>0</v>
      </c>
      <c r="B68" s="53">
        <v>1</v>
      </c>
      <c r="AB68" s="23" t="s">
        <v>185</v>
      </c>
      <c r="AC68" s="23">
        <v>6064.4443982204148</v>
      </c>
    </row>
    <row r="69" spans="1:35" s="23" customFormat="1" x14ac:dyDescent="0.2">
      <c r="A69" s="52"/>
      <c r="B69" s="53"/>
      <c r="AB69" s="45" t="s">
        <v>186</v>
      </c>
      <c r="AC69" s="45">
        <v>1338</v>
      </c>
    </row>
    <row r="70" spans="1:35" s="23" customFormat="1" x14ac:dyDescent="0.2">
      <c r="A70" s="52">
        <v>0</v>
      </c>
      <c r="B70" s="53">
        <v>5</v>
      </c>
    </row>
    <row r="71" spans="1:35" s="23" customFormat="1" ht="16" thickBot="1" x14ac:dyDescent="0.25">
      <c r="A71" s="52"/>
      <c r="B71" s="53"/>
      <c r="AB71" s="23" t="s">
        <v>187</v>
      </c>
      <c r="AF71" s="4" t="s">
        <v>211</v>
      </c>
      <c r="AG71" s="4">
        <v>0.05</v>
      </c>
    </row>
    <row r="72" spans="1:35" s="23" customFormat="1" ht="16" thickTop="1" x14ac:dyDescent="0.2">
      <c r="A72" s="52">
        <v>0</v>
      </c>
      <c r="B72" s="53">
        <v>3</v>
      </c>
      <c r="AB72" s="46"/>
      <c r="AC72" s="46" t="s">
        <v>192</v>
      </c>
      <c r="AD72" s="46" t="s">
        <v>193</v>
      </c>
      <c r="AE72" s="46" t="s">
        <v>194</v>
      </c>
      <c r="AF72" s="46" t="s">
        <v>195</v>
      </c>
      <c r="AG72" s="46" t="s">
        <v>212</v>
      </c>
      <c r="AH72" s="46" t="s">
        <v>213</v>
      </c>
    </row>
    <row r="73" spans="1:35" s="23" customFormat="1" x14ac:dyDescent="0.2">
      <c r="A73" s="52"/>
      <c r="B73" s="53"/>
      <c r="AB73" s="23" t="s">
        <v>188</v>
      </c>
      <c r="AC73" s="23">
        <v>7</v>
      </c>
      <c r="AD73" s="23">
        <v>147160165375.75461</v>
      </c>
      <c r="AE73" s="23">
        <v>21022880767.964943</v>
      </c>
      <c r="AF73" s="23">
        <v>571.62365172276134</v>
      </c>
      <c r="AG73" s="23">
        <v>0</v>
      </c>
      <c r="AH73" s="4" t="s">
        <v>7</v>
      </c>
    </row>
    <row r="74" spans="1:35" s="23" customFormat="1" x14ac:dyDescent="0.2">
      <c r="A74" s="52">
        <v>6.0771583467955637E-4</v>
      </c>
      <c r="B74" s="53">
        <v>4</v>
      </c>
      <c r="AB74" s="23" t="s">
        <v>189</v>
      </c>
      <c r="AC74" s="23">
        <v>1330</v>
      </c>
      <c r="AD74" s="23">
        <v>48914056192.612274</v>
      </c>
      <c r="AE74" s="23">
        <v>36777485.859106973</v>
      </c>
    </row>
    <row r="75" spans="1:35" s="23" customFormat="1" x14ac:dyDescent="0.2">
      <c r="A75" s="52"/>
      <c r="B75" s="53"/>
      <c r="AB75" s="45" t="s">
        <v>190</v>
      </c>
      <c r="AC75" s="45">
        <v>1337</v>
      </c>
      <c r="AD75" s="45">
        <v>196074221568.36688</v>
      </c>
      <c r="AE75" s="45"/>
      <c r="AF75" s="45"/>
      <c r="AG75" s="45"/>
      <c r="AH75" s="45"/>
    </row>
    <row r="76" spans="1:35" s="23" customFormat="1" ht="16" thickBot="1" x14ac:dyDescent="0.25">
      <c r="A76" s="52">
        <v>4.7810766443926567E-2</v>
      </c>
      <c r="B76" s="53">
        <v>6</v>
      </c>
    </row>
    <row r="77" spans="1:35" s="23" customFormat="1" ht="16" thickTop="1" x14ac:dyDescent="0.2">
      <c r="A77" s="52"/>
      <c r="B77" s="53"/>
      <c r="AB77" s="46"/>
      <c r="AC77" s="46" t="s">
        <v>214</v>
      </c>
      <c r="AD77" s="46" t="s">
        <v>215</v>
      </c>
      <c r="AE77" s="46" t="s">
        <v>216</v>
      </c>
      <c r="AF77" s="46" t="s">
        <v>212</v>
      </c>
      <c r="AG77" s="46" t="s">
        <v>217</v>
      </c>
      <c r="AH77" s="46" t="s">
        <v>218</v>
      </c>
      <c r="AI77" s="46" t="s">
        <v>219</v>
      </c>
    </row>
    <row r="78" spans="1:35" x14ac:dyDescent="0.2">
      <c r="A78" s="54">
        <v>0.12149286523365177</v>
      </c>
      <c r="B78" s="55">
        <v>7</v>
      </c>
      <c r="AB78" s="23" t="s">
        <v>191</v>
      </c>
      <c r="AC78" s="23">
        <v>-12352.974916218256</v>
      </c>
      <c r="AD78" s="23">
        <v>987.63402744079451</v>
      </c>
      <c r="AE78" s="23">
        <v>-12.507644099938403</v>
      </c>
      <c r="AF78" s="23">
        <v>5.119262710088976E-34</v>
      </c>
      <c r="AG78" s="23">
        <v>-14290.465222730734</v>
      </c>
      <c r="AH78" s="23">
        <v>-10415.484609705778</v>
      </c>
      <c r="AI78" s="23"/>
    </row>
    <row r="79" spans="1:35" s="23" customFormat="1" x14ac:dyDescent="0.2">
      <c r="AB79" s="23" t="s">
        <v>0</v>
      </c>
      <c r="AC79" s="23">
        <v>257.40675431553825</v>
      </c>
      <c r="AD79" s="23">
        <v>11.897164754523466</v>
      </c>
      <c r="AE79" s="23">
        <v>21.635974589464155</v>
      </c>
      <c r="AF79" s="23">
        <v>3.4586568737836249E-89</v>
      </c>
      <c r="AG79" s="23">
        <v>234.06750035463426</v>
      </c>
      <c r="AH79" s="23">
        <v>280.74600827644224</v>
      </c>
      <c r="AI79" s="23">
        <v>1.0157492745575947</v>
      </c>
    </row>
    <row r="80" spans="1:35" s="23" customFormat="1" x14ac:dyDescent="0.2">
      <c r="AB80" s="23" t="s">
        <v>1</v>
      </c>
      <c r="AC80" s="23">
        <v>-131.61521057834773</v>
      </c>
      <c r="AD80" s="23">
        <v>333.07400645397138</v>
      </c>
      <c r="AE80" s="23">
        <v>-0.39515305315948179</v>
      </c>
      <c r="AF80" s="23">
        <v>0.6927933028699419</v>
      </c>
      <c r="AG80" s="23">
        <v>-785.02289087876068</v>
      </c>
      <c r="AH80" s="23">
        <v>521.79246972206522</v>
      </c>
      <c r="AI80" s="23">
        <v>1.0088997558821109</v>
      </c>
    </row>
    <row r="81" spans="1:35" s="23" customFormat="1" x14ac:dyDescent="0.2">
      <c r="AB81" s="23" t="s">
        <v>2</v>
      </c>
      <c r="AC81" s="23">
        <v>329.03514542062004</v>
      </c>
      <c r="AD81" s="23">
        <v>27.706257190589866</v>
      </c>
      <c r="AE81" s="23">
        <v>11.875842455269392</v>
      </c>
      <c r="AF81" s="23">
        <v>5.4698501105224657E-31</v>
      </c>
      <c r="AG81" s="23">
        <v>274.68241632762869</v>
      </c>
      <c r="AH81" s="23">
        <v>383.38787451361139</v>
      </c>
      <c r="AI81" s="23">
        <v>1.0377830086895796</v>
      </c>
    </row>
    <row r="82" spans="1:35" ht="21" thickBot="1" x14ac:dyDescent="0.3">
      <c r="A82" s="38" t="s">
        <v>202</v>
      </c>
      <c r="F82" s="38" t="s">
        <v>236</v>
      </c>
      <c r="G82" s="23"/>
      <c r="AB82" s="23" t="s">
        <v>3</v>
      </c>
      <c r="AC82" s="23">
        <v>481.79856688805182</v>
      </c>
      <c r="AD82" s="23">
        <v>137.78631851665128</v>
      </c>
      <c r="AE82" s="23">
        <v>3.4967083239823058</v>
      </c>
      <c r="AF82" s="23">
        <v>4.865454486606527E-4</v>
      </c>
      <c r="AG82" s="23">
        <v>211.49636072793049</v>
      </c>
      <c r="AH82" s="23">
        <v>752.1007730481731</v>
      </c>
      <c r="AI82" s="23">
        <v>1.0029765087616804</v>
      </c>
    </row>
    <row r="83" spans="1:35" ht="17" thickTop="1" thickBot="1" x14ac:dyDescent="0.25">
      <c r="F83" s="23"/>
      <c r="G83" s="23"/>
      <c r="AB83" s="23" t="s">
        <v>4</v>
      </c>
      <c r="AC83" s="23">
        <v>23810.697083185543</v>
      </c>
      <c r="AD83" s="23">
        <v>412.45737077438832</v>
      </c>
      <c r="AE83" s="23">
        <v>57.728867927565418</v>
      </c>
      <c r="AF83" s="23">
        <v>0</v>
      </c>
      <c r="AG83" s="23">
        <v>23001.559147956894</v>
      </c>
      <c r="AH83" s="23">
        <v>24619.835018414193</v>
      </c>
      <c r="AI83" s="23">
        <v>1.0078877765947258</v>
      </c>
    </row>
    <row r="84" spans="1:35" x14ac:dyDescent="0.2">
      <c r="A84" s="8" t="s">
        <v>203</v>
      </c>
      <c r="B84" s="8" t="s">
        <v>204</v>
      </c>
      <c r="C84" s="8" t="s">
        <v>205</v>
      </c>
      <c r="F84" s="8" t="s">
        <v>237</v>
      </c>
      <c r="G84" s="8" t="s">
        <v>16</v>
      </c>
      <c r="AB84" s="23" t="s">
        <v>129</v>
      </c>
      <c r="AC84" s="23">
        <v>690.56248305847578</v>
      </c>
      <c r="AD84" s="23">
        <v>413.24088946433733</v>
      </c>
      <c r="AE84" s="23">
        <v>1.6710894315265268</v>
      </c>
      <c r="AF84" s="23">
        <v>9.4939272074581443E-2</v>
      </c>
      <c r="AG84" s="23">
        <v>-120.11251936770805</v>
      </c>
      <c r="AH84" s="23">
        <v>1501.2374854846596</v>
      </c>
      <c r="AI84" s="23">
        <v>1.1401221678403926</v>
      </c>
    </row>
    <row r="85" spans="1:35" x14ac:dyDescent="0.2">
      <c r="A85" s="6">
        <v>1</v>
      </c>
      <c r="B85" s="6">
        <v>25293.713028396829</v>
      </c>
      <c r="C85" s="6">
        <v>-8408.78902839683</v>
      </c>
      <c r="F85" s="6">
        <v>3.7369207772795218E-2</v>
      </c>
      <c r="G85" s="6">
        <v>1121.8739</v>
      </c>
      <c r="AB85" s="45" t="s">
        <v>132</v>
      </c>
      <c r="AC85" s="45">
        <v>-256.80713095776429</v>
      </c>
      <c r="AD85" s="45">
        <v>409.08277698847616</v>
      </c>
      <c r="AE85" s="45">
        <v>-0.6277632435378685</v>
      </c>
      <c r="AF85" s="45">
        <v>0.53026681423190736</v>
      </c>
      <c r="AG85" s="45">
        <v>-1059.3249593786686</v>
      </c>
      <c r="AH85" s="45">
        <v>545.71069746313992</v>
      </c>
      <c r="AI85" s="45">
        <v>1.1196364964231247</v>
      </c>
    </row>
    <row r="86" spans="1:35" x14ac:dyDescent="0.2">
      <c r="A86" s="6">
        <v>2</v>
      </c>
      <c r="B86" s="6">
        <v>3448.6028343093267</v>
      </c>
      <c r="C86" s="6">
        <v>-1723.0505343093266</v>
      </c>
      <c r="F86" s="6">
        <v>0.11210762331838565</v>
      </c>
      <c r="G86" s="6">
        <v>1131.5065999999999</v>
      </c>
    </row>
    <row r="87" spans="1:35" x14ac:dyDescent="0.2">
      <c r="A87" s="6">
        <v>3</v>
      </c>
      <c r="B87" s="6">
        <v>6706.9884907007254</v>
      </c>
      <c r="C87" s="6">
        <v>-2257.5264907007249</v>
      </c>
      <c r="F87" s="6">
        <v>0.1868460388639761</v>
      </c>
      <c r="G87" s="6">
        <v>1135.9407000000001</v>
      </c>
    </row>
    <row r="88" spans="1:35" x14ac:dyDescent="0.2">
      <c r="A88" s="6">
        <v>4</v>
      </c>
      <c r="B88" s="6">
        <v>3754.8301629796465</v>
      </c>
      <c r="C88" s="6">
        <v>18229.640447020352</v>
      </c>
      <c r="F88" s="6">
        <v>0.26158445440956651</v>
      </c>
      <c r="G88" s="6">
        <v>1136.3994</v>
      </c>
    </row>
    <row r="89" spans="1:35" ht="21" thickBot="1" x14ac:dyDescent="0.3">
      <c r="A89" s="6">
        <v>5</v>
      </c>
      <c r="B89" s="6">
        <v>5592.4933864892364</v>
      </c>
      <c r="C89" s="6">
        <v>-1725.6381864892364</v>
      </c>
      <c r="F89" s="6">
        <v>0.33632286995515698</v>
      </c>
      <c r="G89" s="6">
        <v>1137.011</v>
      </c>
      <c r="AB89" s="38" t="s">
        <v>310</v>
      </c>
      <c r="AC89" s="23"/>
      <c r="AD89" s="23"/>
      <c r="AE89" s="23"/>
      <c r="AF89" s="23"/>
      <c r="AG89" s="23"/>
      <c r="AH89" s="23"/>
      <c r="AI89" s="23"/>
    </row>
    <row r="90" spans="1:35" ht="16" thickTop="1" x14ac:dyDescent="0.2">
      <c r="A90" s="6">
        <v>6</v>
      </c>
      <c r="B90" s="6">
        <v>3719.8257990457787</v>
      </c>
      <c r="C90" s="6">
        <v>36.795800954221249</v>
      </c>
      <c r="F90" s="6">
        <v>0.41106128550074744</v>
      </c>
      <c r="G90" s="6">
        <v>1137.4697000000001</v>
      </c>
      <c r="AB90" s="23" t="s">
        <v>206</v>
      </c>
      <c r="AC90" s="23"/>
      <c r="AD90" s="23"/>
      <c r="AE90" s="23"/>
      <c r="AF90" s="23"/>
      <c r="AG90" s="23"/>
      <c r="AH90" s="23"/>
      <c r="AI90" s="23"/>
    </row>
    <row r="91" spans="1:35" x14ac:dyDescent="0.2">
      <c r="A91" s="6">
        <v>7</v>
      </c>
      <c r="B91" s="6">
        <v>10659.961225058598</v>
      </c>
      <c r="C91" s="6">
        <v>-2419.3716250585985</v>
      </c>
      <c r="F91" s="6">
        <v>0.48579970104633785</v>
      </c>
      <c r="G91" s="6">
        <v>1141.4450999999999</v>
      </c>
      <c r="AB91" s="23"/>
      <c r="AC91" s="23"/>
      <c r="AD91" s="23"/>
      <c r="AE91" s="23"/>
      <c r="AF91" s="23"/>
      <c r="AG91" s="23"/>
      <c r="AH91" s="23"/>
      <c r="AI91" s="23"/>
    </row>
    <row r="92" spans="1:35" ht="16" thickBot="1" x14ac:dyDescent="0.25">
      <c r="A92" s="6">
        <v>8</v>
      </c>
      <c r="B92" s="6">
        <v>8047.9106069021236</v>
      </c>
      <c r="C92" s="6">
        <v>-766.4050069021232</v>
      </c>
      <c r="F92" s="6">
        <v>0.5605381165919282</v>
      </c>
      <c r="G92" s="6">
        <v>1146.7965999999999</v>
      </c>
      <c r="AB92" s="44" t="s">
        <v>207</v>
      </c>
      <c r="AC92" s="44"/>
      <c r="AD92" s="23"/>
      <c r="AE92" s="44"/>
      <c r="AF92" s="44"/>
      <c r="AG92" s="23"/>
      <c r="AH92" s="23"/>
      <c r="AI92" s="23"/>
    </row>
    <row r="93" spans="1:35" ht="16" thickTop="1" x14ac:dyDescent="0.2">
      <c r="A93" s="6">
        <v>9</v>
      </c>
      <c r="B93" s="6">
        <v>8502.9739198291791</v>
      </c>
      <c r="C93" s="6">
        <v>-2096.5632198291787</v>
      </c>
      <c r="F93" s="6">
        <v>0.63527653213751867</v>
      </c>
      <c r="G93" s="6">
        <v>1149.3959</v>
      </c>
      <c r="AB93" s="23" t="s">
        <v>182</v>
      </c>
      <c r="AC93" s="23">
        <v>0.86637734350665219</v>
      </c>
      <c r="AD93" s="23"/>
      <c r="AE93" s="23" t="s">
        <v>208</v>
      </c>
      <c r="AF93" s="23">
        <v>23316.05472144295</v>
      </c>
      <c r="AG93" s="23"/>
      <c r="AH93" s="23"/>
      <c r="AI93" s="23"/>
    </row>
    <row r="94" spans="1:35" x14ac:dyDescent="0.2">
      <c r="A94" s="6">
        <v>10</v>
      </c>
      <c r="B94" s="6">
        <v>11884.637517953133</v>
      </c>
      <c r="C94" s="6">
        <v>17038.499402046866</v>
      </c>
      <c r="F94" s="6">
        <v>0.71001494768310913</v>
      </c>
      <c r="G94" s="6">
        <v>1163.4627</v>
      </c>
      <c r="AB94" s="23" t="s">
        <v>183</v>
      </c>
      <c r="AC94" s="23">
        <v>0.75060970134164351</v>
      </c>
      <c r="AD94" s="23"/>
      <c r="AE94" s="23" t="s">
        <v>209</v>
      </c>
      <c r="AF94" s="23">
        <v>23316.190263611625</v>
      </c>
      <c r="AG94" s="23"/>
      <c r="AH94" s="23"/>
      <c r="AI94" s="23"/>
    </row>
    <row r="95" spans="1:35" x14ac:dyDescent="0.2">
      <c r="A95" s="6">
        <v>11</v>
      </c>
      <c r="B95" s="6">
        <v>3245.2082315476073</v>
      </c>
      <c r="C95" s="6">
        <v>-523.88743154760732</v>
      </c>
      <c r="F95" s="6">
        <v>0.7847533632286996</v>
      </c>
      <c r="G95" s="6">
        <v>1241.5650000000001</v>
      </c>
      <c r="AB95" s="23" t="s">
        <v>184</v>
      </c>
      <c r="AC95" s="23">
        <v>0.74929712082238897</v>
      </c>
      <c r="AD95" s="23"/>
      <c r="AE95" s="45" t="s">
        <v>210</v>
      </c>
      <c r="AF95" s="45">
        <v>23357.646171368455</v>
      </c>
      <c r="AG95" s="23"/>
      <c r="AH95" s="23"/>
      <c r="AI95" s="23"/>
    </row>
    <row r="96" spans="1:35" x14ac:dyDescent="0.2">
      <c r="A96" s="6">
        <v>12</v>
      </c>
      <c r="B96" s="6">
        <v>35717.463669102348</v>
      </c>
      <c r="C96" s="6">
        <v>-7908.7385691023483</v>
      </c>
      <c r="F96" s="6">
        <v>0.85949177877428995</v>
      </c>
      <c r="G96" s="6">
        <v>1242.26</v>
      </c>
      <c r="AB96" s="23" t="s">
        <v>185</v>
      </c>
      <c r="AC96" s="23">
        <v>6063.5115186620369</v>
      </c>
      <c r="AD96" s="23"/>
      <c r="AE96" s="23"/>
      <c r="AF96" s="23"/>
      <c r="AG96" s="23"/>
      <c r="AH96" s="23"/>
      <c r="AI96" s="23"/>
    </row>
    <row r="97" spans="1:35" x14ac:dyDescent="0.2">
      <c r="A97" s="6">
        <v>13</v>
      </c>
      <c r="B97" s="6">
        <v>4546.0469857087555</v>
      </c>
      <c r="C97" s="6">
        <v>-2719.2039857087557</v>
      </c>
      <c r="F97" s="6">
        <v>0.93423019431988041</v>
      </c>
      <c r="G97" s="6">
        <v>1242.816</v>
      </c>
      <c r="AB97" s="45" t="s">
        <v>186</v>
      </c>
      <c r="AC97" s="45">
        <v>1338</v>
      </c>
      <c r="AD97" s="23"/>
      <c r="AE97" s="23"/>
      <c r="AF97" s="23"/>
      <c r="AG97" s="23"/>
      <c r="AH97" s="23"/>
      <c r="AI97" s="23"/>
    </row>
    <row r="98" spans="1:35" x14ac:dyDescent="0.2">
      <c r="A98" s="6">
        <v>14</v>
      </c>
      <c r="B98" s="6">
        <v>14917.078439320107</v>
      </c>
      <c r="C98" s="6">
        <v>-3826.3606393201062</v>
      </c>
      <c r="F98" s="6">
        <v>1.0089686098654709</v>
      </c>
      <c r="G98" s="6">
        <v>1252.4069999999999</v>
      </c>
      <c r="AB98" s="23"/>
      <c r="AC98" s="23"/>
      <c r="AD98" s="23"/>
      <c r="AE98" s="23"/>
      <c r="AF98" s="23"/>
      <c r="AG98" s="23"/>
      <c r="AH98" s="23"/>
      <c r="AI98" s="23"/>
    </row>
    <row r="99" spans="1:35" ht="16" thickBot="1" x14ac:dyDescent="0.25">
      <c r="A99" s="6">
        <v>15</v>
      </c>
      <c r="B99" s="6">
        <v>31969.001276095769</v>
      </c>
      <c r="C99" s="6">
        <v>7642.7564239042331</v>
      </c>
      <c r="F99" s="6">
        <v>1.0837070254110612</v>
      </c>
      <c r="G99" s="6">
        <v>1253.9359999999999</v>
      </c>
      <c r="AB99" s="23" t="s">
        <v>187</v>
      </c>
      <c r="AC99" s="23"/>
      <c r="AD99" s="23"/>
      <c r="AE99" s="23"/>
      <c r="AF99" s="4" t="s">
        <v>211</v>
      </c>
      <c r="AG99" s="4">
        <v>0.05</v>
      </c>
      <c r="AH99" s="23"/>
      <c r="AI99" s="23"/>
    </row>
    <row r="100" spans="1:35" ht="16" thickTop="1" x14ac:dyDescent="0.2">
      <c r="A100" s="6">
        <v>16</v>
      </c>
      <c r="B100" s="6">
        <v>670.02627532226484</v>
      </c>
      <c r="C100" s="6">
        <v>1167.2107246777352</v>
      </c>
      <c r="F100" s="6">
        <v>1.1584454409566518</v>
      </c>
      <c r="G100" s="6">
        <v>1256.299</v>
      </c>
      <c r="AB100" s="46"/>
      <c r="AC100" s="46" t="s">
        <v>192</v>
      </c>
      <c r="AD100" s="46" t="s">
        <v>193</v>
      </c>
      <c r="AE100" s="46" t="s">
        <v>194</v>
      </c>
      <c r="AF100" s="46" t="s">
        <v>195</v>
      </c>
      <c r="AG100" s="46" t="s">
        <v>212</v>
      </c>
      <c r="AH100" s="46" t="s">
        <v>213</v>
      </c>
      <c r="AI100" s="23"/>
    </row>
    <row r="101" spans="1:35" x14ac:dyDescent="0.2">
      <c r="A101" s="6">
        <v>17</v>
      </c>
      <c r="B101" s="6">
        <v>12333.866803065674</v>
      </c>
      <c r="C101" s="6">
        <v>-1536.5306030656739</v>
      </c>
      <c r="F101" s="6">
        <v>1.2331838565022422</v>
      </c>
      <c r="G101" s="6">
        <v>1261.442</v>
      </c>
      <c r="AB101" s="23" t="s">
        <v>188</v>
      </c>
      <c r="AC101" s="23">
        <v>7</v>
      </c>
      <c r="AD101" s="23">
        <v>147175212892.22711</v>
      </c>
      <c r="AE101" s="23">
        <v>21025030413.175301</v>
      </c>
      <c r="AF101" s="23">
        <v>571.85802343612363</v>
      </c>
      <c r="AG101" s="23">
        <v>0</v>
      </c>
      <c r="AH101" s="4" t="s">
        <v>7</v>
      </c>
      <c r="AI101" s="23"/>
    </row>
    <row r="102" spans="1:35" x14ac:dyDescent="0.2">
      <c r="A102" s="6">
        <v>18</v>
      </c>
      <c r="B102" s="6">
        <v>1925.9110741471659</v>
      </c>
      <c r="C102" s="6">
        <v>469.26047585283413</v>
      </c>
      <c r="F102" s="6">
        <v>1.3079222720478325</v>
      </c>
      <c r="G102" s="6">
        <v>1261.8589999999999</v>
      </c>
      <c r="AB102" s="23" t="s">
        <v>189</v>
      </c>
      <c r="AC102" s="23">
        <v>1330</v>
      </c>
      <c r="AD102" s="23">
        <v>48899008676.139771</v>
      </c>
      <c r="AE102" s="23">
        <v>36766171.936947197</v>
      </c>
      <c r="AF102" s="23"/>
      <c r="AG102" s="23"/>
      <c r="AH102" s="23"/>
      <c r="AI102" s="23"/>
    </row>
    <row r="103" spans="1:35" x14ac:dyDescent="0.2">
      <c r="A103" s="6">
        <v>19</v>
      </c>
      <c r="B103" s="6">
        <v>15023.547995745193</v>
      </c>
      <c r="C103" s="6">
        <v>-4421.1629957451933</v>
      </c>
      <c r="F103" s="6">
        <v>1.3826606875934231</v>
      </c>
      <c r="G103" s="6">
        <v>1263.249</v>
      </c>
      <c r="AB103" s="45" t="s">
        <v>190</v>
      </c>
      <c r="AC103" s="45">
        <v>1337</v>
      </c>
      <c r="AD103" s="45">
        <v>196074221568.36688</v>
      </c>
      <c r="AE103" s="45"/>
      <c r="AF103" s="45"/>
      <c r="AG103" s="45"/>
      <c r="AH103" s="45"/>
      <c r="AI103" s="23"/>
    </row>
    <row r="104" spans="1:35" ht="16" thickBot="1" x14ac:dyDescent="0.25">
      <c r="A104" s="6">
        <v>20</v>
      </c>
      <c r="B104" s="6">
        <v>30497.850103632765</v>
      </c>
      <c r="C104" s="6">
        <v>6339.6168963672317</v>
      </c>
      <c r="F104" s="6">
        <v>1.4573991031390134</v>
      </c>
      <c r="G104" s="6">
        <v>1391.5287000000001</v>
      </c>
      <c r="AB104" s="23"/>
      <c r="AC104" s="23"/>
      <c r="AD104" s="23"/>
      <c r="AE104" s="23"/>
      <c r="AF104" s="23"/>
      <c r="AG104" s="23"/>
      <c r="AH104" s="23"/>
      <c r="AI104" s="23"/>
    </row>
    <row r="105" spans="1:35" ht="16" thickTop="1" x14ac:dyDescent="0.2">
      <c r="A105" s="6">
        <v>21</v>
      </c>
      <c r="B105" s="6">
        <v>15685.502873331965</v>
      </c>
      <c r="C105" s="6">
        <v>-2456.6559233319658</v>
      </c>
      <c r="F105" s="6">
        <v>1.532137518684604</v>
      </c>
      <c r="G105" s="6">
        <v>1515.3449000000001</v>
      </c>
      <c r="AB105" s="46"/>
      <c r="AC105" s="46" t="s">
        <v>214</v>
      </c>
      <c r="AD105" s="46" t="s">
        <v>215</v>
      </c>
      <c r="AE105" s="46" t="s">
        <v>216</v>
      </c>
      <c r="AF105" s="46" t="s">
        <v>212</v>
      </c>
      <c r="AG105" s="46" t="s">
        <v>217</v>
      </c>
      <c r="AH105" s="46" t="s">
        <v>218</v>
      </c>
      <c r="AI105" s="46" t="s">
        <v>219</v>
      </c>
    </row>
    <row r="106" spans="1:35" x14ac:dyDescent="0.2">
      <c r="A106" s="6">
        <v>22</v>
      </c>
      <c r="B106" s="6">
        <v>6272.4694507927506</v>
      </c>
      <c r="C106" s="6">
        <v>-2122.7334507927508</v>
      </c>
      <c r="F106" s="6">
        <v>1.6068759342301944</v>
      </c>
      <c r="G106" s="6">
        <v>1526.3119999999999</v>
      </c>
      <c r="AB106" s="23" t="s">
        <v>191</v>
      </c>
      <c r="AC106" s="23">
        <v>-12507.289132528111</v>
      </c>
      <c r="AD106" s="23">
        <v>973.75603451276572</v>
      </c>
      <c r="AE106" s="23">
        <v>-12.844376506263533</v>
      </c>
      <c r="AF106" s="23">
        <v>1.1095418521958469E-35</v>
      </c>
      <c r="AG106" s="23">
        <v>-14417.554296908154</v>
      </c>
      <c r="AH106" s="23">
        <v>-10597.023968148067</v>
      </c>
      <c r="AI106" s="23"/>
    </row>
    <row r="107" spans="1:35" x14ac:dyDescent="0.2">
      <c r="A107" s="6">
        <v>23</v>
      </c>
      <c r="B107" s="6">
        <v>3085.0361288517715</v>
      </c>
      <c r="C107" s="6">
        <v>-1948.0251288517716</v>
      </c>
      <c r="F107" s="6">
        <v>1.6816143497757847</v>
      </c>
      <c r="G107" s="6">
        <v>1532.4697000000001</v>
      </c>
      <c r="AB107" s="23" t="s">
        <v>0</v>
      </c>
      <c r="AC107" s="23">
        <v>256.90401624249074</v>
      </c>
      <c r="AD107" s="23">
        <v>11.901556144255421</v>
      </c>
      <c r="AE107" s="23">
        <v>21.585750058952733</v>
      </c>
      <c r="AF107" s="23">
        <v>7.7361389193688587E-89</v>
      </c>
      <c r="AG107" s="23">
        <v>233.55614747610073</v>
      </c>
      <c r="AH107" s="23">
        <v>280.25188500888078</v>
      </c>
      <c r="AI107" s="23">
        <v>1.0168120677005961</v>
      </c>
    </row>
    <row r="108" spans="1:35" x14ac:dyDescent="0.2">
      <c r="A108" s="6">
        <v>24</v>
      </c>
      <c r="B108" s="6">
        <v>31945.667536422588</v>
      </c>
      <c r="C108" s="6">
        <v>5756.2092635774097</v>
      </c>
      <c r="F108" s="6">
        <v>1.7563527653213753</v>
      </c>
      <c r="G108" s="6">
        <v>1534.3045</v>
      </c>
      <c r="AB108" s="23" t="s">
        <v>1</v>
      </c>
      <c r="AC108" s="23">
        <v>-131.55171734302709</v>
      </c>
      <c r="AD108" s="23">
        <v>333.02278519845385</v>
      </c>
      <c r="AE108" s="23">
        <v>-0.39502317315805652</v>
      </c>
      <c r="AF108" s="23">
        <v>0.69288912850393181</v>
      </c>
      <c r="AG108" s="23">
        <v>-784.85891438416058</v>
      </c>
      <c r="AH108" s="23">
        <v>521.75547969810634</v>
      </c>
      <c r="AI108" s="23">
        <v>1.0088998452783764</v>
      </c>
    </row>
    <row r="109" spans="1:35" x14ac:dyDescent="0.2">
      <c r="A109" s="6">
        <v>25</v>
      </c>
      <c r="B109" s="6">
        <v>7537.7658366369724</v>
      </c>
      <c r="C109" s="6">
        <v>-1333.8640866369724</v>
      </c>
      <c r="F109" s="6">
        <v>1.8310911808669657</v>
      </c>
      <c r="G109" s="6">
        <v>1607.5101</v>
      </c>
      <c r="AB109" s="23" t="s">
        <v>2</v>
      </c>
      <c r="AC109" s="23">
        <v>336.1815130327011</v>
      </c>
      <c r="AD109" s="23">
        <v>28.507931026695928</v>
      </c>
      <c r="AE109" s="23">
        <v>11.792560909379489</v>
      </c>
      <c r="AF109" s="23">
        <v>1.342606173190424E-30</v>
      </c>
      <c r="AG109" s="23">
        <v>280.25610089793059</v>
      </c>
      <c r="AH109" s="23">
        <v>392.10692516747162</v>
      </c>
      <c r="AI109" s="23">
        <v>1.0990459626307536</v>
      </c>
    </row>
    <row r="110" spans="1:35" x14ac:dyDescent="0.2">
      <c r="A110" s="6">
        <v>26</v>
      </c>
      <c r="B110" s="6">
        <v>13009.908343688381</v>
      </c>
      <c r="C110" s="6">
        <v>991.22545631161847</v>
      </c>
      <c r="F110" s="6">
        <v>1.905829596412556</v>
      </c>
      <c r="G110" s="6">
        <v>1615.7666999999999</v>
      </c>
      <c r="AB110" s="23" t="s">
        <v>3</v>
      </c>
      <c r="AC110" s="23">
        <v>476.05957808525028</v>
      </c>
      <c r="AD110" s="23">
        <v>137.83542642857432</v>
      </c>
      <c r="AE110" s="23">
        <v>3.4538259895901446</v>
      </c>
      <c r="AF110" s="23">
        <v>5.7006359234978044E-4</v>
      </c>
      <c r="AG110" s="23">
        <v>205.66103451604789</v>
      </c>
      <c r="AH110" s="23">
        <v>746.45812165445273</v>
      </c>
      <c r="AI110" s="23">
        <v>1.0040004328628018</v>
      </c>
    </row>
    <row r="111" spans="1:35" x14ac:dyDescent="0.2">
      <c r="A111" s="6">
        <v>27</v>
      </c>
      <c r="B111" s="6">
        <v>12073.692510291952</v>
      </c>
      <c r="C111" s="6">
        <v>2378.1426397080486</v>
      </c>
      <c r="F111" s="6">
        <v>1.9805680119581466</v>
      </c>
      <c r="G111" s="6">
        <v>1621.3402000000001</v>
      </c>
      <c r="AB111" s="23" t="s">
        <v>4</v>
      </c>
      <c r="AC111" s="23">
        <v>23847.967017380528</v>
      </c>
      <c r="AD111" s="23">
        <v>413.24915785487701</v>
      </c>
      <c r="AE111" s="23">
        <v>57.708446742329116</v>
      </c>
      <c r="AF111" s="23">
        <v>0</v>
      </c>
      <c r="AG111" s="23">
        <v>23037.275794445457</v>
      </c>
      <c r="AH111" s="23">
        <v>24658.658240315599</v>
      </c>
      <c r="AI111" s="23">
        <v>1.0120724849528222</v>
      </c>
    </row>
    <row r="112" spans="1:35" x14ac:dyDescent="0.2">
      <c r="A112" s="6">
        <v>28</v>
      </c>
      <c r="B112" s="6">
        <v>13903.663446355833</v>
      </c>
      <c r="C112" s="6">
        <v>-1635.0311963558324</v>
      </c>
      <c r="F112" s="6">
        <v>2.0553064275037372</v>
      </c>
      <c r="G112" s="6">
        <v>1621.8827000000001</v>
      </c>
      <c r="AB112" s="23" t="s">
        <v>129</v>
      </c>
      <c r="AC112" s="23">
        <v>654.3995869630395</v>
      </c>
      <c r="AD112" s="23">
        <v>413.24935845499073</v>
      </c>
      <c r="AE112" s="23">
        <v>1.5835465284438277</v>
      </c>
      <c r="AF112" s="23">
        <v>0.11353468999217792</v>
      </c>
      <c r="AG112" s="23">
        <v>-156.29202949915464</v>
      </c>
      <c r="AH112" s="23">
        <v>1465.0912034252337</v>
      </c>
      <c r="AI112" s="23">
        <v>1.140519759906687</v>
      </c>
    </row>
    <row r="113" spans="1:35" x14ac:dyDescent="0.2">
      <c r="A113" s="6">
        <v>29</v>
      </c>
      <c r="B113" s="6">
        <v>-142.74199045436927</v>
      </c>
      <c r="C113" s="6">
        <v>2917.9341404543693</v>
      </c>
      <c r="F113" s="6">
        <v>2.1300448430493275</v>
      </c>
      <c r="G113" s="6">
        <v>1622.1885</v>
      </c>
      <c r="AB113" s="45" t="s">
        <v>131</v>
      </c>
      <c r="AC113" s="45">
        <v>-367.98279266696153</v>
      </c>
      <c r="AD113" s="45">
        <v>410.52430134593425</v>
      </c>
      <c r="AE113" s="45">
        <v>-0.89637273959301011</v>
      </c>
      <c r="AF113" s="45">
        <v>0.37021593244659134</v>
      </c>
      <c r="AG113" s="45">
        <v>-1173.3285304060712</v>
      </c>
      <c r="AH113" s="45">
        <v>437.36294507214819</v>
      </c>
      <c r="AI113" s="45">
        <v>1.2146007768803686</v>
      </c>
    </row>
    <row r="114" spans="1:35" x14ac:dyDescent="0.2">
      <c r="A114" s="6">
        <v>30</v>
      </c>
      <c r="B114" s="6">
        <v>32044.901000079219</v>
      </c>
      <c r="C114" s="6">
        <v>6666.0989999207814</v>
      </c>
      <c r="F114" s="6">
        <v>2.2047832585949179</v>
      </c>
      <c r="G114" s="6">
        <v>1625.4337499999999</v>
      </c>
      <c r="AB114" s="23"/>
      <c r="AC114" s="23"/>
      <c r="AD114" s="23"/>
      <c r="AE114" s="23"/>
      <c r="AF114" s="23"/>
      <c r="AG114" s="23"/>
      <c r="AH114" s="23"/>
      <c r="AI114" s="23"/>
    </row>
    <row r="115" spans="1:35" x14ac:dyDescent="0.2">
      <c r="A115" s="6">
        <v>31</v>
      </c>
      <c r="B115" s="6">
        <v>28544.757319417236</v>
      </c>
      <c r="C115" s="6">
        <v>7040.8186805827645</v>
      </c>
      <c r="F115" s="6">
        <v>2.2795216741405087</v>
      </c>
      <c r="G115" s="6">
        <v>1627.2824499999999</v>
      </c>
      <c r="AB115" s="23"/>
      <c r="AC115" s="23"/>
      <c r="AD115" s="23"/>
      <c r="AE115" s="23"/>
      <c r="AF115" s="23"/>
      <c r="AG115" s="23"/>
      <c r="AH115" s="23"/>
      <c r="AI115" s="23"/>
    </row>
    <row r="116" spans="1:35" x14ac:dyDescent="0.2">
      <c r="A116" s="6">
        <v>32</v>
      </c>
      <c r="B116" s="6">
        <v>1610.7515012743097</v>
      </c>
      <c r="C116" s="6">
        <v>587.4383487256905</v>
      </c>
      <c r="F116" s="6">
        <v>2.354260089686099</v>
      </c>
      <c r="G116" s="6">
        <v>1628.4709</v>
      </c>
      <c r="AB116" s="23"/>
      <c r="AC116" s="23"/>
      <c r="AD116" s="23"/>
      <c r="AE116" s="23"/>
      <c r="AF116" s="23"/>
      <c r="AG116" s="23"/>
      <c r="AH116" s="23"/>
      <c r="AI116" s="23"/>
    </row>
    <row r="117" spans="1:35" ht="21" thickBot="1" x14ac:dyDescent="0.3">
      <c r="A117" s="6">
        <v>33</v>
      </c>
      <c r="B117" s="6">
        <v>4060.1166297572631</v>
      </c>
      <c r="C117" s="6">
        <v>627.68037024273644</v>
      </c>
      <c r="F117" s="6">
        <v>2.4289985052316894</v>
      </c>
      <c r="G117" s="6">
        <v>1629.8335</v>
      </c>
      <c r="AB117" s="38" t="s">
        <v>311</v>
      </c>
      <c r="AC117" s="23"/>
      <c r="AD117" s="23"/>
      <c r="AE117" s="23"/>
      <c r="AF117" s="23"/>
      <c r="AG117" s="23"/>
      <c r="AH117" s="23"/>
      <c r="AI117" s="23"/>
    </row>
    <row r="118" spans="1:35" ht="16" thickTop="1" x14ac:dyDescent="0.2">
      <c r="A118" s="6">
        <v>34</v>
      </c>
      <c r="B118" s="6">
        <v>13361.700046588843</v>
      </c>
      <c r="C118" s="6">
        <v>408.39785341115748</v>
      </c>
      <c r="F118" s="6">
        <v>2.5037369207772797</v>
      </c>
      <c r="G118" s="6">
        <v>1631.6683</v>
      </c>
      <c r="AB118" s="23" t="s">
        <v>206</v>
      </c>
      <c r="AC118" s="23"/>
      <c r="AD118" s="23"/>
      <c r="AE118" s="23"/>
      <c r="AF118" s="23"/>
      <c r="AG118" s="23"/>
      <c r="AH118" s="23"/>
      <c r="AI118" s="23"/>
    </row>
    <row r="119" spans="1:35" x14ac:dyDescent="0.2">
      <c r="A119" s="6">
        <v>35</v>
      </c>
      <c r="B119" s="6">
        <v>30832.750742679127</v>
      </c>
      <c r="C119" s="6">
        <v>20361.80839732087</v>
      </c>
      <c r="F119" s="6">
        <v>2.5784753363228701</v>
      </c>
      <c r="G119" s="6">
        <v>1631.8212000000001</v>
      </c>
      <c r="AB119" s="23"/>
      <c r="AC119" s="23"/>
      <c r="AD119" s="23"/>
      <c r="AE119" s="23"/>
      <c r="AF119" s="23"/>
      <c r="AG119" s="23"/>
      <c r="AH119" s="23"/>
      <c r="AI119" s="23"/>
    </row>
    <row r="120" spans="1:35" ht="16" thickBot="1" x14ac:dyDescent="0.25">
      <c r="A120" s="6">
        <v>36</v>
      </c>
      <c r="B120" s="6">
        <v>-614.51984677593919</v>
      </c>
      <c r="C120" s="6">
        <v>2239.9535967759393</v>
      </c>
      <c r="F120" s="6">
        <v>2.6532137518684609</v>
      </c>
      <c r="G120" s="6">
        <v>1632.0362500000001</v>
      </c>
      <c r="AB120" s="44" t="s">
        <v>207</v>
      </c>
      <c r="AC120" s="44"/>
      <c r="AD120" s="23"/>
      <c r="AE120" s="44"/>
      <c r="AF120" s="44"/>
      <c r="AG120" s="23"/>
      <c r="AH120" s="23"/>
      <c r="AI120" s="23"/>
    </row>
    <row r="121" spans="1:35" ht="16" thickTop="1" x14ac:dyDescent="0.2">
      <c r="A121" s="6">
        <v>37</v>
      </c>
      <c r="B121" s="6">
        <v>16241.605215452462</v>
      </c>
      <c r="C121" s="6">
        <v>-629.41186545246273</v>
      </c>
      <c r="F121" s="6">
        <v>2.7279521674140512</v>
      </c>
      <c r="G121" s="6">
        <v>1632.5644500000001</v>
      </c>
      <c r="AB121" s="23" t="s">
        <v>182</v>
      </c>
      <c r="AC121" s="23">
        <v>0.86654964003172474</v>
      </c>
      <c r="AD121" s="23"/>
      <c r="AE121" s="23" t="s">
        <v>208</v>
      </c>
      <c r="AF121" s="23">
        <v>23314.451869361052</v>
      </c>
      <c r="AG121" s="23"/>
      <c r="AH121" s="23"/>
      <c r="AI121" s="23"/>
    </row>
    <row r="122" spans="1:35" x14ac:dyDescent="0.2">
      <c r="A122" s="6">
        <v>38</v>
      </c>
      <c r="B122" s="6">
        <v>703.58507421337481</v>
      </c>
      <c r="C122" s="6">
        <v>1598.7149257866254</v>
      </c>
      <c r="F122" s="6">
        <v>2.8026905829596416</v>
      </c>
      <c r="G122" s="6">
        <v>1633.0444</v>
      </c>
      <c r="AB122" s="23" t="s">
        <v>183</v>
      </c>
      <c r="AC122" s="23">
        <v>0.75090827863911169</v>
      </c>
      <c r="AD122" s="23"/>
      <c r="AE122" s="23" t="s">
        <v>209</v>
      </c>
      <c r="AF122" s="23">
        <v>23314.587411529727</v>
      </c>
      <c r="AG122" s="23"/>
      <c r="AH122" s="23"/>
      <c r="AI122" s="23"/>
    </row>
    <row r="123" spans="1:35" x14ac:dyDescent="0.2">
      <c r="A123" s="6">
        <v>39</v>
      </c>
      <c r="B123" s="6">
        <v>33682.37843421632</v>
      </c>
      <c r="C123" s="6">
        <v>6091.8978657836778</v>
      </c>
      <c r="F123" s="6">
        <v>2.8774289985052319</v>
      </c>
      <c r="G123" s="6">
        <v>1633.9618</v>
      </c>
      <c r="AB123" s="23" t="s">
        <v>184</v>
      </c>
      <c r="AC123" s="23">
        <v>0.7495972695793176</v>
      </c>
      <c r="AD123" s="23"/>
      <c r="AE123" s="45" t="s">
        <v>210</v>
      </c>
      <c r="AF123" s="45">
        <v>23356.043319286557</v>
      </c>
      <c r="AG123" s="23"/>
      <c r="AH123" s="23"/>
      <c r="AI123" s="23"/>
    </row>
    <row r="124" spans="1:35" x14ac:dyDescent="0.2">
      <c r="A124" s="6">
        <v>40</v>
      </c>
      <c r="B124" s="6">
        <v>39763.830566363067</v>
      </c>
      <c r="C124" s="6">
        <v>8409.53043363693</v>
      </c>
      <c r="F124" s="6">
        <v>2.9521674140508223</v>
      </c>
      <c r="G124" s="6">
        <v>1634.5734</v>
      </c>
      <c r="AB124" s="23" t="s">
        <v>185</v>
      </c>
      <c r="AC124" s="23">
        <v>6059.8807257028502</v>
      </c>
      <c r="AD124" s="23"/>
      <c r="AE124" s="23"/>
      <c r="AF124" s="23"/>
      <c r="AG124" s="23"/>
      <c r="AH124" s="23"/>
      <c r="AI124" s="23"/>
    </row>
    <row r="125" spans="1:35" x14ac:dyDescent="0.2">
      <c r="A125" s="6">
        <v>41</v>
      </c>
      <c r="B125" s="6">
        <v>3248.5597507774874</v>
      </c>
      <c r="C125" s="6">
        <v>-202.49775077748745</v>
      </c>
      <c r="F125" s="6">
        <v>3.0269058295964131</v>
      </c>
      <c r="G125" s="6">
        <v>1635.7336499999999</v>
      </c>
      <c r="AB125" s="45" t="s">
        <v>186</v>
      </c>
      <c r="AC125" s="45">
        <v>1338</v>
      </c>
      <c r="AD125" s="23"/>
      <c r="AE125" s="23"/>
      <c r="AF125" s="23"/>
      <c r="AG125" s="23"/>
      <c r="AH125" s="23"/>
      <c r="AI125" s="23"/>
    </row>
    <row r="126" spans="1:35" x14ac:dyDescent="0.2">
      <c r="A126" s="6">
        <v>42</v>
      </c>
      <c r="B126" s="6">
        <v>8364.6435991660928</v>
      </c>
      <c r="C126" s="6">
        <v>-3414.8848991660925</v>
      </c>
      <c r="F126" s="6">
        <v>3.1016442451420034</v>
      </c>
      <c r="G126" s="6">
        <v>1639.5631000000001</v>
      </c>
      <c r="AB126" s="23"/>
      <c r="AC126" s="23"/>
      <c r="AD126" s="23"/>
      <c r="AE126" s="23"/>
      <c r="AF126" s="23"/>
      <c r="AG126" s="23"/>
      <c r="AH126" s="23"/>
      <c r="AI126" s="23"/>
    </row>
    <row r="127" spans="1:35" ht="16" thickBot="1" x14ac:dyDescent="0.25">
      <c r="A127" s="6">
        <v>43</v>
      </c>
      <c r="B127" s="6">
        <v>5289.3694338743571</v>
      </c>
      <c r="C127" s="6">
        <v>983.10776612564314</v>
      </c>
      <c r="F127" s="6">
        <v>3.1763826606875938</v>
      </c>
      <c r="G127" s="6">
        <v>1639.5631000000001</v>
      </c>
      <c r="AB127" s="23" t="s">
        <v>187</v>
      </c>
      <c r="AC127" s="23"/>
      <c r="AD127" s="23"/>
      <c r="AE127" s="23"/>
      <c r="AF127" s="4" t="s">
        <v>211</v>
      </c>
      <c r="AG127" s="4">
        <v>0.05</v>
      </c>
      <c r="AH127" s="23"/>
      <c r="AI127" s="23"/>
    </row>
    <row r="128" spans="1:35" ht="16" thickTop="1" x14ac:dyDescent="0.2">
      <c r="A128" s="6">
        <v>44</v>
      </c>
      <c r="B128" s="6">
        <v>7928.2838798389821</v>
      </c>
      <c r="C128" s="6">
        <v>-1614.5248798389821</v>
      </c>
      <c r="F128" s="6">
        <v>3.2511210762331841</v>
      </c>
      <c r="G128" s="6">
        <v>1646.4296999999999</v>
      </c>
      <c r="AB128" s="46"/>
      <c r="AC128" s="46" t="s">
        <v>192</v>
      </c>
      <c r="AD128" s="46" t="s">
        <v>193</v>
      </c>
      <c r="AE128" s="46" t="s">
        <v>194</v>
      </c>
      <c r="AF128" s="46" t="s">
        <v>195</v>
      </c>
      <c r="AG128" s="46" t="s">
        <v>212</v>
      </c>
      <c r="AH128" s="46" t="s">
        <v>213</v>
      </c>
      <c r="AI128" s="23"/>
    </row>
    <row r="129" spans="1:35" x14ac:dyDescent="0.2">
      <c r="A129" s="6">
        <v>45</v>
      </c>
      <c r="B129" s="6">
        <v>10733.306462287661</v>
      </c>
      <c r="C129" s="6">
        <v>-4653.6349622876605</v>
      </c>
      <c r="F129" s="6">
        <v>3.3258594917787745</v>
      </c>
      <c r="G129" s="6">
        <v>1664.9996000000001</v>
      </c>
      <c r="AB129" s="23" t="s">
        <v>188</v>
      </c>
      <c r="AC129" s="23">
        <v>7</v>
      </c>
      <c r="AD129" s="23">
        <v>147233756203.40616</v>
      </c>
      <c r="AE129" s="23">
        <v>21033393743.343739</v>
      </c>
      <c r="AF129" s="23">
        <v>572.77123527812785</v>
      </c>
      <c r="AG129" s="23">
        <v>0</v>
      </c>
      <c r="AH129" s="4" t="s">
        <v>7</v>
      </c>
      <c r="AI129" s="23"/>
    </row>
    <row r="130" spans="1:35" x14ac:dyDescent="0.2">
      <c r="A130" s="6">
        <v>46</v>
      </c>
      <c r="B130" s="6">
        <v>13749.111282375325</v>
      </c>
      <c r="C130" s="6">
        <v>6881.1722276246765</v>
      </c>
      <c r="F130" s="6">
        <v>3.4005979073243648</v>
      </c>
      <c r="G130" s="6">
        <v>1674.6323</v>
      </c>
      <c r="AB130" s="23" t="s">
        <v>189</v>
      </c>
      <c r="AC130" s="23">
        <v>1330</v>
      </c>
      <c r="AD130" s="23">
        <v>48840465364.960724</v>
      </c>
      <c r="AE130" s="23">
        <v>36722154.409744903</v>
      </c>
      <c r="AF130" s="23"/>
      <c r="AG130" s="23"/>
      <c r="AH130" s="23"/>
      <c r="AI130" s="23"/>
    </row>
    <row r="131" spans="1:35" x14ac:dyDescent="0.2">
      <c r="A131" s="6">
        <v>47</v>
      </c>
      <c r="B131" s="6">
        <v>6750.7917436664484</v>
      </c>
      <c r="C131" s="6">
        <v>-3357.4353936664484</v>
      </c>
      <c r="F131" s="6">
        <v>3.4753363228699556</v>
      </c>
      <c r="G131" s="6">
        <v>1682.597</v>
      </c>
      <c r="AB131" s="45" t="s">
        <v>190</v>
      </c>
      <c r="AC131" s="45">
        <v>1337</v>
      </c>
      <c r="AD131" s="45">
        <v>196074221568.36688</v>
      </c>
      <c r="AE131" s="45"/>
      <c r="AF131" s="45"/>
      <c r="AG131" s="45"/>
      <c r="AH131" s="45"/>
      <c r="AI131" s="23"/>
    </row>
    <row r="132" spans="1:35" ht="16" thickBot="1" x14ac:dyDescent="0.25">
      <c r="A132" s="6">
        <v>48</v>
      </c>
      <c r="B132" s="6">
        <v>6694.2317775028005</v>
      </c>
      <c r="C132" s="6">
        <v>-3137.3094775028003</v>
      </c>
      <c r="F132" s="6">
        <v>3.550074738415546</v>
      </c>
      <c r="G132" s="6">
        <v>1694.7963999999999</v>
      </c>
      <c r="AB132" s="23"/>
      <c r="AC132" s="23"/>
      <c r="AD132" s="23"/>
      <c r="AE132" s="23"/>
      <c r="AF132" s="23"/>
      <c r="AG132" s="23"/>
      <c r="AH132" s="23"/>
      <c r="AI132" s="23"/>
    </row>
    <row r="133" spans="1:35" ht="16" thickTop="1" x14ac:dyDescent="0.2">
      <c r="A133" s="6">
        <v>49</v>
      </c>
      <c r="B133" s="6">
        <v>10758.235943759753</v>
      </c>
      <c r="C133" s="6">
        <v>1871.660756240246</v>
      </c>
      <c r="F133" s="6">
        <v>3.6248131539611363</v>
      </c>
      <c r="G133" s="6">
        <v>1702.4553000000001</v>
      </c>
      <c r="AB133" s="46"/>
      <c r="AC133" s="46" t="s">
        <v>214</v>
      </c>
      <c r="AD133" s="46" t="s">
        <v>215</v>
      </c>
      <c r="AE133" s="46" t="s">
        <v>216</v>
      </c>
      <c r="AF133" s="46" t="s">
        <v>212</v>
      </c>
      <c r="AG133" s="46" t="s">
        <v>217</v>
      </c>
      <c r="AH133" s="46" t="s">
        <v>218</v>
      </c>
      <c r="AI133" s="46" t="s">
        <v>219</v>
      </c>
    </row>
    <row r="134" spans="1:35" x14ac:dyDescent="0.2">
      <c r="A134" s="6">
        <v>50</v>
      </c>
      <c r="B134" s="6">
        <v>32405.598360557909</v>
      </c>
      <c r="C134" s="6">
        <v>6303.57763944209</v>
      </c>
      <c r="F134" s="6">
        <v>3.6995515695067267</v>
      </c>
      <c r="G134" s="6">
        <v>1704.5681</v>
      </c>
      <c r="AB134" s="23" t="s">
        <v>191</v>
      </c>
      <c r="AC134" s="23">
        <v>-12915.392265476812</v>
      </c>
      <c r="AD134" s="23">
        <v>1015.1285567916555</v>
      </c>
      <c r="AE134" s="23">
        <v>-12.722912954292509</v>
      </c>
      <c r="AF134" s="23">
        <v>4.4599023414125356E-35</v>
      </c>
      <c r="AG134" s="23">
        <v>-14906.819944152794</v>
      </c>
      <c r="AH134" s="23">
        <v>-10923.96458680083</v>
      </c>
      <c r="AI134" s="23"/>
    </row>
    <row r="135" spans="1:35" x14ac:dyDescent="0.2">
      <c r="A135" s="6">
        <v>51</v>
      </c>
      <c r="B135" s="6">
        <v>4768.6425543912301</v>
      </c>
      <c r="C135" s="6">
        <v>-2557.5118043912303</v>
      </c>
      <c r="F135" s="6">
        <v>3.7742899850523171</v>
      </c>
      <c r="G135" s="6">
        <v>1704.7001499999999</v>
      </c>
      <c r="AB135" s="23" t="s">
        <v>0</v>
      </c>
      <c r="AC135" s="23">
        <v>256.91295865031242</v>
      </c>
      <c r="AD135" s="23">
        <v>11.889183141146331</v>
      </c>
      <c r="AE135" s="23">
        <v>21.608966368865389</v>
      </c>
      <c r="AF135" s="23">
        <v>5.3328802332006864E-89</v>
      </c>
      <c r="AG135" s="23">
        <v>233.58936261341557</v>
      </c>
      <c r="AH135" s="23">
        <v>280.23655468720926</v>
      </c>
      <c r="AI135" s="23">
        <v>1.0159152693992144</v>
      </c>
    </row>
    <row r="136" spans="1:35" x14ac:dyDescent="0.2">
      <c r="A136" s="6">
        <v>52</v>
      </c>
      <c r="B136" s="6">
        <v>5460.5578629232723</v>
      </c>
      <c r="C136" s="6">
        <v>-1880.7291629232723</v>
      </c>
      <c r="F136" s="6">
        <v>3.8490284005979079</v>
      </c>
      <c r="G136" s="6">
        <v>1705.6244999999999</v>
      </c>
      <c r="AB136" s="23" t="s">
        <v>1</v>
      </c>
      <c r="AC136" s="23">
        <v>-131.31847266822319</v>
      </c>
      <c r="AD136" s="23">
        <v>332.82342448425152</v>
      </c>
      <c r="AE136" s="23">
        <v>-0.3945589853590275</v>
      </c>
      <c r="AF136" s="23">
        <v>0.693231647067587</v>
      </c>
      <c r="AG136" s="23">
        <v>-784.23457397902087</v>
      </c>
      <c r="AH136" s="23">
        <v>521.59762864257448</v>
      </c>
      <c r="AI136" s="23">
        <v>1.0089001560323017</v>
      </c>
    </row>
    <row r="137" spans="1:35" x14ac:dyDescent="0.2">
      <c r="A137" s="6">
        <v>53</v>
      </c>
      <c r="B137" s="6">
        <v>33120.652783095029</v>
      </c>
      <c r="C137" s="6">
        <v>-9552.3807830950282</v>
      </c>
      <c r="F137" s="6">
        <v>3.9237668161434982</v>
      </c>
      <c r="G137" s="6">
        <v>1708.0014000000001</v>
      </c>
      <c r="AB137" s="23" t="s">
        <v>2</v>
      </c>
      <c r="AC137" s="23">
        <v>338.41943757207639</v>
      </c>
      <c r="AD137" s="23">
        <v>28.17335760068277</v>
      </c>
      <c r="AE137" s="23">
        <v>12.012037839745268</v>
      </c>
      <c r="AF137" s="23">
        <v>1.2460549144658384E-31</v>
      </c>
      <c r="AG137" s="23">
        <v>283.15037460279274</v>
      </c>
      <c r="AH137" s="23">
        <v>393.68850054136004</v>
      </c>
      <c r="AI137" s="23">
        <v>1.0746868464382917</v>
      </c>
    </row>
    <row r="138" spans="1:35" x14ac:dyDescent="0.2">
      <c r="A138" s="6">
        <v>54</v>
      </c>
      <c r="B138" s="6">
        <v>31668.918856128432</v>
      </c>
      <c r="C138" s="6">
        <v>6073.6568438715694</v>
      </c>
      <c r="F138" s="6">
        <v>3.9985052316890886</v>
      </c>
      <c r="G138" s="6">
        <v>1708.9257500000001</v>
      </c>
      <c r="AB138" s="23" t="s">
        <v>3</v>
      </c>
      <c r="AC138" s="23">
        <v>476.14653432528678</v>
      </c>
      <c r="AD138" s="23">
        <v>137.6939321000375</v>
      </c>
      <c r="AE138" s="23">
        <v>3.4580066605938482</v>
      </c>
      <c r="AF138" s="23">
        <v>5.6136848846752654E-4</v>
      </c>
      <c r="AG138" s="23">
        <v>206.02556714809771</v>
      </c>
      <c r="AH138" s="23">
        <v>746.26750150247585</v>
      </c>
      <c r="AI138" s="23">
        <v>1.0031411764467066</v>
      </c>
    </row>
    <row r="139" spans="1:35" x14ac:dyDescent="0.2">
      <c r="A139" s="6">
        <v>55</v>
      </c>
      <c r="B139" s="6">
        <v>9140.7134454444658</v>
      </c>
      <c r="C139" s="6">
        <v>-1081.0343454444655</v>
      </c>
      <c r="F139" s="6">
        <v>4.0732436472346789</v>
      </c>
      <c r="G139" s="6">
        <v>1711.0268000000001</v>
      </c>
      <c r="AB139" s="23" t="s">
        <v>4</v>
      </c>
      <c r="AC139" s="23">
        <v>23844.299188348825</v>
      </c>
      <c r="AD139" s="23">
        <v>412.1458621597688</v>
      </c>
      <c r="AE139" s="23">
        <v>57.854030278012488</v>
      </c>
      <c r="AF139" s="23">
        <v>0</v>
      </c>
      <c r="AG139" s="23">
        <v>23035.77235490935</v>
      </c>
      <c r="AH139" s="23">
        <v>24652.8260217883</v>
      </c>
      <c r="AI139" s="23">
        <v>1.0078822873845383</v>
      </c>
    </row>
    <row r="140" spans="1:35" x14ac:dyDescent="0.2">
      <c r="A140" s="6">
        <v>56</v>
      </c>
      <c r="B140" s="6">
        <v>39809.2813225789</v>
      </c>
      <c r="C140" s="6">
        <v>7687.2131274210988</v>
      </c>
      <c r="F140" s="6">
        <v>4.1479820627802697</v>
      </c>
      <c r="G140" s="6">
        <v>1712.2270000000001</v>
      </c>
      <c r="AB140" s="23" t="s">
        <v>129</v>
      </c>
      <c r="AC140" s="23">
        <v>997.41361294597766</v>
      </c>
      <c r="AD140" s="23">
        <v>416.26944736179695</v>
      </c>
      <c r="AE140" s="23">
        <v>2.3960769142854828</v>
      </c>
      <c r="AF140" s="23">
        <v>1.6709079251538986E-2</v>
      </c>
      <c r="AG140" s="23">
        <v>180.79733935455795</v>
      </c>
      <c r="AH140" s="23">
        <v>1814.0298865373975</v>
      </c>
      <c r="AI140" s="23">
        <v>1.1586380113629593</v>
      </c>
    </row>
    <row r="141" spans="1:35" x14ac:dyDescent="0.2">
      <c r="A141" s="6">
        <v>57</v>
      </c>
      <c r="B141" s="6">
        <v>14704.962622462221</v>
      </c>
      <c r="C141" s="6">
        <v>-1097.593872462221</v>
      </c>
      <c r="F141" s="6">
        <v>4.2227204783258596</v>
      </c>
      <c r="G141" s="6">
        <v>1719.4363000000001</v>
      </c>
      <c r="AB141" s="45" t="s">
        <v>130</v>
      </c>
      <c r="AC141" s="45">
        <v>644.28859460701744</v>
      </c>
      <c r="AD141" s="45">
        <v>416.00174675245012</v>
      </c>
      <c r="AE141" s="45">
        <v>1.5487641569697874</v>
      </c>
      <c r="AF141" s="45">
        <v>0.12167632921883989</v>
      </c>
      <c r="AG141" s="45">
        <v>-171.80251751644334</v>
      </c>
      <c r="AH141" s="45">
        <v>1460.3797067304781</v>
      </c>
      <c r="AI141" s="45">
        <v>1.1595750142442198</v>
      </c>
    </row>
    <row r="142" spans="1:35" x14ac:dyDescent="0.2">
      <c r="A142" s="6">
        <v>58</v>
      </c>
      <c r="B142" s="6">
        <v>27063.723603324623</v>
      </c>
      <c r="C142" s="6">
        <v>7239.4435966753808</v>
      </c>
      <c r="F142" s="6">
        <v>4.2974588938714504</v>
      </c>
      <c r="G142" s="6">
        <v>1720.3536999999999</v>
      </c>
    </row>
    <row r="143" spans="1:35" x14ac:dyDescent="0.2">
      <c r="A143" s="6">
        <v>59</v>
      </c>
      <c r="B143" s="6">
        <v>32724.60736460238</v>
      </c>
      <c r="C143" s="6">
        <v>-9479.8171646023802</v>
      </c>
      <c r="F143" s="6">
        <v>4.3721973094170403</v>
      </c>
      <c r="G143" s="6">
        <v>1725.5523000000001</v>
      </c>
    </row>
    <row r="144" spans="1:35" x14ac:dyDescent="0.2">
      <c r="A144" s="6">
        <v>60</v>
      </c>
      <c r="B144" s="6">
        <v>10056.402191536959</v>
      </c>
      <c r="C144" s="6">
        <v>-4066.8785415369593</v>
      </c>
      <c r="F144" s="6">
        <v>4.4469357249626311</v>
      </c>
      <c r="G144" s="6">
        <v>1727.54</v>
      </c>
    </row>
    <row r="145" spans="1:7" x14ac:dyDescent="0.2">
      <c r="A145" s="6">
        <v>61</v>
      </c>
      <c r="B145" s="6">
        <v>9681.8047497836251</v>
      </c>
      <c r="C145" s="6">
        <v>-1075.5873497836255</v>
      </c>
      <c r="F145" s="6">
        <v>4.5216741405082219</v>
      </c>
      <c r="G145" s="6">
        <v>1727.7850000000001</v>
      </c>
    </row>
    <row r="146" spans="1:7" x14ac:dyDescent="0.2">
      <c r="A146" s="6">
        <v>62</v>
      </c>
      <c r="B146" s="6">
        <v>6635.7876576209665</v>
      </c>
      <c r="C146" s="6">
        <v>-2131.1252576209663</v>
      </c>
      <c r="F146" s="6">
        <v>4.5964125560538118</v>
      </c>
      <c r="G146" s="6">
        <v>1728.8969999999999</v>
      </c>
    </row>
    <row r="147" spans="1:7" x14ac:dyDescent="0.2">
      <c r="A147" s="6">
        <v>63</v>
      </c>
      <c r="B147" s="6">
        <v>12869.56857674019</v>
      </c>
      <c r="C147" s="6">
        <v>17297.049593259813</v>
      </c>
      <c r="F147" s="6">
        <v>4.6711509715994026</v>
      </c>
      <c r="G147" s="6">
        <v>1731.6769999999999</v>
      </c>
    </row>
    <row r="148" spans="1:7" x14ac:dyDescent="0.2">
      <c r="A148" s="6">
        <v>64</v>
      </c>
      <c r="B148" s="6">
        <v>4172.9581600001602</v>
      </c>
      <c r="C148" s="6">
        <v>-39.316510000160633</v>
      </c>
      <c r="F148" s="6">
        <v>4.7458893871449925</v>
      </c>
      <c r="G148" s="6">
        <v>1737.376</v>
      </c>
    </row>
    <row r="149" spans="1:7" x14ac:dyDescent="0.2">
      <c r="A149" s="6">
        <v>65</v>
      </c>
      <c r="B149" s="6">
        <v>24298.876347022961</v>
      </c>
      <c r="C149" s="6">
        <v>-9587.1325470229604</v>
      </c>
      <c r="F149" s="6">
        <v>4.8206278026905833</v>
      </c>
      <c r="G149" s="6">
        <v>1743.2139999999999</v>
      </c>
    </row>
    <row r="150" spans="1:7" x14ac:dyDescent="0.2">
      <c r="A150" s="6">
        <v>66</v>
      </c>
      <c r="B150" s="6">
        <v>1784.3719400948507</v>
      </c>
      <c r="C150" s="6">
        <v>-41.157940094850801</v>
      </c>
      <c r="F150" s="6">
        <v>4.8953662182361741</v>
      </c>
      <c r="G150" s="6">
        <v>1744.4649999999999</v>
      </c>
    </row>
    <row r="151" spans="1:7" x14ac:dyDescent="0.2">
      <c r="A151" s="6">
        <v>67</v>
      </c>
      <c r="B151" s="6">
        <v>16983.113063792302</v>
      </c>
      <c r="C151" s="6">
        <v>-2748.0410637923014</v>
      </c>
      <c r="F151" s="6">
        <v>4.970104633781764</v>
      </c>
      <c r="G151" s="6">
        <v>1748.7739999999999</v>
      </c>
    </row>
    <row r="152" spans="1:7" x14ac:dyDescent="0.2">
      <c r="A152" s="6">
        <v>68</v>
      </c>
      <c r="B152" s="6">
        <v>7252.8135434253472</v>
      </c>
      <c r="C152" s="6">
        <v>-863.43569342534738</v>
      </c>
      <c r="F152" s="6">
        <v>5.0448430493273548</v>
      </c>
      <c r="G152" s="6">
        <v>1759.338</v>
      </c>
    </row>
    <row r="153" spans="1:7" x14ac:dyDescent="0.2">
      <c r="A153" s="6">
        <v>69</v>
      </c>
      <c r="B153" s="6">
        <v>9576.1045621151879</v>
      </c>
      <c r="C153" s="6">
        <v>-3656.0004621151884</v>
      </c>
      <c r="F153" s="6">
        <v>5.1195814648729447</v>
      </c>
      <c r="G153" s="6">
        <v>1769.5316499999999</v>
      </c>
    </row>
    <row r="154" spans="1:7" x14ac:dyDescent="0.2">
      <c r="A154" s="6">
        <v>70</v>
      </c>
      <c r="B154" s="6">
        <v>27495.998081043766</v>
      </c>
      <c r="C154" s="6">
        <v>-9832.8538810437676</v>
      </c>
      <c r="F154" s="6">
        <v>5.1943198804185355</v>
      </c>
      <c r="G154" s="6">
        <v>1815.8759</v>
      </c>
    </row>
    <row r="155" spans="1:7" x14ac:dyDescent="0.2">
      <c r="A155" s="6">
        <v>71</v>
      </c>
      <c r="B155" s="6">
        <v>26205.133411734474</v>
      </c>
      <c r="C155" s="6">
        <v>-9627.3539117344735</v>
      </c>
      <c r="F155" s="6">
        <v>5.2690582959641263</v>
      </c>
      <c r="G155" s="6">
        <v>1824.2854</v>
      </c>
    </row>
    <row r="156" spans="1:7" x14ac:dyDescent="0.2">
      <c r="A156" s="6">
        <v>72</v>
      </c>
      <c r="B156" s="6">
        <v>7937.2101467500743</v>
      </c>
      <c r="C156" s="6">
        <v>-1137.7521467500746</v>
      </c>
      <c r="F156" s="6">
        <v>5.3437967115097162</v>
      </c>
      <c r="G156" s="6">
        <v>1826.8430000000001</v>
      </c>
    </row>
    <row r="157" spans="1:7" x14ac:dyDescent="0.2">
      <c r="A157" s="6">
        <v>73</v>
      </c>
      <c r="B157" s="6">
        <v>11672.634798923405</v>
      </c>
      <c r="C157" s="6">
        <v>69.091201076595098</v>
      </c>
      <c r="F157" s="6">
        <v>5.418535127055307</v>
      </c>
      <c r="G157" s="6">
        <v>1832.0940000000001</v>
      </c>
    </row>
    <row r="158" spans="1:7" x14ac:dyDescent="0.2">
      <c r="A158" s="6">
        <v>74</v>
      </c>
      <c r="B158" s="6">
        <v>13125.876457448165</v>
      </c>
      <c r="C158" s="6">
        <v>-1179.2505574481656</v>
      </c>
      <c r="F158" s="6">
        <v>5.493273542600897</v>
      </c>
      <c r="G158" s="6">
        <v>1837.2370000000001</v>
      </c>
    </row>
    <row r="159" spans="1:7" x14ac:dyDescent="0.2">
      <c r="A159" s="6">
        <v>75</v>
      </c>
      <c r="B159" s="6">
        <v>8516.677304015444</v>
      </c>
      <c r="C159" s="6">
        <v>-789.82330401544368</v>
      </c>
      <c r="F159" s="6">
        <v>5.5680119581464877</v>
      </c>
      <c r="G159" s="6">
        <v>1837.2819</v>
      </c>
    </row>
    <row r="160" spans="1:7" x14ac:dyDescent="0.2">
      <c r="A160" s="6">
        <v>76</v>
      </c>
      <c r="B160" s="6">
        <v>13753.964616946545</v>
      </c>
      <c r="C160" s="6">
        <v>-2397.3037169465442</v>
      </c>
      <c r="F160" s="6">
        <v>5.6427503736920785</v>
      </c>
      <c r="G160" s="6">
        <v>1842.519</v>
      </c>
    </row>
    <row r="161" spans="1:7" x14ac:dyDescent="0.2">
      <c r="A161" s="6">
        <v>77</v>
      </c>
      <c r="B161" s="6">
        <v>4987.5084355219487</v>
      </c>
      <c r="C161" s="6">
        <v>-1040.0953355219485</v>
      </c>
      <c r="F161" s="6">
        <v>5.7174887892376685</v>
      </c>
      <c r="G161" s="6">
        <v>1875.3440000000001</v>
      </c>
    </row>
    <row r="162" spans="1:7" x14ac:dyDescent="0.2">
      <c r="A162" s="6">
        <v>78</v>
      </c>
      <c r="B162" s="6">
        <v>4340.6518251273174</v>
      </c>
      <c r="C162" s="6">
        <v>-2808.1821251273172</v>
      </c>
      <c r="F162" s="6">
        <v>5.7922272047832593</v>
      </c>
      <c r="G162" s="6">
        <v>1877.9294</v>
      </c>
    </row>
    <row r="163" spans="1:7" x14ac:dyDescent="0.2">
      <c r="A163" s="6">
        <v>79</v>
      </c>
      <c r="B163" s="6">
        <v>7213.8966006339324</v>
      </c>
      <c r="C163" s="6">
        <v>-4458.8756506339323</v>
      </c>
      <c r="F163" s="6">
        <v>5.8669656203288492</v>
      </c>
      <c r="G163" s="6">
        <v>1880.07</v>
      </c>
    </row>
    <row r="164" spans="1:7" x14ac:dyDescent="0.2">
      <c r="A164" s="6">
        <v>80</v>
      </c>
      <c r="B164" s="6">
        <v>9421.1201767207585</v>
      </c>
      <c r="C164" s="6">
        <v>-2850.0958267207589</v>
      </c>
      <c r="F164" s="6">
        <v>5.94170403587444</v>
      </c>
      <c r="G164" s="6">
        <v>1880.4870000000001</v>
      </c>
    </row>
    <row r="165" spans="1:7" x14ac:dyDescent="0.2">
      <c r="A165" s="6">
        <v>81</v>
      </c>
      <c r="B165" s="6">
        <v>5487.4105385720368</v>
      </c>
      <c r="C165" s="6">
        <v>-1046.1973885720372</v>
      </c>
      <c r="F165" s="6">
        <v>6.0164424514200308</v>
      </c>
      <c r="G165" s="6">
        <v>1906.35825</v>
      </c>
    </row>
    <row r="166" spans="1:7" x14ac:dyDescent="0.2">
      <c r="A166" s="6">
        <v>82</v>
      </c>
      <c r="B166" s="6">
        <v>12606.018659504458</v>
      </c>
      <c r="C166" s="6">
        <v>-4670.7275095044579</v>
      </c>
      <c r="F166" s="6">
        <v>6.0911808669656207</v>
      </c>
      <c r="G166" s="6">
        <v>1909.52745</v>
      </c>
    </row>
    <row r="167" spans="1:7" x14ac:dyDescent="0.2">
      <c r="A167" s="6">
        <v>83</v>
      </c>
      <c r="B167" s="6">
        <v>29630.45758277327</v>
      </c>
      <c r="C167" s="6">
        <v>7534.7062172267324</v>
      </c>
      <c r="F167" s="6">
        <v>6.1659192825112115</v>
      </c>
      <c r="G167" s="6">
        <v>1917.3184000000001</v>
      </c>
    </row>
    <row r="168" spans="1:7" x14ac:dyDescent="0.2">
      <c r="A168" s="6">
        <v>84</v>
      </c>
      <c r="B168" s="6">
        <v>15924.550719172315</v>
      </c>
      <c r="C168" s="6">
        <v>-4890.8890191723149</v>
      </c>
      <c r="F168" s="6">
        <v>6.2406576980568014</v>
      </c>
      <c r="G168" s="6">
        <v>1964.78</v>
      </c>
    </row>
    <row r="169" spans="1:7" x14ac:dyDescent="0.2">
      <c r="A169" s="6">
        <v>85</v>
      </c>
      <c r="B169" s="6">
        <v>33208.563294282154</v>
      </c>
      <c r="C169" s="6">
        <v>6627.9557057178463</v>
      </c>
      <c r="F169" s="6">
        <v>6.3153961136023922</v>
      </c>
      <c r="G169" s="6">
        <v>1967.0227</v>
      </c>
    </row>
    <row r="170" spans="1:7" x14ac:dyDescent="0.2">
      <c r="A170" s="6">
        <v>86</v>
      </c>
      <c r="B170" s="6">
        <v>31701.088781824968</v>
      </c>
      <c r="C170" s="6">
        <v>-10602.53473182497</v>
      </c>
      <c r="F170" s="6">
        <v>6.3901345291479821</v>
      </c>
      <c r="G170" s="6">
        <v>1969.614</v>
      </c>
    </row>
    <row r="171" spans="1:7" x14ac:dyDescent="0.2">
      <c r="A171" s="6">
        <v>87</v>
      </c>
      <c r="B171" s="6">
        <v>36767.112175463582</v>
      </c>
      <c r="C171" s="6">
        <v>6811.8272245364205</v>
      </c>
      <c r="F171" s="6">
        <v>6.4648729446935729</v>
      </c>
      <c r="G171" s="6">
        <v>1972.95</v>
      </c>
    </row>
    <row r="172" spans="1:7" x14ac:dyDescent="0.2">
      <c r="A172" s="6">
        <v>88</v>
      </c>
      <c r="B172" s="6">
        <v>10711.428112838297</v>
      </c>
      <c r="C172" s="6">
        <v>361.74788716170224</v>
      </c>
      <c r="F172" s="6">
        <v>6.5396113602391637</v>
      </c>
      <c r="G172" s="6">
        <v>1977.8150000000001</v>
      </c>
    </row>
    <row r="173" spans="1:7" x14ac:dyDescent="0.2">
      <c r="A173" s="6">
        <v>89</v>
      </c>
      <c r="B173" s="6">
        <v>8933.1161442908578</v>
      </c>
      <c r="C173" s="6">
        <v>-906.44954429085828</v>
      </c>
      <c r="F173" s="6">
        <v>6.6143497757847536</v>
      </c>
      <c r="G173" s="6">
        <v>1980.07</v>
      </c>
    </row>
    <row r="174" spans="1:7" x14ac:dyDescent="0.2">
      <c r="A174" s="6">
        <v>90</v>
      </c>
      <c r="B174" s="6">
        <v>10987.036292382751</v>
      </c>
      <c r="C174" s="6">
        <v>95.540907617249104</v>
      </c>
      <c r="F174" s="6">
        <v>6.6890881913303444</v>
      </c>
      <c r="G174" s="6">
        <v>1981.5818999999999</v>
      </c>
    </row>
    <row r="175" spans="1:7" x14ac:dyDescent="0.2">
      <c r="A175" s="6">
        <v>91</v>
      </c>
      <c r="B175" s="6">
        <v>5815.1722608213522</v>
      </c>
      <c r="C175" s="6">
        <v>-3788.1981608213523</v>
      </c>
      <c r="F175" s="6">
        <v>6.7638266068759343</v>
      </c>
      <c r="G175" s="6">
        <v>1984.4532999999999</v>
      </c>
    </row>
    <row r="176" spans="1:7" x14ac:dyDescent="0.2">
      <c r="A176" s="6">
        <v>92</v>
      </c>
      <c r="B176" s="6">
        <v>10207.686436317501</v>
      </c>
      <c r="C176" s="6">
        <v>734.44561368249924</v>
      </c>
      <c r="F176" s="6">
        <v>6.8385650224215251</v>
      </c>
      <c r="G176" s="6">
        <v>1986.9333999999999</v>
      </c>
    </row>
    <row r="177" spans="1:7" x14ac:dyDescent="0.2">
      <c r="A177" s="6">
        <v>93</v>
      </c>
      <c r="B177" s="6">
        <v>38477.848762712783</v>
      </c>
      <c r="C177" s="6">
        <v>-8292.912062712785</v>
      </c>
      <c r="F177" s="6">
        <v>6.9133034379671159</v>
      </c>
      <c r="G177" s="6">
        <v>2007.9449999999999</v>
      </c>
    </row>
    <row r="178" spans="1:7" x14ac:dyDescent="0.2">
      <c r="A178" s="6">
        <v>94</v>
      </c>
      <c r="B178" s="6">
        <v>9311.9129761673921</v>
      </c>
      <c r="C178" s="6">
        <v>-3582.9076761673923</v>
      </c>
      <c r="F178" s="6">
        <v>6.9880418535127058</v>
      </c>
      <c r="G178" s="6">
        <v>2020.1769999999999</v>
      </c>
    </row>
    <row r="179" spans="1:7" x14ac:dyDescent="0.2">
      <c r="A179" s="6">
        <v>95</v>
      </c>
      <c r="B179" s="6">
        <v>38956.507725152609</v>
      </c>
      <c r="C179" s="6">
        <v>8334.5472748473912</v>
      </c>
      <c r="F179" s="6">
        <v>7.0627802690582966</v>
      </c>
      <c r="G179" s="6">
        <v>2020.5523000000001</v>
      </c>
    </row>
    <row r="180" spans="1:7" x14ac:dyDescent="0.2">
      <c r="A180" s="6">
        <v>96</v>
      </c>
      <c r="B180" s="6">
        <v>7454.3755154796472</v>
      </c>
      <c r="C180" s="6">
        <v>-3687.4917154796472</v>
      </c>
      <c r="F180" s="6">
        <v>7.1375186846038865</v>
      </c>
      <c r="G180" s="6">
        <v>2026.9740999999999</v>
      </c>
    </row>
    <row r="181" spans="1:7" x14ac:dyDescent="0.2">
      <c r="A181" s="6">
        <v>97</v>
      </c>
      <c r="B181" s="6">
        <v>12845.313476210022</v>
      </c>
      <c r="C181" s="6">
        <v>-739.99347621002198</v>
      </c>
      <c r="F181" s="6">
        <v>7.2122571001494773</v>
      </c>
      <c r="G181" s="6">
        <v>2045.68525</v>
      </c>
    </row>
    <row r="182" spans="1:7" x14ac:dyDescent="0.2">
      <c r="A182" s="6">
        <v>98</v>
      </c>
      <c r="B182" s="6">
        <v>14006.549808826958</v>
      </c>
      <c r="C182" s="6">
        <v>-3780.2656088269578</v>
      </c>
      <c r="F182" s="6">
        <v>7.2869955156950681</v>
      </c>
      <c r="G182" s="6">
        <v>2055.3249000000001</v>
      </c>
    </row>
    <row r="183" spans="1:7" x14ac:dyDescent="0.2">
      <c r="A183" s="6">
        <v>99</v>
      </c>
      <c r="B183" s="6">
        <v>32929.546747978246</v>
      </c>
      <c r="C183" s="6">
        <v>-10516.898247978246</v>
      </c>
      <c r="F183" s="6">
        <v>7.361733931240658</v>
      </c>
      <c r="G183" s="6">
        <v>2102.2647000000002</v>
      </c>
    </row>
    <row r="184" spans="1:7" x14ac:dyDescent="0.2">
      <c r="A184" s="6">
        <v>100</v>
      </c>
      <c r="B184" s="6">
        <v>27125.60566615811</v>
      </c>
      <c r="C184" s="6">
        <v>-11304.906666158109</v>
      </c>
      <c r="F184" s="6">
        <v>7.4364723467862488</v>
      </c>
      <c r="G184" s="6">
        <v>2103.08</v>
      </c>
    </row>
    <row r="185" spans="1:7" x14ac:dyDescent="0.2">
      <c r="A185" s="6">
        <v>101</v>
      </c>
      <c r="B185" s="6">
        <v>8351.0340206657747</v>
      </c>
      <c r="C185" s="6">
        <v>-2164.9070206657743</v>
      </c>
      <c r="F185" s="6">
        <v>7.5112107623318387</v>
      </c>
      <c r="G185" s="6">
        <v>2104.1134000000002</v>
      </c>
    </row>
    <row r="186" spans="1:7" x14ac:dyDescent="0.2">
      <c r="A186" s="6">
        <v>102</v>
      </c>
      <c r="B186" s="6">
        <v>4271.7029694901103</v>
      </c>
      <c r="C186" s="6">
        <v>-626.61356949011042</v>
      </c>
      <c r="F186" s="6">
        <v>7.5859491778774295</v>
      </c>
      <c r="G186" s="6">
        <v>2117.3388500000001</v>
      </c>
    </row>
    <row r="187" spans="1:7" x14ac:dyDescent="0.2">
      <c r="A187" s="6">
        <v>103</v>
      </c>
      <c r="B187" s="6">
        <v>2899.6866249955001</v>
      </c>
      <c r="C187" s="6">
        <v>18445.160075004496</v>
      </c>
      <c r="F187" s="6">
        <v>7.6606875934230203</v>
      </c>
      <c r="G187" s="6">
        <v>2128.4310500000001</v>
      </c>
    </row>
    <row r="188" spans="1:7" x14ac:dyDescent="0.2">
      <c r="A188" s="6">
        <v>104</v>
      </c>
      <c r="B188" s="6">
        <v>38118.381188619751</v>
      </c>
      <c r="C188" s="6">
        <v>-7176.1893886197504</v>
      </c>
      <c r="F188" s="6">
        <v>7.7354260089686102</v>
      </c>
      <c r="G188" s="6">
        <v>2130.6759000000002</v>
      </c>
    </row>
    <row r="189" spans="1:7" x14ac:dyDescent="0.2">
      <c r="A189" s="6">
        <v>105</v>
      </c>
      <c r="B189" s="6">
        <v>5637.8469382490275</v>
      </c>
      <c r="C189" s="6">
        <v>-633.99393824902745</v>
      </c>
      <c r="F189" s="6">
        <v>7.810164424514201</v>
      </c>
      <c r="G189" s="6">
        <v>2134.9014999999999</v>
      </c>
    </row>
    <row r="190" spans="1:7" x14ac:dyDescent="0.2">
      <c r="A190" s="6">
        <v>106</v>
      </c>
      <c r="B190" s="6">
        <v>26544.241840265746</v>
      </c>
      <c r="C190" s="6">
        <v>-8983.8620902657458</v>
      </c>
      <c r="F190" s="6">
        <v>7.8849028400597909</v>
      </c>
      <c r="G190" s="6">
        <v>2136.8822500000001</v>
      </c>
    </row>
    <row r="191" spans="1:7" x14ac:dyDescent="0.2">
      <c r="A191" s="6">
        <v>107</v>
      </c>
      <c r="B191" s="6">
        <v>2090.2757584385622</v>
      </c>
      <c r="C191" s="6">
        <v>241.24324156143757</v>
      </c>
      <c r="F191" s="6">
        <v>7.9596412556053817</v>
      </c>
      <c r="G191" s="6">
        <v>2137.6536000000001</v>
      </c>
    </row>
    <row r="192" spans="1:7" x14ac:dyDescent="0.2">
      <c r="A192" s="6">
        <v>108</v>
      </c>
      <c r="B192" s="6">
        <v>5679.0473015170392</v>
      </c>
      <c r="C192" s="6">
        <v>-1801.743051517039</v>
      </c>
      <c r="F192" s="6">
        <v>8.0343796711509725</v>
      </c>
      <c r="G192" s="6">
        <v>2138.0707000000002</v>
      </c>
    </row>
    <row r="193" spans="1:7" x14ac:dyDescent="0.2">
      <c r="A193" s="6">
        <v>109</v>
      </c>
      <c r="B193" s="6">
        <v>3821.0243325198244</v>
      </c>
      <c r="C193" s="6">
        <v>-953.90473251982439</v>
      </c>
      <c r="F193" s="6">
        <v>8.1091180866965615</v>
      </c>
      <c r="G193" s="6">
        <v>2150.4690000000001</v>
      </c>
    </row>
    <row r="194" spans="1:7" x14ac:dyDescent="0.2">
      <c r="A194" s="6">
        <v>110</v>
      </c>
      <c r="B194" s="6">
        <v>38827.908054019979</v>
      </c>
      <c r="C194" s="6">
        <v>8227.6240459800174</v>
      </c>
      <c r="F194" s="6">
        <v>8.1838565022421523</v>
      </c>
      <c r="G194" s="6">
        <v>2154.3609999999999</v>
      </c>
    </row>
    <row r="195" spans="1:7" x14ac:dyDescent="0.2">
      <c r="A195" s="6">
        <v>111</v>
      </c>
      <c r="B195" s="6">
        <v>13330.002592111514</v>
      </c>
      <c r="C195" s="6">
        <v>-2504.7488921115146</v>
      </c>
      <c r="F195" s="6">
        <v>8.2585949177877431</v>
      </c>
      <c r="G195" s="6">
        <v>2155.6815000000001</v>
      </c>
    </row>
    <row r="196" spans="1:7" x14ac:dyDescent="0.2">
      <c r="A196" s="6">
        <v>112</v>
      </c>
      <c r="B196" s="6">
        <v>12253.556484626313</v>
      </c>
      <c r="C196" s="6">
        <v>-372.19848462631307</v>
      </c>
      <c r="F196" s="6">
        <v>8.3333333333333321</v>
      </c>
      <c r="G196" s="6">
        <v>2156.7518</v>
      </c>
    </row>
    <row r="197" spans="1:7" x14ac:dyDescent="0.2">
      <c r="A197" s="6">
        <v>113</v>
      </c>
      <c r="B197" s="6">
        <v>6920.9394882326014</v>
      </c>
      <c r="C197" s="6">
        <v>-2274.1804882326014</v>
      </c>
      <c r="F197" s="6">
        <v>8.4080717488789229</v>
      </c>
      <c r="G197" s="6">
        <v>2166.732</v>
      </c>
    </row>
    <row r="198" spans="1:7" x14ac:dyDescent="0.2">
      <c r="A198" s="6">
        <v>114</v>
      </c>
      <c r="B198" s="6">
        <v>5218.4710906716618</v>
      </c>
      <c r="C198" s="6">
        <v>-2813.7372906716619</v>
      </c>
      <c r="F198" s="6">
        <v>8.4828101644245137</v>
      </c>
      <c r="G198" s="6">
        <v>2196.4731999999999</v>
      </c>
    </row>
    <row r="199" spans="1:7" x14ac:dyDescent="0.2">
      <c r="A199" s="6">
        <v>115</v>
      </c>
      <c r="B199" s="6">
        <v>13636.904205364277</v>
      </c>
      <c r="C199" s="6">
        <v>-2148.5872553642766</v>
      </c>
      <c r="F199" s="6">
        <v>8.5575485799701045</v>
      </c>
      <c r="G199" s="6">
        <v>2198.1898500000002</v>
      </c>
    </row>
    <row r="200" spans="1:7" x14ac:dyDescent="0.2">
      <c r="A200" s="6">
        <v>116</v>
      </c>
      <c r="B200" s="6">
        <v>13040.765022680531</v>
      </c>
      <c r="C200" s="6">
        <v>17219.230537319469</v>
      </c>
      <c r="F200" s="6">
        <v>8.6322869955156953</v>
      </c>
      <c r="G200" s="6">
        <v>2200.8308499999998</v>
      </c>
    </row>
    <row r="201" spans="1:7" x14ac:dyDescent="0.2">
      <c r="A201" s="6">
        <v>117</v>
      </c>
      <c r="B201" s="6">
        <v>18433.624296363854</v>
      </c>
      <c r="C201" s="6">
        <v>-7052.2988963638545</v>
      </c>
      <c r="F201" s="6">
        <v>8.7070254110612844</v>
      </c>
      <c r="G201" s="6">
        <v>2201.0971</v>
      </c>
    </row>
    <row r="202" spans="1:7" x14ac:dyDescent="0.2">
      <c r="A202" s="6">
        <v>118</v>
      </c>
      <c r="B202" s="6">
        <v>28276.373778976882</v>
      </c>
      <c r="C202" s="6">
        <v>-9168.5941789768804</v>
      </c>
      <c r="F202" s="6">
        <v>8.7817638266068752</v>
      </c>
      <c r="G202" s="6">
        <v>2203.4718499999999</v>
      </c>
    </row>
    <row r="203" spans="1:7" x14ac:dyDescent="0.2">
      <c r="A203" s="6">
        <v>119</v>
      </c>
      <c r="B203" s="6">
        <v>8828.2867833815435</v>
      </c>
      <c r="C203" s="6">
        <v>-226.95748338154408</v>
      </c>
      <c r="F203" s="6">
        <v>8.856502242152466</v>
      </c>
      <c r="G203" s="6">
        <v>2203.7359499999998</v>
      </c>
    </row>
    <row r="204" spans="1:7" x14ac:dyDescent="0.2">
      <c r="A204" s="6">
        <v>120</v>
      </c>
      <c r="B204" s="6">
        <v>6090.1346694736203</v>
      </c>
      <c r="C204" s="6">
        <v>596.29663052637989</v>
      </c>
      <c r="F204" s="6">
        <v>8.9312406576980568</v>
      </c>
      <c r="G204" s="6">
        <v>2205.9807999999998</v>
      </c>
    </row>
    <row r="205" spans="1:7" x14ac:dyDescent="0.2">
      <c r="A205" s="6">
        <v>121</v>
      </c>
      <c r="B205" s="6">
        <v>11806.853804040595</v>
      </c>
      <c r="C205" s="6">
        <v>-4066.5168040405943</v>
      </c>
      <c r="F205" s="6">
        <v>9.0059790732436475</v>
      </c>
      <c r="G205" s="6">
        <v>2207.6974500000001</v>
      </c>
    </row>
    <row r="206" spans="1:7" x14ac:dyDescent="0.2">
      <c r="A206" s="6">
        <v>122</v>
      </c>
      <c r="B206" s="6">
        <v>609.40593336739676</v>
      </c>
      <c r="C206" s="6">
        <v>1096.2185666326031</v>
      </c>
      <c r="F206" s="6">
        <v>9.0807174887892366</v>
      </c>
      <c r="G206" s="6">
        <v>2211.1307499999998</v>
      </c>
    </row>
    <row r="207" spans="1:7" x14ac:dyDescent="0.2">
      <c r="A207" s="6">
        <v>123</v>
      </c>
      <c r="B207" s="6">
        <v>2673.7548935291989</v>
      </c>
      <c r="C207" s="6">
        <v>-416.27964352919889</v>
      </c>
      <c r="F207" s="6">
        <v>9.1554559043348274</v>
      </c>
      <c r="G207" s="6">
        <v>2217.4691499999999</v>
      </c>
    </row>
    <row r="208" spans="1:7" x14ac:dyDescent="0.2">
      <c r="A208" s="6">
        <v>124</v>
      </c>
      <c r="B208" s="6">
        <v>34189.576433842776</v>
      </c>
      <c r="C208" s="6">
        <v>5366.9180661572245</v>
      </c>
      <c r="F208" s="6">
        <v>9.2301943198804182</v>
      </c>
      <c r="G208" s="6">
        <v>2217.6012000000001</v>
      </c>
    </row>
    <row r="209" spans="1:7" x14ac:dyDescent="0.2">
      <c r="A209" s="6">
        <v>125</v>
      </c>
      <c r="B209" s="6">
        <v>12710.993708322541</v>
      </c>
      <c r="C209" s="6">
        <v>-2595.9848583225412</v>
      </c>
      <c r="F209" s="6">
        <v>9.304932735426009</v>
      </c>
      <c r="G209" s="6">
        <v>2219.4450999999999</v>
      </c>
    </row>
    <row r="210" spans="1:7" x14ac:dyDescent="0.2">
      <c r="A210" s="6">
        <v>126</v>
      </c>
      <c r="B210" s="6">
        <v>4503.4101519918686</v>
      </c>
      <c r="C210" s="6">
        <v>-1118.0110019918684</v>
      </c>
      <c r="F210" s="6">
        <v>9.3796711509715998</v>
      </c>
      <c r="G210" s="6">
        <v>2221.5644499999999</v>
      </c>
    </row>
    <row r="211" spans="1:7" x14ac:dyDescent="0.2">
      <c r="A211" s="6">
        <v>127</v>
      </c>
      <c r="B211" s="6">
        <v>25429.390409841166</v>
      </c>
      <c r="C211" s="6">
        <v>-8348.3104098411641</v>
      </c>
      <c r="F211" s="6">
        <v>9.4544095665171888</v>
      </c>
      <c r="G211" s="6">
        <v>2250.8352</v>
      </c>
    </row>
    <row r="212" spans="1:7" x14ac:dyDescent="0.2">
      <c r="A212" s="6">
        <v>128</v>
      </c>
      <c r="B212" s="6">
        <v>13143.775929519474</v>
      </c>
      <c r="C212" s="6">
        <v>-3509.2379295194733</v>
      </c>
      <c r="F212" s="6">
        <v>9.5291479820627796</v>
      </c>
      <c r="G212" s="6">
        <v>2254.7966999999999</v>
      </c>
    </row>
    <row r="213" spans="1:7" x14ac:dyDescent="0.2">
      <c r="A213" s="6">
        <v>129</v>
      </c>
      <c r="B213" s="6">
        <v>26753.208141210944</v>
      </c>
      <c r="C213" s="6">
        <v>5980.9781587890575</v>
      </c>
      <c r="F213" s="6">
        <v>9.6038863976083704</v>
      </c>
      <c r="G213" s="6">
        <v>2257.47525</v>
      </c>
    </row>
    <row r="214" spans="1:7" x14ac:dyDescent="0.2">
      <c r="A214" s="6">
        <v>130</v>
      </c>
      <c r="B214" s="6">
        <v>9451.6514001504929</v>
      </c>
      <c r="C214" s="6">
        <v>-3369.2464001504932</v>
      </c>
      <c r="F214" s="6">
        <v>9.6786248131539612</v>
      </c>
      <c r="G214" s="6">
        <v>2261.5688</v>
      </c>
    </row>
    <row r="215" spans="1:7" x14ac:dyDescent="0.2">
      <c r="A215" s="6">
        <v>131</v>
      </c>
      <c r="B215" s="6">
        <v>12206.308711491634</v>
      </c>
      <c r="C215" s="6">
        <v>609.13623850836484</v>
      </c>
      <c r="F215" s="6">
        <v>9.753363228699552</v>
      </c>
      <c r="G215" s="6">
        <v>2302.3000000000002</v>
      </c>
    </row>
    <row r="216" spans="1:7" x14ac:dyDescent="0.2">
      <c r="A216" s="6">
        <v>132</v>
      </c>
      <c r="B216" s="6">
        <v>11205.522646193931</v>
      </c>
      <c r="C216" s="6">
        <v>2410.8359538060686</v>
      </c>
      <c r="F216" s="6">
        <v>9.828101644245141</v>
      </c>
      <c r="G216" s="6">
        <v>2304.0021999999999</v>
      </c>
    </row>
    <row r="217" spans="1:7" x14ac:dyDescent="0.2">
      <c r="A217" s="6">
        <v>133</v>
      </c>
      <c r="B217" s="6">
        <v>13842.843191938826</v>
      </c>
      <c r="C217" s="6">
        <v>-2679.2751919388265</v>
      </c>
      <c r="F217" s="6">
        <v>9.9028400597907318</v>
      </c>
      <c r="G217" s="6">
        <v>2322.6217999999999</v>
      </c>
    </row>
    <row r="218" spans="1:7" x14ac:dyDescent="0.2">
      <c r="A218" s="6">
        <v>134</v>
      </c>
      <c r="B218" s="6">
        <v>1125.5425702476705</v>
      </c>
      <c r="C218" s="6">
        <v>507.0218797523296</v>
      </c>
      <c r="F218" s="6">
        <v>9.9775784753363226</v>
      </c>
      <c r="G218" s="6">
        <v>2331.5189999999998</v>
      </c>
    </row>
    <row r="219" spans="1:7" x14ac:dyDescent="0.2">
      <c r="A219" s="6">
        <v>135</v>
      </c>
      <c r="B219" s="6">
        <v>2962.2720367677803</v>
      </c>
      <c r="C219" s="6">
        <v>-505.06088676778018</v>
      </c>
      <c r="F219" s="6">
        <v>10.052316890881913</v>
      </c>
      <c r="G219" s="6">
        <v>2352.9684499999998</v>
      </c>
    </row>
    <row r="220" spans="1:7" x14ac:dyDescent="0.2">
      <c r="A220" s="6">
        <v>136</v>
      </c>
      <c r="B220" s="6">
        <v>2191.6555040506883</v>
      </c>
      <c r="C220" s="6">
        <v>-35.974004050688109</v>
      </c>
      <c r="F220" s="6">
        <v>10.127055306427504</v>
      </c>
      <c r="G220" s="6">
        <v>2362.2290499999999</v>
      </c>
    </row>
    <row r="221" spans="1:7" x14ac:dyDescent="0.2">
      <c r="A221" s="6">
        <v>137</v>
      </c>
      <c r="B221" s="6">
        <v>3416.8635394761127</v>
      </c>
      <c r="C221" s="6">
        <v>-2155.4215394761127</v>
      </c>
      <c r="F221" s="6">
        <v>10.201793721973093</v>
      </c>
      <c r="G221" s="6">
        <v>2395.17155</v>
      </c>
    </row>
    <row r="222" spans="1:7" x14ac:dyDescent="0.2">
      <c r="A222" s="6">
        <v>138</v>
      </c>
      <c r="B222" s="6">
        <v>1767.2181154875934</v>
      </c>
      <c r="C222" s="6">
        <v>278.46713451240657</v>
      </c>
      <c r="F222" s="6">
        <v>10.276532137518684</v>
      </c>
      <c r="G222" s="6">
        <v>2396.0958999999998</v>
      </c>
    </row>
    <row r="223" spans="1:7" x14ac:dyDescent="0.2">
      <c r="A223" s="6">
        <v>139</v>
      </c>
      <c r="B223" s="6">
        <v>13143.455217094954</v>
      </c>
      <c r="C223" s="6">
        <v>14179.278642905047</v>
      </c>
      <c r="F223" s="6">
        <v>10.351270553064275</v>
      </c>
      <c r="G223" s="6">
        <v>2404.7338</v>
      </c>
    </row>
    <row r="224" spans="1:7" x14ac:dyDescent="0.2">
      <c r="A224" s="6">
        <v>140</v>
      </c>
      <c r="B224" s="6">
        <v>4963.2145183438588</v>
      </c>
      <c r="C224" s="6">
        <v>-2796.4825183438588</v>
      </c>
      <c r="F224" s="6">
        <v>10.426008968609866</v>
      </c>
      <c r="G224" s="6">
        <v>2416.9549999999999</v>
      </c>
    </row>
    <row r="225" spans="1:7" x14ac:dyDescent="0.2">
      <c r="A225" s="6">
        <v>141</v>
      </c>
      <c r="B225" s="6">
        <v>5218.9813709608134</v>
      </c>
      <c r="C225" s="6">
        <v>22156.923409039187</v>
      </c>
      <c r="F225" s="6">
        <v>10.500747384155456</v>
      </c>
      <c r="G225" s="6">
        <v>2438.0551999999998</v>
      </c>
    </row>
    <row r="226" spans="1:7" x14ac:dyDescent="0.2">
      <c r="A226" s="6">
        <v>142</v>
      </c>
      <c r="B226" s="6">
        <v>6104.3080833740569</v>
      </c>
      <c r="C226" s="6">
        <v>-2613.7589833740567</v>
      </c>
      <c r="F226" s="6">
        <v>10.575485799701045</v>
      </c>
      <c r="G226" s="6">
        <v>2457.2111500000001</v>
      </c>
    </row>
    <row r="227" spans="1:7" x14ac:dyDescent="0.2">
      <c r="A227" s="6">
        <v>143</v>
      </c>
      <c r="B227" s="6">
        <v>29009.371009885028</v>
      </c>
      <c r="C227" s="6">
        <v>-10036.876009885029</v>
      </c>
      <c r="F227" s="6">
        <v>10.650224215246636</v>
      </c>
      <c r="G227" s="6">
        <v>2457.502</v>
      </c>
    </row>
    <row r="228" spans="1:7" x14ac:dyDescent="0.2">
      <c r="A228" s="6">
        <v>144</v>
      </c>
      <c r="B228" s="6">
        <v>6062.9358220127251</v>
      </c>
      <c r="C228" s="6">
        <v>12094.940177987275</v>
      </c>
      <c r="F228" s="6">
        <v>10.724962630792227</v>
      </c>
      <c r="G228" s="6">
        <v>2459.7201</v>
      </c>
    </row>
    <row r="229" spans="1:7" x14ac:dyDescent="0.2">
      <c r="A229" s="6">
        <v>145</v>
      </c>
      <c r="B229" s="6">
        <v>30289.370102588699</v>
      </c>
      <c r="C229" s="6">
        <v>-9543.3810025886996</v>
      </c>
      <c r="F229" s="6">
        <v>10.799701046337818</v>
      </c>
      <c r="G229" s="6">
        <v>2464.6188000000002</v>
      </c>
    </row>
    <row r="230" spans="1:7" x14ac:dyDescent="0.2">
      <c r="A230" s="6">
        <v>146</v>
      </c>
      <c r="B230" s="6">
        <v>9072.6570371843773</v>
      </c>
      <c r="C230" s="6">
        <v>-3934.4003371843773</v>
      </c>
      <c r="F230" s="6">
        <v>10.874439461883409</v>
      </c>
      <c r="G230" s="6">
        <v>2473.3341</v>
      </c>
    </row>
    <row r="231" spans="1:7" x14ac:dyDescent="0.2">
      <c r="A231" s="6">
        <v>147</v>
      </c>
      <c r="B231" s="6">
        <v>35011.31592695383</v>
      </c>
      <c r="C231" s="6">
        <v>5709.2351230461718</v>
      </c>
      <c r="F231" s="6">
        <v>10.949177877428998</v>
      </c>
      <c r="G231" s="6">
        <v>2480.9791</v>
      </c>
    </row>
    <row r="232" spans="1:7" x14ac:dyDescent="0.2">
      <c r="A232" s="6">
        <v>148</v>
      </c>
      <c r="B232" s="6">
        <v>13399.382903735843</v>
      </c>
      <c r="C232" s="6">
        <v>-3521.7752037358423</v>
      </c>
      <c r="F232" s="6">
        <v>11.023916292974588</v>
      </c>
      <c r="G232" s="6">
        <v>2483.7359999999999</v>
      </c>
    </row>
    <row r="233" spans="1:7" x14ac:dyDescent="0.2">
      <c r="A233" s="6">
        <v>149</v>
      </c>
      <c r="B233" s="6">
        <v>14493.395722690466</v>
      </c>
      <c r="C233" s="6">
        <v>-3533.7010226904658</v>
      </c>
      <c r="F233" s="6">
        <v>11.098654708520179</v>
      </c>
      <c r="G233" s="6">
        <v>2494.0219999999999</v>
      </c>
    </row>
    <row r="234" spans="1:7" x14ac:dyDescent="0.2">
      <c r="A234" s="6">
        <v>150</v>
      </c>
      <c r="B234" s="6">
        <v>1958.961399043455</v>
      </c>
      <c r="C234" s="6">
        <v>-116.442399043455</v>
      </c>
      <c r="F234" s="6">
        <v>11.17339312406577</v>
      </c>
      <c r="G234" s="6">
        <v>2497.0383000000002</v>
      </c>
    </row>
    <row r="235" spans="1:7" x14ac:dyDescent="0.2">
      <c r="A235" s="6">
        <v>151</v>
      </c>
      <c r="B235" s="6">
        <v>5227.39408459892</v>
      </c>
      <c r="C235" s="6">
        <v>-102.17838459892027</v>
      </c>
      <c r="F235" s="6">
        <v>11.248131539611361</v>
      </c>
      <c r="G235" s="6">
        <v>2498.4144000000001</v>
      </c>
    </row>
    <row r="236" spans="1:7" x14ac:dyDescent="0.2">
      <c r="A236" s="6">
        <v>152</v>
      </c>
      <c r="B236" s="6">
        <v>9298.275509084513</v>
      </c>
      <c r="C236" s="6">
        <v>-1508.6405090845128</v>
      </c>
      <c r="F236" s="6">
        <v>11.32286995515695</v>
      </c>
      <c r="G236" s="6">
        <v>2523.1695</v>
      </c>
    </row>
    <row r="237" spans="1:7" x14ac:dyDescent="0.2">
      <c r="A237" s="6">
        <v>153</v>
      </c>
      <c r="B237" s="6">
        <v>10306.707174849977</v>
      </c>
      <c r="C237" s="6">
        <v>-3972.363624849977</v>
      </c>
      <c r="F237" s="6">
        <v>11.397608370702541</v>
      </c>
      <c r="G237" s="6">
        <v>2527.8186500000002</v>
      </c>
    </row>
    <row r="238" spans="1:7" x14ac:dyDescent="0.2">
      <c r="A238" s="6">
        <v>154</v>
      </c>
      <c r="B238" s="6">
        <v>30624.913783199558</v>
      </c>
      <c r="C238" s="6">
        <v>-10660.167483199559</v>
      </c>
      <c r="F238" s="6">
        <v>11.472346786248131</v>
      </c>
      <c r="G238" s="6">
        <v>2534.3937500000002</v>
      </c>
    </row>
    <row r="239" spans="1:7" x14ac:dyDescent="0.2">
      <c r="A239" s="6">
        <v>155</v>
      </c>
      <c r="B239" s="6">
        <v>7447.0813994078289</v>
      </c>
      <c r="C239" s="6">
        <v>-369.89199940782873</v>
      </c>
      <c r="F239" s="6">
        <v>11.547085201793722</v>
      </c>
      <c r="G239" s="6">
        <v>2566.4706999999999</v>
      </c>
    </row>
    <row r="240" spans="1:7" x14ac:dyDescent="0.2">
      <c r="A240" s="6">
        <v>156</v>
      </c>
      <c r="B240" s="6">
        <v>12283.78796335675</v>
      </c>
      <c r="C240" s="6">
        <v>-5335.0871633567504</v>
      </c>
      <c r="F240" s="6">
        <v>11.621823617339313</v>
      </c>
      <c r="G240" s="6">
        <v>2585.2689999999998</v>
      </c>
    </row>
    <row r="241" spans="1:7" x14ac:dyDescent="0.2">
      <c r="A241" s="6">
        <v>157</v>
      </c>
      <c r="B241" s="6">
        <v>31355.868615932097</v>
      </c>
      <c r="C241" s="6">
        <v>-10132.192815932096</v>
      </c>
      <c r="F241" s="6">
        <v>11.696562032884902</v>
      </c>
      <c r="G241" s="6">
        <v>2585.8506499999999</v>
      </c>
    </row>
    <row r="242" spans="1:7" x14ac:dyDescent="0.2">
      <c r="A242" s="6">
        <v>158</v>
      </c>
      <c r="B242" s="6">
        <v>24941.291146675663</v>
      </c>
      <c r="C242" s="6">
        <v>-9423.1108966756638</v>
      </c>
      <c r="F242" s="6">
        <v>11.771300448430493</v>
      </c>
      <c r="G242" s="6">
        <v>2597.779</v>
      </c>
    </row>
    <row r="243" spans="1:7" x14ac:dyDescent="0.2">
      <c r="A243" s="6">
        <v>159</v>
      </c>
      <c r="B243" s="6">
        <v>30500.89353987627</v>
      </c>
      <c r="C243" s="6">
        <v>6449.3631601237284</v>
      </c>
      <c r="F243" s="6">
        <v>11.846038863976084</v>
      </c>
      <c r="G243" s="6">
        <v>2632.9920000000002</v>
      </c>
    </row>
    <row r="244" spans="1:7" x14ac:dyDescent="0.2">
      <c r="A244" s="6">
        <v>160</v>
      </c>
      <c r="B244" s="6">
        <v>10735.512450749442</v>
      </c>
      <c r="C244" s="6">
        <v>9013.8709292505573</v>
      </c>
      <c r="F244" s="6">
        <v>11.920777279521674</v>
      </c>
      <c r="G244" s="6">
        <v>2639.0428999999999</v>
      </c>
    </row>
    <row r="245" spans="1:7" x14ac:dyDescent="0.2">
      <c r="A245" s="6">
        <v>161</v>
      </c>
      <c r="B245" s="6">
        <v>31367.54473893793</v>
      </c>
      <c r="C245" s="6">
        <v>-10018.838738937931</v>
      </c>
      <c r="F245" s="6">
        <v>11.995515695067265</v>
      </c>
      <c r="G245" s="6">
        <v>2643.2685000000001</v>
      </c>
    </row>
    <row r="246" spans="1:7" x14ac:dyDescent="0.2">
      <c r="A246" s="6">
        <v>162</v>
      </c>
      <c r="B246" s="6">
        <v>27997.667027589509</v>
      </c>
      <c r="C246" s="6">
        <v>8151.8164724104936</v>
      </c>
      <c r="F246" s="6">
        <v>12.070254110612854</v>
      </c>
      <c r="G246" s="6">
        <v>2680.9493000000002</v>
      </c>
    </row>
    <row r="247" spans="1:7" x14ac:dyDescent="0.2">
      <c r="A247" s="6">
        <v>163</v>
      </c>
      <c r="B247" s="6">
        <v>14747.900418292042</v>
      </c>
      <c r="C247" s="6">
        <v>-4297.348418292042</v>
      </c>
      <c r="F247" s="6">
        <v>12.144992526158445</v>
      </c>
      <c r="G247" s="6">
        <v>2689.4953999999998</v>
      </c>
    </row>
    <row r="248" spans="1:7" x14ac:dyDescent="0.2">
      <c r="A248" s="6">
        <v>164</v>
      </c>
      <c r="B248" s="6">
        <v>6379.7797216283943</v>
      </c>
      <c r="C248" s="6">
        <v>-1227.6457216283943</v>
      </c>
      <c r="F248" s="6">
        <v>12.219730941704036</v>
      </c>
      <c r="G248" s="6">
        <v>2690.1138000000001</v>
      </c>
    </row>
    <row r="249" spans="1:7" x14ac:dyDescent="0.2">
      <c r="A249" s="6">
        <v>165</v>
      </c>
      <c r="B249" s="6">
        <v>7134.5621739202143</v>
      </c>
      <c r="C249" s="6">
        <v>-2106.4155739202142</v>
      </c>
      <c r="F249" s="6">
        <v>12.294469357249627</v>
      </c>
      <c r="G249" s="6">
        <v>2699.56835</v>
      </c>
    </row>
    <row r="250" spans="1:7" x14ac:dyDescent="0.2">
      <c r="A250" s="6">
        <v>166</v>
      </c>
      <c r="B250" s="6">
        <v>11474.741107919419</v>
      </c>
      <c r="C250" s="6">
        <v>-1067.6552579194195</v>
      </c>
      <c r="F250" s="6">
        <v>12.369207772795216</v>
      </c>
      <c r="G250" s="6">
        <v>2709.1118999999999</v>
      </c>
    </row>
    <row r="251" spans="1:7" x14ac:dyDescent="0.2">
      <c r="A251" s="6">
        <v>167</v>
      </c>
      <c r="B251" s="6">
        <v>7166.1979926256663</v>
      </c>
      <c r="C251" s="6">
        <v>-2335.5679926256662</v>
      </c>
      <c r="F251" s="6">
        <v>12.443946188340806</v>
      </c>
      <c r="G251" s="6">
        <v>2709.24395</v>
      </c>
    </row>
    <row r="252" spans="1:7" x14ac:dyDescent="0.2">
      <c r="A252" s="6">
        <v>168</v>
      </c>
      <c r="B252" s="6">
        <v>8600.3613955180826</v>
      </c>
      <c r="C252" s="6">
        <v>-2471.5639455180826</v>
      </c>
      <c r="F252" s="6">
        <v>12.518684603886397</v>
      </c>
      <c r="G252" s="6">
        <v>2710.8285500000002</v>
      </c>
    </row>
    <row r="253" spans="1:7" x14ac:dyDescent="0.2">
      <c r="A253" s="6">
        <v>169</v>
      </c>
      <c r="B253" s="6">
        <v>3859.1004289318771</v>
      </c>
      <c r="C253" s="6">
        <v>-1139.820678931877</v>
      </c>
      <c r="F253" s="6">
        <v>12.593423019431988</v>
      </c>
      <c r="G253" s="6">
        <v>2719.2797500000001</v>
      </c>
    </row>
    <row r="254" spans="1:7" x14ac:dyDescent="0.2">
      <c r="A254" s="6">
        <v>170</v>
      </c>
      <c r="B254" s="6">
        <v>2704.2224589064067</v>
      </c>
      <c r="C254" s="6">
        <v>2123.6824910935934</v>
      </c>
      <c r="F254" s="6">
        <v>12.668161434977579</v>
      </c>
      <c r="G254" s="6">
        <v>2721.3208</v>
      </c>
    </row>
    <row r="255" spans="1:7" x14ac:dyDescent="0.2">
      <c r="A255" s="6">
        <v>171</v>
      </c>
      <c r="B255" s="6">
        <v>17143.42774614432</v>
      </c>
      <c r="C255" s="6">
        <v>-3738.0374461443207</v>
      </c>
      <c r="F255" s="6">
        <v>12.742899850523168</v>
      </c>
      <c r="G255" s="6">
        <v>2727.3951000000002</v>
      </c>
    </row>
    <row r="256" spans="1:7" x14ac:dyDescent="0.2">
      <c r="A256" s="6">
        <v>172</v>
      </c>
      <c r="B256" s="6">
        <v>9833.6189918753571</v>
      </c>
      <c r="C256" s="6">
        <v>-1716.9389918753568</v>
      </c>
      <c r="F256" s="6">
        <v>12.817638266068759</v>
      </c>
      <c r="G256" s="6">
        <v>2730.1078499999999</v>
      </c>
    </row>
    <row r="257" spans="1:7" x14ac:dyDescent="0.2">
      <c r="A257" s="6">
        <v>173</v>
      </c>
      <c r="B257" s="6">
        <v>-2032.9110702610469</v>
      </c>
      <c r="C257" s="6">
        <v>3727.7074702610471</v>
      </c>
      <c r="F257" s="6">
        <v>12.892376681614349</v>
      </c>
      <c r="G257" s="6">
        <v>2731.9122000000002</v>
      </c>
    </row>
    <row r="258" spans="1:7" x14ac:dyDescent="0.2">
      <c r="A258" s="6">
        <v>174</v>
      </c>
      <c r="B258" s="6">
        <v>8370.8155021455059</v>
      </c>
      <c r="C258" s="6">
        <v>-3124.7685021455063</v>
      </c>
      <c r="F258" s="6">
        <v>12.96711509715994</v>
      </c>
      <c r="G258" s="6">
        <v>2741.9479999999999</v>
      </c>
    </row>
    <row r="259" spans="1:7" x14ac:dyDescent="0.2">
      <c r="A259" s="6">
        <v>175</v>
      </c>
      <c r="B259" s="6">
        <v>5183.4556959579604</v>
      </c>
      <c r="C259" s="6">
        <v>-2328.0181459579603</v>
      </c>
      <c r="F259" s="6">
        <v>13.041853512705531</v>
      </c>
      <c r="G259" s="6">
        <v>2755.0209500000001</v>
      </c>
    </row>
    <row r="260" spans="1:7" x14ac:dyDescent="0.2">
      <c r="A260" s="6">
        <v>176</v>
      </c>
      <c r="B260" s="6">
        <v>39919.488385426375</v>
      </c>
      <c r="C260" s="6">
        <v>8904.9616145736218</v>
      </c>
      <c r="F260" s="6">
        <v>13.11659192825112</v>
      </c>
      <c r="G260" s="6">
        <v>2775.1921499999999</v>
      </c>
    </row>
    <row r="261" spans="1:7" x14ac:dyDescent="0.2">
      <c r="A261" s="6">
        <v>177</v>
      </c>
      <c r="B261" s="6">
        <v>7730.1754329882606</v>
      </c>
      <c r="C261" s="6">
        <v>-1274.3127829882606</v>
      </c>
      <c r="F261" s="6">
        <v>13.191330343796711</v>
      </c>
      <c r="G261" s="6">
        <v>2789.0574000000001</v>
      </c>
    </row>
    <row r="262" spans="1:7" x14ac:dyDescent="0.2">
      <c r="A262" s="6">
        <v>178</v>
      </c>
      <c r="B262" s="6">
        <v>11220.288500739305</v>
      </c>
      <c r="C262" s="6">
        <v>-784.19250073930561</v>
      </c>
      <c r="F262" s="6">
        <v>13.266068759342302</v>
      </c>
      <c r="G262" s="6">
        <v>2801.2588000000001</v>
      </c>
    </row>
    <row r="263" spans="1:7" x14ac:dyDescent="0.2">
      <c r="A263" s="6">
        <v>179</v>
      </c>
      <c r="B263" s="6">
        <v>9670.4945489015099</v>
      </c>
      <c r="C263" s="6">
        <v>-847.21554890150946</v>
      </c>
      <c r="F263" s="6">
        <v>13.340807174887892</v>
      </c>
      <c r="G263" s="6">
        <v>2803.69785</v>
      </c>
    </row>
    <row r="264" spans="1:7" x14ac:dyDescent="0.2">
      <c r="A264" s="6">
        <v>180</v>
      </c>
      <c r="B264" s="6">
        <v>11265.032467778856</v>
      </c>
      <c r="C264" s="6">
        <v>-2726.7440177788558</v>
      </c>
      <c r="F264" s="6">
        <v>13.415545590433483</v>
      </c>
      <c r="G264" s="6">
        <v>2842.7607499999999</v>
      </c>
    </row>
    <row r="265" spans="1:7" x14ac:dyDescent="0.2">
      <c r="A265" s="6">
        <v>181</v>
      </c>
      <c r="B265" s="6">
        <v>12174.088418181193</v>
      </c>
      <c r="C265" s="6">
        <v>-438.20936818119299</v>
      </c>
      <c r="F265" s="6">
        <v>13.490284005979072</v>
      </c>
      <c r="G265" s="6">
        <v>2850.6837500000001</v>
      </c>
    </row>
    <row r="266" spans="1:7" x14ac:dyDescent="0.2">
      <c r="A266" s="6">
        <v>182</v>
      </c>
      <c r="B266" s="6">
        <v>4634.1791243401913</v>
      </c>
      <c r="C266" s="6">
        <v>-3002.3579243401909</v>
      </c>
      <c r="F266" s="6">
        <v>13.565022421524663</v>
      </c>
      <c r="G266" s="6">
        <v>2855.4375500000001</v>
      </c>
    </row>
    <row r="267" spans="1:7" x14ac:dyDescent="0.2">
      <c r="A267" s="6">
        <v>183</v>
      </c>
      <c r="B267" s="6">
        <v>1774.397855242994</v>
      </c>
      <c r="C267" s="6">
        <v>2231.0246447570062</v>
      </c>
      <c r="F267" s="6">
        <v>13.639760837070254</v>
      </c>
      <c r="G267" s="6">
        <v>2866.0909999999999</v>
      </c>
    </row>
    <row r="268" spans="1:7" x14ac:dyDescent="0.2">
      <c r="A268" s="6">
        <v>184</v>
      </c>
      <c r="B268" s="6">
        <v>7968.2761459137437</v>
      </c>
      <c r="C268" s="6">
        <v>-548.79824591374381</v>
      </c>
      <c r="F268" s="6">
        <v>13.714499252615845</v>
      </c>
      <c r="G268" s="6">
        <v>2867.1196</v>
      </c>
    </row>
    <row r="269" spans="1:7" x14ac:dyDescent="0.2">
      <c r="A269" s="6">
        <v>185</v>
      </c>
      <c r="B269" s="6">
        <v>9557.6527083081164</v>
      </c>
      <c r="C269" s="6">
        <v>-1826.2256083081165</v>
      </c>
      <c r="F269" s="6">
        <v>13.789237668161435</v>
      </c>
      <c r="G269" s="6">
        <v>2897.3235</v>
      </c>
    </row>
    <row r="270" spans="1:7" x14ac:dyDescent="0.2">
      <c r="A270" s="6">
        <v>186</v>
      </c>
      <c r="B270" s="6">
        <v>36662.521672168572</v>
      </c>
      <c r="C270" s="6">
        <v>7090.8153778314299</v>
      </c>
      <c r="F270" s="6">
        <v>13.863976083707025</v>
      </c>
      <c r="G270" s="6">
        <v>2899.4893499999998</v>
      </c>
    </row>
    <row r="271" spans="1:7" x14ac:dyDescent="0.2">
      <c r="A271" s="6">
        <v>187</v>
      </c>
      <c r="B271" s="6">
        <v>4804.3737627506171</v>
      </c>
      <c r="C271" s="6">
        <v>-822.39696275061715</v>
      </c>
      <c r="F271" s="6">
        <v>13.938714499252615</v>
      </c>
      <c r="G271" s="6">
        <v>2902.9065000000001</v>
      </c>
    </row>
    <row r="272" spans="1:7" x14ac:dyDescent="0.2">
      <c r="A272" s="6">
        <v>188</v>
      </c>
      <c r="B272" s="6">
        <v>6714.6803606747562</v>
      </c>
      <c r="C272" s="6">
        <v>-1389.0293606747564</v>
      </c>
      <c r="F272" s="6">
        <v>14.013452914798206</v>
      </c>
      <c r="G272" s="6">
        <v>2904.0880000000002</v>
      </c>
    </row>
    <row r="273" spans="1:7" x14ac:dyDescent="0.2">
      <c r="A273" s="6">
        <v>189</v>
      </c>
      <c r="B273" s="6">
        <v>9030.0506379814105</v>
      </c>
      <c r="C273" s="6">
        <v>-2254.0896379814103</v>
      </c>
      <c r="F273" s="6">
        <v>14.088191330343797</v>
      </c>
      <c r="G273" s="6">
        <v>2913.569</v>
      </c>
    </row>
    <row r="274" spans="1:7" x14ac:dyDescent="0.2">
      <c r="A274" s="6">
        <v>190</v>
      </c>
      <c r="B274" s="6">
        <v>6999.8346337335779</v>
      </c>
      <c r="C274" s="6">
        <v>-2076.9187337335779</v>
      </c>
      <c r="F274" s="6">
        <v>14.162929745889388</v>
      </c>
      <c r="G274" s="6">
        <v>2927.0646999999999</v>
      </c>
    </row>
    <row r="275" spans="1:7" x14ac:dyDescent="0.2">
      <c r="A275" s="6">
        <v>191</v>
      </c>
      <c r="B275" s="6">
        <v>13271.699850322308</v>
      </c>
      <c r="C275" s="6">
        <v>-714.09455032230835</v>
      </c>
      <c r="F275" s="6">
        <v>14.237668161434977</v>
      </c>
      <c r="G275" s="6">
        <v>2974.1260000000002</v>
      </c>
    </row>
    <row r="276" spans="1:7" x14ac:dyDescent="0.2">
      <c r="A276" s="6">
        <v>192</v>
      </c>
      <c r="B276" s="6">
        <v>5235.1076084804972</v>
      </c>
      <c r="C276" s="6">
        <v>-351.24160848049723</v>
      </c>
      <c r="F276" s="6">
        <v>14.312406576980568</v>
      </c>
      <c r="G276" s="6">
        <v>3021.80915</v>
      </c>
    </row>
    <row r="277" spans="1:7" x14ac:dyDescent="0.2">
      <c r="A277" s="6">
        <v>193</v>
      </c>
      <c r="B277" s="6">
        <v>2047.3733244265838</v>
      </c>
      <c r="C277" s="6">
        <v>90.280275573416247</v>
      </c>
      <c r="F277" s="6">
        <v>14.387144992526158</v>
      </c>
      <c r="G277" s="6">
        <v>3044.2132999999999</v>
      </c>
    </row>
    <row r="278" spans="1:7" x14ac:dyDescent="0.2">
      <c r="A278" s="6">
        <v>194</v>
      </c>
      <c r="B278" s="6">
        <v>11590.499677697113</v>
      </c>
      <c r="C278" s="6">
        <v>453.84232230288762</v>
      </c>
      <c r="F278" s="6">
        <v>14.461883408071749</v>
      </c>
      <c r="G278" s="6">
        <v>3046.0619999999999</v>
      </c>
    </row>
    <row r="279" spans="1:7" x14ac:dyDescent="0.2">
      <c r="A279" s="6">
        <v>195</v>
      </c>
      <c r="B279" s="6">
        <v>3196.9699685433488</v>
      </c>
      <c r="C279" s="6">
        <v>-2059.5002685433487</v>
      </c>
      <c r="F279" s="6">
        <v>14.53662182361734</v>
      </c>
      <c r="G279" s="6">
        <v>3056.3881000000001</v>
      </c>
    </row>
    <row r="280" spans="1:7" x14ac:dyDescent="0.2">
      <c r="A280" s="6">
        <v>196</v>
      </c>
      <c r="B280" s="6">
        <v>2833.3816091782492</v>
      </c>
      <c r="C280" s="6">
        <v>-1193.8185091782491</v>
      </c>
      <c r="F280" s="6">
        <v>14.611360239162929</v>
      </c>
      <c r="G280" s="6">
        <v>3062.5082499999999</v>
      </c>
    </row>
    <row r="281" spans="1:7" x14ac:dyDescent="0.2">
      <c r="A281" s="6">
        <v>197</v>
      </c>
      <c r="B281" s="6">
        <v>8244.3534599240847</v>
      </c>
      <c r="C281" s="6">
        <v>-2594.6384599240846</v>
      </c>
      <c r="F281" s="6">
        <v>14.68609865470852</v>
      </c>
      <c r="G281" s="6">
        <v>3070.8087</v>
      </c>
    </row>
    <row r="282" spans="1:7" x14ac:dyDescent="0.2">
      <c r="A282" s="6">
        <v>198</v>
      </c>
      <c r="B282" s="6">
        <v>9236.9091021939184</v>
      </c>
      <c r="C282" s="6">
        <v>-720.08010219391872</v>
      </c>
      <c r="F282" s="6">
        <v>14.760837070254111</v>
      </c>
      <c r="G282" s="6">
        <v>3077.0954999999999</v>
      </c>
    </row>
    <row r="283" spans="1:7" x14ac:dyDescent="0.2">
      <c r="A283" s="6">
        <v>199</v>
      </c>
      <c r="B283" s="6">
        <v>6930.6133414885571</v>
      </c>
      <c r="C283" s="6">
        <v>2713.6391585114434</v>
      </c>
      <c r="F283" s="6">
        <v>14.835575485799701</v>
      </c>
      <c r="G283" s="6">
        <v>3161.4540000000002</v>
      </c>
    </row>
    <row r="284" spans="1:7" x14ac:dyDescent="0.2">
      <c r="A284" s="6">
        <v>200</v>
      </c>
      <c r="B284" s="6">
        <v>17840.746516737396</v>
      </c>
      <c r="C284" s="6">
        <v>-2939.2298167373956</v>
      </c>
      <c r="F284" s="6">
        <v>14.910313901345292</v>
      </c>
      <c r="G284" s="6">
        <v>3167.4558499999998</v>
      </c>
    </row>
    <row r="285" spans="1:7" x14ac:dyDescent="0.2">
      <c r="A285" s="6">
        <v>201</v>
      </c>
      <c r="B285" s="6">
        <v>3480.270018061834</v>
      </c>
      <c r="C285" s="6">
        <v>-1349.5941180618338</v>
      </c>
      <c r="F285" s="6">
        <v>14.985052316890881</v>
      </c>
      <c r="G285" s="6">
        <v>3171.6149</v>
      </c>
    </row>
    <row r="286" spans="1:7" x14ac:dyDescent="0.2">
      <c r="A286" s="6">
        <v>202</v>
      </c>
      <c r="B286" s="6">
        <v>10763.249851264178</v>
      </c>
      <c r="C286" s="6">
        <v>-1892.0981512641774</v>
      </c>
      <c r="F286" s="6">
        <v>15.059790732436472</v>
      </c>
      <c r="G286" s="6">
        <v>3172.018</v>
      </c>
    </row>
    <row r="287" spans="1:7" x14ac:dyDescent="0.2">
      <c r="A287" s="6">
        <v>203</v>
      </c>
      <c r="B287" s="6">
        <v>11272.393334185566</v>
      </c>
      <c r="C287" s="6">
        <v>1739.8153158144341</v>
      </c>
      <c r="F287" s="6">
        <v>15.134529147982063</v>
      </c>
      <c r="G287" s="6">
        <v>3176.2876999999999</v>
      </c>
    </row>
    <row r="288" spans="1:7" x14ac:dyDescent="0.2">
      <c r="A288" s="6">
        <v>204</v>
      </c>
      <c r="B288" s="6">
        <v>30048.195241145291</v>
      </c>
      <c r="C288" s="6">
        <v>7085.7029588547121</v>
      </c>
      <c r="F288" s="6">
        <v>15.209267563527654</v>
      </c>
      <c r="G288" s="6">
        <v>3176.8159000000001</v>
      </c>
    </row>
    <row r="289" spans="1:7" x14ac:dyDescent="0.2">
      <c r="A289" s="6">
        <v>205</v>
      </c>
      <c r="B289" s="6">
        <v>6349.5023053765944</v>
      </c>
      <c r="C289" s="6">
        <v>797.60269462340511</v>
      </c>
      <c r="F289" s="6">
        <v>15.284005979073244</v>
      </c>
      <c r="G289" s="6">
        <v>3180.5101</v>
      </c>
    </row>
    <row r="290" spans="1:7" x14ac:dyDescent="0.2">
      <c r="A290" s="6">
        <v>206</v>
      </c>
      <c r="B290" s="6">
        <v>5524.846780308726</v>
      </c>
      <c r="C290" s="6">
        <v>-1187.1115803087259</v>
      </c>
      <c r="F290" s="6">
        <v>15.358744394618833</v>
      </c>
      <c r="G290" s="6">
        <v>3201.2451500000002</v>
      </c>
    </row>
    <row r="291" spans="1:7" x14ac:dyDescent="0.2">
      <c r="A291" s="6">
        <v>207</v>
      </c>
      <c r="B291" s="6">
        <v>11004.356990079568</v>
      </c>
      <c r="C291" s="6">
        <v>738.94200992043261</v>
      </c>
      <c r="F291" s="6">
        <v>15.433482810164424</v>
      </c>
      <c r="G291" s="6">
        <v>3206.4913499999998</v>
      </c>
    </row>
    <row r="292" spans="1:7" x14ac:dyDescent="0.2">
      <c r="A292" s="6">
        <v>208</v>
      </c>
      <c r="B292" s="6">
        <v>31128.88143862065</v>
      </c>
      <c r="C292" s="6">
        <v>-10144.78783862065</v>
      </c>
      <c r="F292" s="6">
        <v>15.508221225710015</v>
      </c>
      <c r="G292" s="6">
        <v>3208.7869999999998</v>
      </c>
    </row>
    <row r="293" spans="1:7" x14ac:dyDescent="0.2">
      <c r="A293" s="6">
        <v>209</v>
      </c>
      <c r="B293" s="6">
        <v>14069.712467209596</v>
      </c>
      <c r="C293" s="6">
        <v>-188.76346720959555</v>
      </c>
      <c r="F293" s="6">
        <v>15.582959641255606</v>
      </c>
      <c r="G293" s="6">
        <v>3213.6220499999999</v>
      </c>
    </row>
    <row r="294" spans="1:7" x14ac:dyDescent="0.2">
      <c r="A294" s="6">
        <v>210</v>
      </c>
      <c r="B294" s="6">
        <v>12664.847803455667</v>
      </c>
      <c r="C294" s="6">
        <v>-6054.7381034556665</v>
      </c>
      <c r="F294" s="6">
        <v>15.657698056801197</v>
      </c>
      <c r="G294" s="6">
        <v>3227.1210999999998</v>
      </c>
    </row>
    <row r="295" spans="1:7" x14ac:dyDescent="0.2">
      <c r="A295" s="6">
        <v>211</v>
      </c>
      <c r="B295" s="6">
        <v>3776.1076381906682</v>
      </c>
      <c r="C295" s="6">
        <v>-1796.0376381906683</v>
      </c>
      <c r="F295" s="6">
        <v>15.732436472346786</v>
      </c>
      <c r="G295" s="6">
        <v>3238.4357</v>
      </c>
    </row>
    <row r="296" spans="1:7" x14ac:dyDescent="0.2">
      <c r="A296" s="6">
        <v>212</v>
      </c>
      <c r="B296" s="6">
        <v>10226.037327338174</v>
      </c>
      <c r="C296" s="6">
        <v>-2063.3210773381734</v>
      </c>
      <c r="F296" s="6">
        <v>15.807174887892376</v>
      </c>
      <c r="G296" s="6">
        <v>3260.1990000000001</v>
      </c>
    </row>
    <row r="297" spans="1:7" x14ac:dyDescent="0.2">
      <c r="A297" s="6">
        <v>213</v>
      </c>
      <c r="B297" s="6">
        <v>4359.7501441165996</v>
      </c>
      <c r="C297" s="6">
        <v>-822.04714411659961</v>
      </c>
      <c r="F297" s="6">
        <v>15.881913303437967</v>
      </c>
      <c r="G297" s="6">
        <v>3268.84665</v>
      </c>
    </row>
    <row r="298" spans="1:7" x14ac:dyDescent="0.2">
      <c r="A298" s="6">
        <v>214</v>
      </c>
      <c r="B298" s="6">
        <v>5301.6969208816881</v>
      </c>
      <c r="C298" s="6">
        <v>-298.91422088168838</v>
      </c>
      <c r="F298" s="6">
        <v>15.956651718983558</v>
      </c>
      <c r="G298" s="6">
        <v>3277.1610000000001</v>
      </c>
    </row>
    <row r="299" spans="1:7" x14ac:dyDescent="0.2">
      <c r="A299" s="6">
        <v>215</v>
      </c>
      <c r="B299" s="6">
        <v>10092.025103585842</v>
      </c>
      <c r="C299" s="6">
        <v>-1571.999103585842</v>
      </c>
      <c r="F299" s="6">
        <v>16.031390134529151</v>
      </c>
      <c r="G299" s="6">
        <v>3279.8685500000001</v>
      </c>
    </row>
    <row r="300" spans="1:7" x14ac:dyDescent="0.2">
      <c r="A300" s="6">
        <v>216</v>
      </c>
      <c r="B300" s="6">
        <v>11167.59910582366</v>
      </c>
      <c r="C300" s="6">
        <v>-3795.8271058236596</v>
      </c>
      <c r="F300" s="6">
        <v>16.10612855007474</v>
      </c>
      <c r="G300" s="6">
        <v>3292.5298499999999</v>
      </c>
    </row>
    <row r="301" spans="1:7" x14ac:dyDescent="0.2">
      <c r="A301" s="6">
        <v>217</v>
      </c>
      <c r="B301" s="6">
        <v>10344.430074935935</v>
      </c>
      <c r="C301" s="6">
        <v>11.210925064064213</v>
      </c>
      <c r="F301" s="6">
        <v>16.180866965620329</v>
      </c>
      <c r="G301" s="6">
        <v>3309.7926000000002</v>
      </c>
    </row>
    <row r="302" spans="1:7" x14ac:dyDescent="0.2">
      <c r="A302" s="6">
        <v>218</v>
      </c>
      <c r="B302" s="6">
        <v>1665.6153119686621</v>
      </c>
      <c r="C302" s="6">
        <v>818.12068803133775</v>
      </c>
      <c r="F302" s="6">
        <v>16.255605381165918</v>
      </c>
      <c r="G302" s="6">
        <v>3353.2840000000001</v>
      </c>
    </row>
    <row r="303" spans="1:7" x14ac:dyDescent="0.2">
      <c r="A303" s="6">
        <v>219</v>
      </c>
      <c r="B303" s="6">
        <v>4328.8732176014846</v>
      </c>
      <c r="C303" s="6">
        <v>-935.8964176014847</v>
      </c>
      <c r="F303" s="6">
        <v>16.33034379671151</v>
      </c>
      <c r="G303" s="6">
        <v>3353.4703</v>
      </c>
    </row>
    <row r="304" spans="1:7" x14ac:dyDescent="0.2">
      <c r="A304" s="6">
        <v>220</v>
      </c>
      <c r="B304" s="6">
        <v>1063.6718936489185</v>
      </c>
      <c r="C304" s="6">
        <v>24018.095946351081</v>
      </c>
      <c r="F304" s="6">
        <v>16.405082212257099</v>
      </c>
      <c r="G304" s="6">
        <v>3366.6696999999999</v>
      </c>
    </row>
    <row r="305" spans="1:7" x14ac:dyDescent="0.2">
      <c r="A305" s="6">
        <v>221</v>
      </c>
      <c r="B305" s="6">
        <v>7740.8463506362368</v>
      </c>
      <c r="C305" s="6">
        <v>-2728.3753506362373</v>
      </c>
      <c r="F305" s="6">
        <v>16.479820627802692</v>
      </c>
      <c r="G305" s="6">
        <v>3378.91</v>
      </c>
    </row>
    <row r="306" spans="1:7" x14ac:dyDescent="0.2">
      <c r="A306" s="6">
        <v>222</v>
      </c>
      <c r="B306" s="6">
        <v>12953.030440872662</v>
      </c>
      <c r="C306" s="6">
        <v>-2388.1459408726623</v>
      </c>
      <c r="F306" s="6">
        <v>16.554559043348281</v>
      </c>
      <c r="G306" s="6">
        <v>3385.3991500000002</v>
      </c>
    </row>
    <row r="307" spans="1:7" x14ac:dyDescent="0.2">
      <c r="A307" s="6">
        <v>223</v>
      </c>
      <c r="B307" s="6">
        <v>7063.1593609932606</v>
      </c>
      <c r="C307" s="6">
        <v>-1809.6353609932603</v>
      </c>
      <c r="F307" s="6">
        <v>16.62929745889387</v>
      </c>
      <c r="G307" s="6">
        <v>3392.3652000000002</v>
      </c>
    </row>
    <row r="308" spans="1:7" x14ac:dyDescent="0.2">
      <c r="A308" s="6">
        <v>224</v>
      </c>
      <c r="B308" s="6">
        <v>27502.83349891652</v>
      </c>
      <c r="C308" s="6">
        <v>7276.7815010834784</v>
      </c>
      <c r="F308" s="6">
        <v>16.704035874439462</v>
      </c>
      <c r="G308" s="6">
        <v>3392.9767999999999</v>
      </c>
    </row>
    <row r="309" spans="1:7" x14ac:dyDescent="0.2">
      <c r="A309" s="6">
        <v>225</v>
      </c>
      <c r="B309" s="6">
        <v>29889.353060502392</v>
      </c>
      <c r="C309" s="6">
        <v>-10373.811460502391</v>
      </c>
      <c r="F309" s="6">
        <v>16.778774289985051</v>
      </c>
      <c r="G309" s="6">
        <v>3393.35635</v>
      </c>
    </row>
    <row r="310" spans="1:7" x14ac:dyDescent="0.2">
      <c r="A310" s="6">
        <v>226</v>
      </c>
      <c r="B310" s="6">
        <v>13940.600248386658</v>
      </c>
      <c r="C310" s="6">
        <v>-1953.4320483866577</v>
      </c>
      <c r="F310" s="6">
        <v>16.853512705530644</v>
      </c>
      <c r="G310" s="6">
        <v>3410.3240000000001</v>
      </c>
    </row>
    <row r="311" spans="1:7" x14ac:dyDescent="0.2">
      <c r="A311" s="6">
        <v>227</v>
      </c>
      <c r="B311" s="6">
        <v>6996.8057305241791</v>
      </c>
      <c r="C311" s="6">
        <v>-4307.3103305241793</v>
      </c>
      <c r="F311" s="6">
        <v>16.928251121076233</v>
      </c>
      <c r="G311" s="6">
        <v>3443.0639999999999</v>
      </c>
    </row>
    <row r="312" spans="1:7" x14ac:dyDescent="0.2">
      <c r="A312" s="6">
        <v>228</v>
      </c>
      <c r="B312" s="6">
        <v>16139.705462441454</v>
      </c>
      <c r="C312" s="6">
        <v>8087.6317775585467</v>
      </c>
      <c r="F312" s="6">
        <v>17.002989536621822</v>
      </c>
      <c r="G312" s="6">
        <v>3471.4096</v>
      </c>
    </row>
    <row r="313" spans="1:7" x14ac:dyDescent="0.2">
      <c r="A313" s="6">
        <v>229</v>
      </c>
      <c r="B313" s="6">
        <v>9798.4573279921151</v>
      </c>
      <c r="C313" s="6">
        <v>-2440.281677992115</v>
      </c>
      <c r="F313" s="6">
        <v>17.077727952167415</v>
      </c>
      <c r="G313" s="6">
        <v>3481.8679999999999</v>
      </c>
    </row>
    <row r="314" spans="1:7" x14ac:dyDescent="0.2">
      <c r="A314" s="6">
        <v>230</v>
      </c>
      <c r="B314" s="6">
        <v>9589.26205292329</v>
      </c>
      <c r="C314" s="6">
        <v>-364.00565292328974</v>
      </c>
      <c r="F314" s="6">
        <v>17.152466367713004</v>
      </c>
      <c r="G314" s="6">
        <v>3484.3310000000001</v>
      </c>
    </row>
    <row r="315" spans="1:7" x14ac:dyDescent="0.2">
      <c r="A315" s="6">
        <v>231</v>
      </c>
      <c r="B315" s="6">
        <v>11249.071929570251</v>
      </c>
      <c r="C315" s="6">
        <v>-3805.4288795702514</v>
      </c>
      <c r="F315" s="6">
        <v>17.227204783258596</v>
      </c>
      <c r="G315" s="6">
        <v>3490.5491000000002</v>
      </c>
    </row>
    <row r="316" spans="1:7" x14ac:dyDescent="0.2">
      <c r="A316" s="6">
        <v>232</v>
      </c>
      <c r="B316" s="6">
        <v>13047.219623585574</v>
      </c>
      <c r="C316" s="6">
        <v>954.06707641442699</v>
      </c>
      <c r="F316" s="6">
        <v>17.301943198804185</v>
      </c>
      <c r="G316" s="6">
        <v>3500.6122999999998</v>
      </c>
    </row>
    <row r="317" spans="1:7" x14ac:dyDescent="0.2">
      <c r="A317" s="6">
        <v>233</v>
      </c>
      <c r="B317" s="6">
        <v>-1980.6753949854733</v>
      </c>
      <c r="C317" s="6">
        <v>3708.4603949854736</v>
      </c>
      <c r="F317" s="6">
        <v>17.376681614349774</v>
      </c>
      <c r="G317" s="6">
        <v>3537.703</v>
      </c>
    </row>
    <row r="318" spans="1:7" x14ac:dyDescent="0.2">
      <c r="A318" s="6">
        <v>234</v>
      </c>
      <c r="B318" s="6">
        <v>11927.941392287617</v>
      </c>
      <c r="C318" s="6">
        <v>405.8866077123821</v>
      </c>
      <c r="F318" s="6">
        <v>17.451420029895367</v>
      </c>
      <c r="G318" s="6">
        <v>3554.203</v>
      </c>
    </row>
    <row r="319" spans="1:7" x14ac:dyDescent="0.2">
      <c r="A319" s="6">
        <v>235</v>
      </c>
      <c r="B319" s="6">
        <v>6859.2135522695644</v>
      </c>
      <c r="C319" s="6">
        <v>-149.02165226956458</v>
      </c>
      <c r="F319" s="6">
        <v>17.526158445440956</v>
      </c>
      <c r="G319" s="6">
        <v>3556.9223000000002</v>
      </c>
    </row>
    <row r="320" spans="1:7" x14ac:dyDescent="0.2">
      <c r="A320" s="6">
        <v>236</v>
      </c>
      <c r="B320" s="6">
        <v>29637.107647382836</v>
      </c>
      <c r="C320" s="6">
        <v>-10192.841847382835</v>
      </c>
      <c r="F320" s="6">
        <v>17.600896860986548</v>
      </c>
      <c r="G320" s="6">
        <v>3558.6202499999999</v>
      </c>
    </row>
    <row r="321" spans="1:7" x14ac:dyDescent="0.2">
      <c r="A321" s="6">
        <v>237</v>
      </c>
      <c r="B321" s="6">
        <v>716.4947351349872</v>
      </c>
      <c r="C321" s="6">
        <v>899.27196486501271</v>
      </c>
      <c r="F321" s="6">
        <v>17.675635276532137</v>
      </c>
      <c r="G321" s="6">
        <v>3561.8888999999999</v>
      </c>
    </row>
    <row r="322" spans="1:7" x14ac:dyDescent="0.2">
      <c r="A322" s="6">
        <v>238</v>
      </c>
      <c r="B322" s="6">
        <v>8830.3097181260619</v>
      </c>
      <c r="C322" s="6">
        <v>-4367.1046181260617</v>
      </c>
      <c r="F322" s="6">
        <v>17.750373692077726</v>
      </c>
      <c r="G322" s="6">
        <v>3577.9989999999998</v>
      </c>
    </row>
    <row r="323" spans="1:7" x14ac:dyDescent="0.2">
      <c r="A323" s="6">
        <v>239</v>
      </c>
      <c r="B323" s="6">
        <v>26166.342101602593</v>
      </c>
      <c r="C323" s="6">
        <v>-8813.6618016025932</v>
      </c>
      <c r="F323" s="6">
        <v>17.825112107623319</v>
      </c>
      <c r="G323" s="6">
        <v>3579.8287</v>
      </c>
    </row>
    <row r="324" spans="1:7" x14ac:dyDescent="0.2">
      <c r="A324" s="6">
        <v>240</v>
      </c>
      <c r="B324" s="6">
        <v>11582.007916270877</v>
      </c>
      <c r="C324" s="6">
        <v>-4429.3365162708769</v>
      </c>
      <c r="F324" s="6">
        <v>17.899850523168908</v>
      </c>
      <c r="G324" s="6">
        <v>3591.48</v>
      </c>
    </row>
    <row r="325" spans="1:7" x14ac:dyDescent="0.2">
      <c r="A325" s="6">
        <v>241</v>
      </c>
      <c r="B325" s="6">
        <v>31206.917108312384</v>
      </c>
      <c r="C325" s="6">
        <v>7304.7111916876129</v>
      </c>
      <c r="F325" s="6">
        <v>17.974588938714501</v>
      </c>
      <c r="G325" s="6">
        <v>3594.17085</v>
      </c>
    </row>
    <row r="326" spans="1:7" x14ac:dyDescent="0.2">
      <c r="A326" s="6">
        <v>242</v>
      </c>
      <c r="B326" s="6">
        <v>4521.2686983903504</v>
      </c>
      <c r="C326" s="6">
        <v>832.80595160964913</v>
      </c>
      <c r="F326" s="6">
        <v>18.04932735426009</v>
      </c>
      <c r="G326" s="6">
        <v>3597.596</v>
      </c>
    </row>
    <row r="327" spans="1:7" x14ac:dyDescent="0.2">
      <c r="A327" s="6">
        <v>243</v>
      </c>
      <c r="B327" s="6">
        <v>10794.394924005745</v>
      </c>
      <c r="C327" s="6">
        <v>24365.739645994257</v>
      </c>
      <c r="F327" s="6">
        <v>18.124065769805679</v>
      </c>
      <c r="G327" s="6">
        <v>3645.0893999999998</v>
      </c>
    </row>
    <row r="328" spans="1:7" x14ac:dyDescent="0.2">
      <c r="A328" s="6">
        <v>244</v>
      </c>
      <c r="B328" s="6">
        <v>10644.380722540822</v>
      </c>
      <c r="C328" s="6">
        <v>-3447.5137225408216</v>
      </c>
      <c r="F328" s="6">
        <v>18.198804185351271</v>
      </c>
      <c r="G328" s="6">
        <v>3659.346</v>
      </c>
    </row>
    <row r="329" spans="1:7" x14ac:dyDescent="0.2">
      <c r="A329" s="6">
        <v>245</v>
      </c>
      <c r="B329" s="6">
        <v>37501.172578763239</v>
      </c>
      <c r="C329" s="6">
        <v>-7978.0069787632383</v>
      </c>
      <c r="F329" s="6">
        <v>18.27354260089686</v>
      </c>
      <c r="G329" s="6">
        <v>3693.4279999999999</v>
      </c>
    </row>
    <row r="330" spans="1:7" x14ac:dyDescent="0.2">
      <c r="A330" s="6">
        <v>246</v>
      </c>
      <c r="B330" s="6">
        <v>11630.013679427248</v>
      </c>
      <c r="C330" s="6">
        <v>12846.464830572753</v>
      </c>
      <c r="F330" s="6">
        <v>18.348281016442453</v>
      </c>
      <c r="G330" s="6">
        <v>3704.3544999999999</v>
      </c>
    </row>
    <row r="331" spans="1:7" x14ac:dyDescent="0.2">
      <c r="A331" s="6">
        <v>247</v>
      </c>
      <c r="B331" s="6">
        <v>15347.523371114421</v>
      </c>
      <c r="C331" s="6">
        <v>-2698.8199711144207</v>
      </c>
      <c r="F331" s="6">
        <v>18.423019431988042</v>
      </c>
      <c r="G331" s="6">
        <v>3732.6251000000002</v>
      </c>
    </row>
    <row r="332" spans="1:7" x14ac:dyDescent="0.2">
      <c r="A332" s="6">
        <v>248</v>
      </c>
      <c r="B332" s="6">
        <v>5223.1547224309388</v>
      </c>
      <c r="C332" s="6">
        <v>-3236.2213224309389</v>
      </c>
      <c r="F332" s="6">
        <v>18.497757847533631</v>
      </c>
      <c r="G332" s="6">
        <v>3736.4647</v>
      </c>
    </row>
    <row r="333" spans="1:7" x14ac:dyDescent="0.2">
      <c r="A333" s="6">
        <v>249</v>
      </c>
      <c r="B333" s="6">
        <v>-584.989503037845</v>
      </c>
      <c r="C333" s="6">
        <v>2417.0835030378448</v>
      </c>
      <c r="F333" s="6">
        <v>18.572496263079223</v>
      </c>
      <c r="G333" s="6">
        <v>3756.6215999999999</v>
      </c>
    </row>
    <row r="334" spans="1:7" x14ac:dyDescent="0.2">
      <c r="A334" s="6">
        <v>250</v>
      </c>
      <c r="B334" s="6">
        <v>5682.6121515439972</v>
      </c>
      <c r="C334" s="6">
        <v>-1642.0539015439972</v>
      </c>
      <c r="F334" s="6">
        <v>18.647234678624812</v>
      </c>
      <c r="G334" s="6">
        <v>3757.8447999999999</v>
      </c>
    </row>
    <row r="335" spans="1:7" x14ac:dyDescent="0.2">
      <c r="A335" s="6">
        <v>251</v>
      </c>
      <c r="B335" s="6">
        <v>23217.751855252456</v>
      </c>
      <c r="C335" s="6">
        <v>-10388.296755252457</v>
      </c>
      <c r="F335" s="6">
        <v>18.721973094170405</v>
      </c>
      <c r="G335" s="6">
        <v>3761.2919999999999</v>
      </c>
    </row>
    <row r="336" spans="1:7" x14ac:dyDescent="0.2">
      <c r="A336" s="6">
        <v>252</v>
      </c>
      <c r="B336" s="6">
        <v>39004.925480865022</v>
      </c>
      <c r="C336" s="6">
        <v>8300.3795191349782</v>
      </c>
      <c r="F336" s="6">
        <v>18.796711509715994</v>
      </c>
      <c r="G336" s="6">
        <v>3766.8838000000001</v>
      </c>
    </row>
    <row r="337" spans="1:7" x14ac:dyDescent="0.2">
      <c r="A337" s="6">
        <v>253</v>
      </c>
      <c r="B337" s="6">
        <v>37168.711732304575</v>
      </c>
      <c r="C337" s="6">
        <v>7092.0381676954275</v>
      </c>
      <c r="F337" s="6">
        <v>18.871449925261583</v>
      </c>
      <c r="G337" s="6">
        <v>3847.674</v>
      </c>
    </row>
    <row r="338" spans="1:7" x14ac:dyDescent="0.2">
      <c r="A338" s="6">
        <v>254</v>
      </c>
      <c r="B338" s="6">
        <v>5609.2808715011015</v>
      </c>
      <c r="C338" s="6">
        <v>-1348.5368715011018</v>
      </c>
      <c r="F338" s="6">
        <v>18.946188340807176</v>
      </c>
      <c r="G338" s="6">
        <v>3857.7592500000001</v>
      </c>
    </row>
    <row r="339" spans="1:7" x14ac:dyDescent="0.2">
      <c r="A339" s="6">
        <v>255</v>
      </c>
      <c r="B339" s="6">
        <v>35416.330894382882</v>
      </c>
      <c r="C339" s="6">
        <v>5680.8308556171178</v>
      </c>
      <c r="F339" s="6">
        <v>19.020926756352765</v>
      </c>
      <c r="G339" s="6">
        <v>3861.2096499999998</v>
      </c>
    </row>
    <row r="340" spans="1:7" x14ac:dyDescent="0.2">
      <c r="A340" s="6">
        <v>256</v>
      </c>
      <c r="B340" s="6">
        <v>12218.704399673283</v>
      </c>
      <c r="C340" s="6">
        <v>828.62795032671784</v>
      </c>
      <c r="F340" s="6">
        <v>19.095665171898357</v>
      </c>
      <c r="G340" s="6">
        <v>3866.8552</v>
      </c>
    </row>
    <row r="341" spans="1:7" x14ac:dyDescent="0.2">
      <c r="A341" s="6">
        <v>257</v>
      </c>
      <c r="B341" s="6">
        <v>37216.749293949899</v>
      </c>
      <c r="C341" s="6">
        <v>6704.4344060501026</v>
      </c>
      <c r="F341" s="6">
        <v>19.170403587443946</v>
      </c>
      <c r="G341" s="6">
        <v>3875.7341000000001</v>
      </c>
    </row>
    <row r="342" spans="1:7" x14ac:dyDescent="0.2">
      <c r="A342" s="6">
        <v>258</v>
      </c>
      <c r="B342" s="6">
        <v>10405.597933339421</v>
      </c>
      <c r="C342" s="6">
        <v>-5004.617433339421</v>
      </c>
      <c r="F342" s="6">
        <v>19.245142002989535</v>
      </c>
      <c r="G342" s="6">
        <v>3877.3042500000001</v>
      </c>
    </row>
    <row r="343" spans="1:7" x14ac:dyDescent="0.2">
      <c r="A343" s="6">
        <v>259</v>
      </c>
      <c r="B343" s="6">
        <v>10860.267494922975</v>
      </c>
      <c r="C343" s="6">
        <v>659.83235507702557</v>
      </c>
      <c r="F343" s="6">
        <v>19.319880418535128</v>
      </c>
      <c r="G343" s="6">
        <v>3906.127</v>
      </c>
    </row>
    <row r="344" spans="1:7" x14ac:dyDescent="0.2">
      <c r="A344" s="6">
        <v>260</v>
      </c>
      <c r="B344" s="6">
        <v>27133.04344439349</v>
      </c>
      <c r="C344" s="6">
        <v>6617.248355606509</v>
      </c>
      <c r="F344" s="6">
        <v>19.394618834080717</v>
      </c>
      <c r="G344" s="6">
        <v>3925.7582000000002</v>
      </c>
    </row>
    <row r="345" spans="1:7" x14ac:dyDescent="0.2">
      <c r="A345" s="6">
        <v>261</v>
      </c>
      <c r="B345" s="6">
        <v>10546.753910691312</v>
      </c>
      <c r="C345" s="6">
        <v>1290.406089308688</v>
      </c>
      <c r="F345" s="6">
        <v>19.469357249626309</v>
      </c>
      <c r="G345" s="6">
        <v>3935.1799000000001</v>
      </c>
    </row>
    <row r="346" spans="1:7" x14ac:dyDescent="0.2">
      <c r="A346" s="6">
        <v>262</v>
      </c>
      <c r="B346" s="6">
        <v>25591.553807168828</v>
      </c>
      <c r="C346" s="6">
        <v>-8506.2862071688287</v>
      </c>
      <c r="F346" s="6">
        <v>19.544095665171898</v>
      </c>
      <c r="G346" s="6">
        <v>3943.5954000000002</v>
      </c>
    </row>
    <row r="347" spans="1:7" x14ac:dyDescent="0.2">
      <c r="A347" s="6">
        <v>263</v>
      </c>
      <c r="B347" s="6">
        <v>34810.898365555622</v>
      </c>
      <c r="C347" s="6">
        <v>-9941.0615655556212</v>
      </c>
      <c r="F347" s="6">
        <v>19.618834080717487</v>
      </c>
      <c r="G347" s="6">
        <v>3947.4131000000002</v>
      </c>
    </row>
    <row r="348" spans="1:7" x14ac:dyDescent="0.2">
      <c r="A348" s="6">
        <v>264</v>
      </c>
      <c r="B348" s="6">
        <v>28840.882483324069</v>
      </c>
      <c r="C348" s="6">
        <v>7378.5229666759296</v>
      </c>
      <c r="F348" s="6">
        <v>19.69357249626308</v>
      </c>
      <c r="G348" s="6">
        <v>3956.0714499999999</v>
      </c>
    </row>
    <row r="349" spans="1:7" x14ac:dyDescent="0.2">
      <c r="A349" s="6">
        <v>265</v>
      </c>
      <c r="B349" s="6">
        <v>14976.030538800382</v>
      </c>
      <c r="C349" s="6">
        <v>5486.9671211996192</v>
      </c>
      <c r="F349" s="6">
        <v>19.768310911808669</v>
      </c>
      <c r="G349" s="6">
        <v>3972.9247</v>
      </c>
    </row>
    <row r="350" spans="1:7" x14ac:dyDescent="0.2">
      <c r="A350" s="6">
        <v>266</v>
      </c>
      <c r="B350" s="6">
        <v>38350.396169547159</v>
      </c>
      <c r="C350" s="6">
        <v>7800.7283304528391</v>
      </c>
      <c r="F350" s="6">
        <v>19.843049327354262</v>
      </c>
      <c r="G350" s="6">
        <v>3981.9767999999999</v>
      </c>
    </row>
    <row r="351" spans="1:7" x14ac:dyDescent="0.2">
      <c r="A351" s="6">
        <v>267</v>
      </c>
      <c r="B351" s="6">
        <v>28209.444585100362</v>
      </c>
      <c r="C351" s="6">
        <v>-11029.922585100361</v>
      </c>
      <c r="F351" s="6">
        <v>19.917787742899851</v>
      </c>
      <c r="G351" s="6">
        <v>3987.9259999999999</v>
      </c>
    </row>
    <row r="352" spans="1:7" x14ac:dyDescent="0.2">
      <c r="A352" s="6">
        <v>268</v>
      </c>
      <c r="B352" s="6">
        <v>15630.659788706882</v>
      </c>
      <c r="C352" s="6">
        <v>-1040.0277387068818</v>
      </c>
      <c r="F352" s="6">
        <v>19.99252615844544</v>
      </c>
      <c r="G352" s="6">
        <v>3989.8409999999999</v>
      </c>
    </row>
    <row r="353" spans="1:7" x14ac:dyDescent="0.2">
      <c r="A353" s="6">
        <v>269</v>
      </c>
      <c r="B353" s="6">
        <v>9247.7747815140137</v>
      </c>
      <c r="C353" s="6">
        <v>-1806.7217815140139</v>
      </c>
      <c r="F353" s="6">
        <v>20.067264573991032</v>
      </c>
      <c r="G353" s="6">
        <v>3994.1777999999999</v>
      </c>
    </row>
    <row r="354" spans="1:7" x14ac:dyDescent="0.2">
      <c r="A354" s="6">
        <v>270</v>
      </c>
      <c r="B354" s="6">
        <v>9756.3677252209709</v>
      </c>
      <c r="C354" s="6">
        <v>-473.88712522097012</v>
      </c>
      <c r="F354" s="6">
        <v>20.142002989536621</v>
      </c>
      <c r="G354" s="6">
        <v>4005.4225000000001</v>
      </c>
    </row>
    <row r="355" spans="1:7" x14ac:dyDescent="0.2">
      <c r="A355" s="6">
        <v>271</v>
      </c>
      <c r="B355" s="6">
        <v>1956.1516384216309</v>
      </c>
      <c r="C355" s="6">
        <v>-236.7153384216308</v>
      </c>
      <c r="F355" s="6">
        <v>20.216741405082214</v>
      </c>
      <c r="G355" s="6">
        <v>4032.2406999999998</v>
      </c>
    </row>
    <row r="356" spans="1:7" x14ac:dyDescent="0.2">
      <c r="A356" s="6">
        <v>272</v>
      </c>
      <c r="B356" s="6">
        <v>36212.865445706069</v>
      </c>
      <c r="C356" s="6">
        <v>6643.9725542939341</v>
      </c>
      <c r="F356" s="6">
        <v>20.291479820627803</v>
      </c>
      <c r="G356" s="6">
        <v>4040.55825</v>
      </c>
    </row>
    <row r="357" spans="1:7" x14ac:dyDescent="0.2">
      <c r="A357" s="6">
        <v>273</v>
      </c>
      <c r="B357" s="6">
        <v>11626.412165624195</v>
      </c>
      <c r="C357" s="6">
        <v>-4360.7096656241947</v>
      </c>
      <c r="F357" s="6">
        <v>20.366218236173392</v>
      </c>
      <c r="G357" s="6">
        <v>4058.1161000000002</v>
      </c>
    </row>
    <row r="358" spans="1:7" x14ac:dyDescent="0.2">
      <c r="A358" s="6">
        <v>274</v>
      </c>
      <c r="B358" s="6">
        <v>10561.021505339824</v>
      </c>
      <c r="C358" s="6">
        <v>-943.35905533982441</v>
      </c>
      <c r="F358" s="6">
        <v>20.440956651718984</v>
      </c>
      <c r="G358" s="6">
        <v>4058.71245</v>
      </c>
    </row>
    <row r="359" spans="1:7" x14ac:dyDescent="0.2">
      <c r="A359" s="6">
        <v>275</v>
      </c>
      <c r="B359" s="6">
        <v>3343.3716254253832</v>
      </c>
      <c r="C359" s="6">
        <v>-820.2021254253832</v>
      </c>
      <c r="F359" s="6">
        <v>20.515695067264573</v>
      </c>
      <c r="G359" s="6">
        <v>4074.4537</v>
      </c>
    </row>
    <row r="360" spans="1:7" x14ac:dyDescent="0.2">
      <c r="A360" s="6">
        <v>276</v>
      </c>
      <c r="B360" s="6">
        <v>10107.256949434755</v>
      </c>
      <c r="C360" s="6">
        <v>-391.41594943475502</v>
      </c>
      <c r="F360" s="6">
        <v>20.590433482810166</v>
      </c>
      <c r="G360" s="6">
        <v>4076.4969999999998</v>
      </c>
    </row>
    <row r="361" spans="1:7" x14ac:dyDescent="0.2">
      <c r="A361" s="6">
        <v>277</v>
      </c>
      <c r="B361" s="6">
        <v>400.92799970838439</v>
      </c>
      <c r="C361" s="6">
        <v>2402.7698502916155</v>
      </c>
      <c r="F361" s="6">
        <v>20.665171898355755</v>
      </c>
      <c r="G361" s="6">
        <v>4133.6416499999996</v>
      </c>
    </row>
    <row r="362" spans="1:7" x14ac:dyDescent="0.2">
      <c r="A362" s="6">
        <v>278</v>
      </c>
      <c r="B362" s="6">
        <v>994.65111109703003</v>
      </c>
      <c r="C362" s="6">
        <v>1155.81788890297</v>
      </c>
      <c r="F362" s="6">
        <v>20.739910313901344</v>
      </c>
      <c r="G362" s="6">
        <v>4134.0824499999999</v>
      </c>
    </row>
    <row r="363" spans="1:7" x14ac:dyDescent="0.2">
      <c r="A363" s="6">
        <v>279</v>
      </c>
      <c r="B363" s="6">
        <v>13783.610795340261</v>
      </c>
      <c r="C363" s="6">
        <v>-854.8196953402603</v>
      </c>
      <c r="F363" s="6">
        <v>20.814648729446937</v>
      </c>
      <c r="G363" s="6">
        <v>4137.5227000000004</v>
      </c>
    </row>
    <row r="364" spans="1:7" x14ac:dyDescent="0.2">
      <c r="A364" s="6">
        <v>280</v>
      </c>
      <c r="B364" s="6">
        <v>7914.6247588485585</v>
      </c>
      <c r="C364" s="6">
        <v>1940.5066411514417</v>
      </c>
      <c r="F364" s="6">
        <v>20.889387144992526</v>
      </c>
      <c r="G364" s="6">
        <v>4149.7359999999999</v>
      </c>
    </row>
    <row r="365" spans="1:7" x14ac:dyDescent="0.2">
      <c r="A365" s="6">
        <v>281</v>
      </c>
      <c r="B365" s="6">
        <v>32197.870527925483</v>
      </c>
      <c r="C365" s="6">
        <v>-9866.3037279254822</v>
      </c>
      <c r="F365" s="6">
        <v>20.964125560538118</v>
      </c>
      <c r="G365" s="6">
        <v>4151.0286999999998</v>
      </c>
    </row>
    <row r="366" spans="1:7" x14ac:dyDescent="0.2">
      <c r="A366" s="6">
        <v>282</v>
      </c>
      <c r="B366" s="6">
        <v>40834.808724538416</v>
      </c>
      <c r="C366" s="6">
        <v>7714.3696254615861</v>
      </c>
      <c r="F366" s="6">
        <v>21.038863976083707</v>
      </c>
      <c r="G366" s="6">
        <v>4185.0978999999998</v>
      </c>
    </row>
    <row r="367" spans="1:7" x14ac:dyDescent="0.2">
      <c r="A367" s="6">
        <v>283</v>
      </c>
      <c r="B367" s="6">
        <v>5488.3412107789263</v>
      </c>
      <c r="C367" s="6">
        <v>-1251.2146607789264</v>
      </c>
      <c r="F367" s="6">
        <v>21.113602391629296</v>
      </c>
      <c r="G367" s="6">
        <v>4189.1130999999996</v>
      </c>
    </row>
    <row r="368" spans="1:7" x14ac:dyDescent="0.2">
      <c r="A368" s="6">
        <v>284</v>
      </c>
      <c r="B368" s="6">
        <v>13652.233288259225</v>
      </c>
      <c r="C368" s="6">
        <v>-1773.1292382592255</v>
      </c>
      <c r="F368" s="6">
        <v>21.188340807174889</v>
      </c>
      <c r="G368" s="6">
        <v>4234.9269999999997</v>
      </c>
    </row>
    <row r="369" spans="1:7" x14ac:dyDescent="0.2">
      <c r="A369" s="6">
        <v>285</v>
      </c>
      <c r="B369" s="6">
        <v>11040.776517132266</v>
      </c>
      <c r="C369" s="6">
        <v>-1414.8565171322662</v>
      </c>
      <c r="F369" s="6">
        <v>21.263079222720478</v>
      </c>
      <c r="G369" s="6">
        <v>4237.12655</v>
      </c>
    </row>
    <row r="370" spans="1:7" x14ac:dyDescent="0.2">
      <c r="A370" s="6">
        <v>286</v>
      </c>
      <c r="B370" s="6">
        <v>8215.3475120375624</v>
      </c>
      <c r="C370" s="6">
        <v>-473.23771203756223</v>
      </c>
      <c r="F370" s="6">
        <v>21.33781763826607</v>
      </c>
      <c r="G370" s="6">
        <v>4239.8926499999998</v>
      </c>
    </row>
    <row r="371" spans="1:7" x14ac:dyDescent="0.2">
      <c r="A371" s="6">
        <v>287</v>
      </c>
      <c r="B371" s="6">
        <v>17132.884045922143</v>
      </c>
      <c r="C371" s="6">
        <v>-7699.958745922142</v>
      </c>
      <c r="F371" s="6">
        <v>21.412556053811659</v>
      </c>
      <c r="G371" s="6">
        <v>4243.5900499999998</v>
      </c>
    </row>
    <row r="372" spans="1:7" x14ac:dyDescent="0.2">
      <c r="A372" s="6">
        <v>288</v>
      </c>
      <c r="B372" s="6">
        <v>12784.100087937295</v>
      </c>
      <c r="C372" s="6">
        <v>1472.0927120627057</v>
      </c>
      <c r="F372" s="6">
        <v>21.487294469357249</v>
      </c>
      <c r="G372" s="6">
        <v>4260.7439999999997</v>
      </c>
    </row>
    <row r="373" spans="1:7" x14ac:dyDescent="0.2">
      <c r="A373" s="6">
        <v>289</v>
      </c>
      <c r="B373" s="6">
        <v>40010.468632600809</v>
      </c>
      <c r="C373" s="6">
        <v>7886.3227173991909</v>
      </c>
      <c r="F373" s="6">
        <v>21.562032884902841</v>
      </c>
      <c r="G373" s="6">
        <v>4266.1657999999998</v>
      </c>
    </row>
    <row r="374" spans="1:7" x14ac:dyDescent="0.2">
      <c r="A374" s="6">
        <v>290</v>
      </c>
      <c r="B374" s="6">
        <v>10632.864157765531</v>
      </c>
      <c r="C374" s="6">
        <v>15359.956882234468</v>
      </c>
      <c r="F374" s="6">
        <v>21.63677130044843</v>
      </c>
      <c r="G374" s="6">
        <v>4296.2712000000001</v>
      </c>
    </row>
    <row r="375" spans="1:7" x14ac:dyDescent="0.2">
      <c r="A375" s="6">
        <v>291</v>
      </c>
      <c r="B375" s="6">
        <v>5622.4496541797616</v>
      </c>
      <c r="C375" s="6">
        <v>-2450.4316541797616</v>
      </c>
      <c r="F375" s="6">
        <v>21.711509715994023</v>
      </c>
      <c r="G375" s="6">
        <v>4320.4108500000002</v>
      </c>
    </row>
    <row r="376" spans="1:7" x14ac:dyDescent="0.2">
      <c r="A376" s="6">
        <v>292</v>
      </c>
      <c r="B376" s="6">
        <v>5908.1757981952051</v>
      </c>
      <c r="C376" s="6">
        <v>14369.631711804794</v>
      </c>
      <c r="F376" s="6">
        <v>21.786248131539612</v>
      </c>
      <c r="G376" s="6">
        <v>4337.7352000000001</v>
      </c>
    </row>
    <row r="377" spans="1:7" x14ac:dyDescent="0.2">
      <c r="A377" s="6">
        <v>293</v>
      </c>
      <c r="B377" s="6">
        <v>33562.939338132303</v>
      </c>
      <c r="C377" s="6">
        <v>8549.2962618676975</v>
      </c>
      <c r="F377" s="6">
        <v>21.860986547085201</v>
      </c>
      <c r="G377" s="6">
        <v>4340.4408999999996</v>
      </c>
    </row>
    <row r="378" spans="1:7" x14ac:dyDescent="0.2">
      <c r="A378" s="6">
        <v>294</v>
      </c>
      <c r="B378" s="6">
        <v>2452.8344633310353</v>
      </c>
      <c r="C378" s="6">
        <v>-296.08266333103529</v>
      </c>
      <c r="F378" s="6">
        <v>21.935724962630793</v>
      </c>
      <c r="G378" s="6">
        <v>4347.0233500000004</v>
      </c>
    </row>
    <row r="379" spans="1:7" x14ac:dyDescent="0.2">
      <c r="A379" s="6">
        <v>295</v>
      </c>
      <c r="B379" s="6">
        <v>3908.3910787884638</v>
      </c>
      <c r="C379" s="6">
        <v>-2.2640787884638485</v>
      </c>
      <c r="F379" s="6">
        <v>22.010463378176382</v>
      </c>
      <c r="G379" s="6">
        <v>4349.4620000000004</v>
      </c>
    </row>
    <row r="380" spans="1:7" x14ac:dyDescent="0.2">
      <c r="A380" s="6">
        <v>296</v>
      </c>
      <c r="B380" s="6">
        <v>351.61890862315795</v>
      </c>
      <c r="C380" s="6">
        <v>1352.949191376842</v>
      </c>
      <c r="F380" s="6">
        <v>22.085201793721975</v>
      </c>
      <c r="G380" s="6">
        <v>4350.5144</v>
      </c>
    </row>
    <row r="381" spans="1:7" x14ac:dyDescent="0.2">
      <c r="A381" s="6">
        <v>297</v>
      </c>
      <c r="B381" s="6">
        <v>25094.559978279554</v>
      </c>
      <c r="C381" s="6">
        <v>-8796.7139782795548</v>
      </c>
      <c r="F381" s="6">
        <v>22.159940209267564</v>
      </c>
      <c r="G381" s="6">
        <v>4357.0436499999996</v>
      </c>
    </row>
    <row r="382" spans="1:7" x14ac:dyDescent="0.2">
      <c r="A382" s="6">
        <v>298</v>
      </c>
      <c r="B382" s="6">
        <v>31910.314327618613</v>
      </c>
      <c r="C382" s="6">
        <v>-9931.6374276186143</v>
      </c>
      <c r="F382" s="6">
        <v>22.234678624813153</v>
      </c>
      <c r="G382" s="6">
        <v>4391.652</v>
      </c>
    </row>
    <row r="383" spans="1:7" x14ac:dyDescent="0.2">
      <c r="A383" s="6">
        <v>299</v>
      </c>
      <c r="B383" s="6">
        <v>32479.629140707839</v>
      </c>
      <c r="C383" s="6">
        <v>6266.7259592921619</v>
      </c>
      <c r="F383" s="6">
        <v>22.309417040358746</v>
      </c>
      <c r="G383" s="6">
        <v>4399.7309999999998</v>
      </c>
    </row>
    <row r="384" spans="1:7" x14ac:dyDescent="0.2">
      <c r="A384" s="6">
        <v>300</v>
      </c>
      <c r="B384" s="6">
        <v>10309.009931631044</v>
      </c>
      <c r="C384" s="6">
        <v>-1059.5147316310449</v>
      </c>
      <c r="F384" s="6">
        <v>22.384155455904335</v>
      </c>
      <c r="G384" s="6">
        <v>4402.2330000000002</v>
      </c>
    </row>
    <row r="385" spans="1:7" x14ac:dyDescent="0.2">
      <c r="A385" s="6">
        <v>301</v>
      </c>
      <c r="B385" s="6">
        <v>7948.2570382082486</v>
      </c>
      <c r="C385" s="6">
        <v>-1201.5145382082483</v>
      </c>
      <c r="F385" s="6">
        <v>22.458893871449927</v>
      </c>
      <c r="G385" s="6">
        <v>4415.1588000000002</v>
      </c>
    </row>
    <row r="386" spans="1:7" x14ac:dyDescent="0.2">
      <c r="A386" s="6">
        <v>302</v>
      </c>
      <c r="B386" s="6">
        <v>34619.048271813539</v>
      </c>
      <c r="C386" s="6">
        <v>-9745.6633718135381</v>
      </c>
      <c r="F386" s="6">
        <v>22.533632286995516</v>
      </c>
      <c r="G386" s="6">
        <v>4428.8878500000001</v>
      </c>
    </row>
    <row r="387" spans="1:7" x14ac:dyDescent="0.2">
      <c r="A387" s="6">
        <v>303</v>
      </c>
      <c r="B387" s="6">
        <v>15084.54265177733</v>
      </c>
      <c r="C387" s="6">
        <v>-2819.03575177733</v>
      </c>
      <c r="F387" s="6">
        <v>22.608370702541105</v>
      </c>
      <c r="G387" s="6">
        <v>4433.3877000000002</v>
      </c>
    </row>
    <row r="388" spans="1:7" x14ac:dyDescent="0.2">
      <c r="A388" s="6">
        <v>304</v>
      </c>
      <c r="B388" s="6">
        <v>6362.8023049466992</v>
      </c>
      <c r="C388" s="6">
        <v>-2013.3403049466988</v>
      </c>
      <c r="F388" s="6">
        <v>22.683109118086698</v>
      </c>
      <c r="G388" s="6">
        <v>4433.9159</v>
      </c>
    </row>
    <row r="389" spans="1:7" x14ac:dyDescent="0.2">
      <c r="A389" s="6">
        <v>305</v>
      </c>
      <c r="B389" s="6">
        <v>15582.574854670984</v>
      </c>
      <c r="C389" s="6">
        <v>-2936.3678546709834</v>
      </c>
      <c r="F389" s="6">
        <v>22.757847533632287</v>
      </c>
      <c r="G389" s="6">
        <v>4435.0941999999995</v>
      </c>
    </row>
    <row r="390" spans="1:7" x14ac:dyDescent="0.2">
      <c r="A390" s="6">
        <v>306</v>
      </c>
      <c r="B390" s="6">
        <v>7287.4241895478572</v>
      </c>
      <c r="C390" s="6">
        <v>12154.929310452144</v>
      </c>
      <c r="F390" s="6">
        <v>22.832585949177879</v>
      </c>
      <c r="G390" s="6">
        <v>4438.2633999999998</v>
      </c>
    </row>
    <row r="391" spans="1:7" x14ac:dyDescent="0.2">
      <c r="A391" s="6">
        <v>307</v>
      </c>
      <c r="B391" s="6">
        <v>4572.2093681740716</v>
      </c>
      <c r="C391" s="6">
        <v>15605.461761825927</v>
      </c>
      <c r="F391" s="6">
        <v>22.907324364723468</v>
      </c>
      <c r="G391" s="6">
        <v>4441.2131499999996</v>
      </c>
    </row>
    <row r="392" spans="1:7" x14ac:dyDescent="0.2">
      <c r="A392" s="6">
        <v>308</v>
      </c>
      <c r="B392" s="6">
        <v>6512.9483045638399</v>
      </c>
      <c r="C392" s="6">
        <v>-2361.91960456384</v>
      </c>
      <c r="F392" s="6">
        <v>22.982062780269057</v>
      </c>
      <c r="G392" s="6">
        <v>4449.4620000000004</v>
      </c>
    </row>
    <row r="393" spans="1:7" x14ac:dyDescent="0.2">
      <c r="A393" s="6">
        <v>309</v>
      </c>
      <c r="B393" s="6">
        <v>14653.795271745803</v>
      </c>
      <c r="C393" s="6">
        <v>-2709.2009217458035</v>
      </c>
      <c r="F393" s="6">
        <v>23.05680119581465</v>
      </c>
      <c r="G393" s="6">
        <v>4454.40265</v>
      </c>
    </row>
    <row r="394" spans="1:7" x14ac:dyDescent="0.2">
      <c r="A394" s="6">
        <v>310</v>
      </c>
      <c r="B394" s="6">
        <v>10404.344645112053</v>
      </c>
      <c r="C394" s="6">
        <v>-2655.1882451120528</v>
      </c>
      <c r="F394" s="6">
        <v>23.131539611360239</v>
      </c>
      <c r="G394" s="6">
        <v>4462.7218000000003</v>
      </c>
    </row>
    <row r="395" spans="1:7" x14ac:dyDescent="0.2">
      <c r="A395" s="6">
        <v>311</v>
      </c>
      <c r="B395" s="6">
        <v>8835.4595660525974</v>
      </c>
      <c r="C395" s="6">
        <v>-390.98556605259728</v>
      </c>
      <c r="F395" s="6">
        <v>23.206278026905832</v>
      </c>
      <c r="G395" s="6">
        <v>4463.2051000000001</v>
      </c>
    </row>
    <row r="396" spans="1:7" x14ac:dyDescent="0.2">
      <c r="A396" s="6">
        <v>312</v>
      </c>
      <c r="B396" s="6">
        <v>359.75943492932174</v>
      </c>
      <c r="C396" s="6">
        <v>1377.6165650706782</v>
      </c>
      <c r="F396" s="6">
        <v>23.281016442451421</v>
      </c>
      <c r="G396" s="6">
        <v>4466.6214</v>
      </c>
    </row>
    <row r="397" spans="1:7" x14ac:dyDescent="0.2">
      <c r="A397" s="6">
        <v>313</v>
      </c>
      <c r="B397" s="6">
        <v>35415.772877897958</v>
      </c>
      <c r="C397" s="6">
        <v>6708.742422102041</v>
      </c>
      <c r="F397" s="6">
        <v>23.35575485799701</v>
      </c>
      <c r="G397" s="6">
        <v>4500.33925</v>
      </c>
    </row>
    <row r="398" spans="1:7" x14ac:dyDescent="0.2">
      <c r="A398" s="6">
        <v>314</v>
      </c>
      <c r="B398" s="6">
        <v>11644.563535864636</v>
      </c>
      <c r="C398" s="6">
        <v>-3520.1551358646357</v>
      </c>
      <c r="F398" s="6">
        <v>23.430493273542602</v>
      </c>
      <c r="G398" s="6">
        <v>4504.6624000000002</v>
      </c>
    </row>
    <row r="399" spans="1:7" x14ac:dyDescent="0.2">
      <c r="A399" s="6">
        <v>315</v>
      </c>
      <c r="B399" s="6">
        <v>28535.740936333554</v>
      </c>
      <c r="C399" s="6">
        <v>6303.1320636664459</v>
      </c>
      <c r="F399" s="6">
        <v>23.505231689088191</v>
      </c>
      <c r="G399" s="6">
        <v>4518.8262500000001</v>
      </c>
    </row>
    <row r="400" spans="1:7" x14ac:dyDescent="0.2">
      <c r="A400" s="6">
        <v>316</v>
      </c>
      <c r="B400" s="6">
        <v>12564.859728940208</v>
      </c>
      <c r="C400" s="6">
        <v>-2842.0902289402075</v>
      </c>
      <c r="F400" s="6">
        <v>23.579970104633784</v>
      </c>
      <c r="G400" s="6">
        <v>4527.1829500000003</v>
      </c>
    </row>
    <row r="401" spans="1:7" x14ac:dyDescent="0.2">
      <c r="A401" s="6">
        <v>317</v>
      </c>
      <c r="B401" s="6">
        <v>11343.725965417541</v>
      </c>
      <c r="C401" s="6">
        <v>-2508.4610154175407</v>
      </c>
      <c r="F401" s="6">
        <v>23.654708520179373</v>
      </c>
      <c r="G401" s="6">
        <v>4529.4769999999999</v>
      </c>
    </row>
    <row r="402" spans="1:7" x14ac:dyDescent="0.2">
      <c r="A402" s="6">
        <v>318</v>
      </c>
      <c r="B402" s="6">
        <v>12917.455543549753</v>
      </c>
      <c r="C402" s="6">
        <v>-2482.3902935497536</v>
      </c>
      <c r="F402" s="6">
        <v>23.729446935724962</v>
      </c>
      <c r="G402" s="6">
        <v>4536.259</v>
      </c>
    </row>
    <row r="403" spans="1:7" x14ac:dyDescent="0.2">
      <c r="A403" s="6">
        <v>319</v>
      </c>
      <c r="B403" s="6">
        <v>8387.1800611231301</v>
      </c>
      <c r="C403" s="6">
        <v>-965.98551112312998</v>
      </c>
      <c r="F403" s="6">
        <v>23.804185351270554</v>
      </c>
      <c r="G403" s="6">
        <v>4544.2348000000002</v>
      </c>
    </row>
    <row r="404" spans="1:7" x14ac:dyDescent="0.2">
      <c r="A404" s="6">
        <v>320</v>
      </c>
      <c r="B404" s="6">
        <v>9288.8384813426655</v>
      </c>
      <c r="C404" s="6">
        <v>-4621.2308313426656</v>
      </c>
      <c r="F404" s="6">
        <v>23.878923766816143</v>
      </c>
      <c r="G404" s="6">
        <v>4561.1885000000002</v>
      </c>
    </row>
    <row r="405" spans="1:7" x14ac:dyDescent="0.2">
      <c r="A405" s="6">
        <v>321</v>
      </c>
      <c r="B405" s="6">
        <v>5357.2182691779326</v>
      </c>
      <c r="C405" s="6">
        <v>-462.46496917793229</v>
      </c>
      <c r="F405" s="6">
        <v>23.953662182361736</v>
      </c>
      <c r="G405" s="6">
        <v>4562.8420999999998</v>
      </c>
    </row>
    <row r="406" spans="1:7" x14ac:dyDescent="0.2">
      <c r="A406" s="6">
        <v>322</v>
      </c>
      <c r="B406" s="6">
        <v>6695.4227354256673</v>
      </c>
      <c r="C406" s="6">
        <v>17976.240604574334</v>
      </c>
      <c r="F406" s="6">
        <v>24.028400597907325</v>
      </c>
      <c r="G406" s="6">
        <v>4564.1914500000003</v>
      </c>
    </row>
    <row r="407" spans="1:7" x14ac:dyDescent="0.2">
      <c r="A407" s="6">
        <v>323</v>
      </c>
      <c r="B407" s="6">
        <v>29998.904972533379</v>
      </c>
      <c r="C407" s="6">
        <v>5492.7350274666205</v>
      </c>
      <c r="F407" s="6">
        <v>24.103139013452914</v>
      </c>
      <c r="G407" s="6">
        <v>4571.4130500000001</v>
      </c>
    </row>
    <row r="408" spans="1:7" x14ac:dyDescent="0.2">
      <c r="A408" s="6">
        <v>324</v>
      </c>
      <c r="B408" s="6">
        <v>16459.235117162363</v>
      </c>
      <c r="C408" s="6">
        <v>-4892.9345671623632</v>
      </c>
      <c r="F408" s="6">
        <v>24.177877428998507</v>
      </c>
      <c r="G408" s="6">
        <v>4618.0798999999997</v>
      </c>
    </row>
    <row r="409" spans="1:7" x14ac:dyDescent="0.2">
      <c r="A409" s="6">
        <v>325</v>
      </c>
      <c r="B409" s="6">
        <v>3644.9922349347949</v>
      </c>
      <c r="C409" s="6">
        <v>-778.90123493479496</v>
      </c>
      <c r="F409" s="6">
        <v>24.252615844544096</v>
      </c>
      <c r="G409" s="6">
        <v>4646.759</v>
      </c>
    </row>
    <row r="410" spans="1:7" x14ac:dyDescent="0.2">
      <c r="A410" s="6">
        <v>326</v>
      </c>
      <c r="B410" s="6">
        <v>10248.094446478432</v>
      </c>
      <c r="C410" s="6">
        <v>-3647.888496478432</v>
      </c>
      <c r="F410" s="6">
        <v>24.327354260089685</v>
      </c>
      <c r="G410" s="6">
        <v>4661.2863500000003</v>
      </c>
    </row>
    <row r="411" spans="1:7" x14ac:dyDescent="0.2">
      <c r="A411" s="6">
        <v>327</v>
      </c>
      <c r="B411" s="6">
        <v>2309.7414964100944</v>
      </c>
      <c r="C411" s="6">
        <v>1252.1474035899055</v>
      </c>
      <c r="F411" s="6">
        <v>24.402092675635277</v>
      </c>
      <c r="G411" s="6">
        <v>4667.6076499999999</v>
      </c>
    </row>
    <row r="412" spans="1:7" x14ac:dyDescent="0.2">
      <c r="A412" s="6">
        <v>328</v>
      </c>
      <c r="B412" s="6">
        <v>36309.031849128231</v>
      </c>
      <c r="C412" s="6">
        <v>6451.4703508717721</v>
      </c>
      <c r="F412" s="6">
        <v>24.476831091180866</v>
      </c>
      <c r="G412" s="6">
        <v>4670.6400000000003</v>
      </c>
    </row>
    <row r="413" spans="1:7" x14ac:dyDescent="0.2">
      <c r="A413" s="6">
        <v>329</v>
      </c>
      <c r="B413" s="6">
        <v>39328.990814030578</v>
      </c>
      <c r="C413" s="6">
        <v>8599.0391859694209</v>
      </c>
      <c r="F413" s="6">
        <v>24.551569506726459</v>
      </c>
      <c r="G413" s="6">
        <v>4673.3922000000002</v>
      </c>
    </row>
    <row r="414" spans="1:7" x14ac:dyDescent="0.2">
      <c r="A414" s="6">
        <v>330</v>
      </c>
      <c r="B414" s="6">
        <v>12775.02615259678</v>
      </c>
      <c r="C414" s="6">
        <v>-3630.4611525967794</v>
      </c>
      <c r="F414" s="6">
        <v>24.626307922272048</v>
      </c>
      <c r="G414" s="6">
        <v>4686.3887000000004</v>
      </c>
    </row>
    <row r="415" spans="1:7" x14ac:dyDescent="0.2">
      <c r="A415" s="6">
        <v>331</v>
      </c>
      <c r="B415" s="6">
        <v>40395.287825303385</v>
      </c>
      <c r="C415" s="6">
        <v>8122.2753246966167</v>
      </c>
      <c r="F415" s="6">
        <v>24.701046337817637</v>
      </c>
      <c r="G415" s="6">
        <v>4687.7969999999996</v>
      </c>
    </row>
    <row r="416" spans="1:7" x14ac:dyDescent="0.2">
      <c r="A416" s="6">
        <v>332</v>
      </c>
      <c r="B416" s="6">
        <v>34062.580929660537</v>
      </c>
      <c r="C416" s="6">
        <v>-9668.9585296605364</v>
      </c>
      <c r="F416" s="6">
        <v>24.775784753363229</v>
      </c>
      <c r="G416" s="6">
        <v>4718.2035500000002</v>
      </c>
    </row>
    <row r="417" spans="1:7" x14ac:dyDescent="0.2">
      <c r="A417" s="6">
        <v>333</v>
      </c>
      <c r="B417" s="6">
        <v>13946.00304370015</v>
      </c>
      <c r="C417" s="6">
        <v>-516.96764370014898</v>
      </c>
      <c r="F417" s="6">
        <v>24.850523168908818</v>
      </c>
      <c r="G417" s="6">
        <v>4719.52405</v>
      </c>
    </row>
    <row r="418" spans="1:7" x14ac:dyDescent="0.2">
      <c r="A418" s="6">
        <v>334</v>
      </c>
      <c r="B418" s="6">
        <v>12209.100728112307</v>
      </c>
      <c r="C418" s="6">
        <v>-550.72157811230682</v>
      </c>
      <c r="F418" s="6">
        <v>24.925261584454411</v>
      </c>
      <c r="G418" s="6">
        <v>4719.7365499999996</v>
      </c>
    </row>
    <row r="419" spans="1:7" x14ac:dyDescent="0.2">
      <c r="A419" s="6">
        <v>335</v>
      </c>
      <c r="B419" s="6">
        <v>12173.275836216224</v>
      </c>
      <c r="C419" s="6">
        <v>6971.3006837837747</v>
      </c>
      <c r="F419" s="6">
        <v>25</v>
      </c>
      <c r="G419" s="6">
        <v>4738.2682000000004</v>
      </c>
    </row>
    <row r="420" spans="1:7" x14ac:dyDescent="0.2">
      <c r="A420" s="6">
        <v>336</v>
      </c>
      <c r="B420" s="6">
        <v>15111.076785101104</v>
      </c>
      <c r="C420" s="6">
        <v>-1288.2737851011043</v>
      </c>
      <c r="F420" s="6">
        <v>25.074738415545589</v>
      </c>
      <c r="G420" s="6">
        <v>4746.3440000000001</v>
      </c>
    </row>
    <row r="421" spans="1:7" x14ac:dyDescent="0.2">
      <c r="A421" s="6">
        <v>337</v>
      </c>
      <c r="B421" s="6">
        <v>11037.345663233762</v>
      </c>
      <c r="C421" s="6">
        <v>1105.2329367662387</v>
      </c>
      <c r="F421" s="6">
        <v>25.149476831091182</v>
      </c>
      <c r="G421" s="6">
        <v>4747.0528999999997</v>
      </c>
    </row>
    <row r="422" spans="1:7" x14ac:dyDescent="0.2">
      <c r="A422" s="6">
        <v>338</v>
      </c>
      <c r="B422" s="6">
        <v>13322.557214456388</v>
      </c>
      <c r="C422" s="6">
        <v>615.10928554361089</v>
      </c>
      <c r="F422" s="6">
        <v>25.224215246636771</v>
      </c>
      <c r="G422" s="6">
        <v>4751.07</v>
      </c>
    </row>
    <row r="423" spans="1:7" x14ac:dyDescent="0.2">
      <c r="A423" s="6">
        <v>339</v>
      </c>
      <c r="B423" s="6">
        <v>36052.948329997169</v>
      </c>
      <c r="C423" s="6">
        <v>5866.1486700028327</v>
      </c>
      <c r="F423" s="6">
        <v>25.298953662182363</v>
      </c>
      <c r="G423" s="6">
        <v>4753.6368000000002</v>
      </c>
    </row>
    <row r="424" spans="1:7" x14ac:dyDescent="0.2">
      <c r="A424" s="6">
        <v>340</v>
      </c>
      <c r="B424" s="6">
        <v>8719.7746704045931</v>
      </c>
      <c r="C424" s="6">
        <v>-487.13587040459242</v>
      </c>
      <c r="F424" s="6">
        <v>25.373692077727952</v>
      </c>
      <c r="G424" s="6">
        <v>4762.3289999999997</v>
      </c>
    </row>
    <row r="425" spans="1:7" x14ac:dyDescent="0.2">
      <c r="A425" s="6">
        <v>341</v>
      </c>
      <c r="B425" s="6">
        <v>2627.7022130874998</v>
      </c>
      <c r="C425" s="6">
        <v>16327.517956912501</v>
      </c>
      <c r="F425" s="6">
        <v>25.448430493273541</v>
      </c>
      <c r="G425" s="6">
        <v>4766.0219999999999</v>
      </c>
    </row>
    <row r="426" spans="1:7" x14ac:dyDescent="0.2">
      <c r="A426" s="6">
        <v>342</v>
      </c>
      <c r="B426" s="6">
        <v>13684.864499726031</v>
      </c>
      <c r="C426" s="6">
        <v>-332.76469972603081</v>
      </c>
      <c r="F426" s="6">
        <v>25.523168908819134</v>
      </c>
      <c r="G426" s="6">
        <v>4779.6022999999996</v>
      </c>
    </row>
    <row r="427" spans="1:7" x14ac:dyDescent="0.2">
      <c r="A427" s="6">
        <v>343</v>
      </c>
      <c r="B427" s="6">
        <v>12817.622223052311</v>
      </c>
      <c r="C427" s="6">
        <v>399.47227694768844</v>
      </c>
      <c r="F427" s="6">
        <v>25.597907324364723</v>
      </c>
      <c r="G427" s="6">
        <v>4795.6567999999997</v>
      </c>
    </row>
    <row r="428" spans="1:7" x14ac:dyDescent="0.2">
      <c r="A428" s="6">
        <v>344</v>
      </c>
      <c r="B428" s="6">
        <v>16582.544596293137</v>
      </c>
      <c r="C428" s="6">
        <v>-2600.6942462931365</v>
      </c>
      <c r="F428" s="6">
        <v>25.672645739910315</v>
      </c>
      <c r="G428" s="6">
        <v>4827.9049500000001</v>
      </c>
    </row>
    <row r="429" spans="1:7" x14ac:dyDescent="0.2">
      <c r="A429" s="6">
        <v>345</v>
      </c>
      <c r="B429" s="6">
        <v>15580.755350613086</v>
      </c>
      <c r="C429" s="6">
        <v>-4603.5490506130864</v>
      </c>
      <c r="F429" s="6">
        <v>25.747384155455904</v>
      </c>
      <c r="G429" s="6">
        <v>4830.63</v>
      </c>
    </row>
    <row r="430" spans="1:7" x14ac:dyDescent="0.2">
      <c r="A430" s="6">
        <v>346</v>
      </c>
      <c r="B430" s="6">
        <v>7110.857448815379</v>
      </c>
      <c r="C430" s="6">
        <v>-926.55804881537915</v>
      </c>
      <c r="F430" s="6">
        <v>25.822122571001493</v>
      </c>
      <c r="G430" s="6">
        <v>4837.5823</v>
      </c>
    </row>
    <row r="431" spans="1:7" x14ac:dyDescent="0.2">
      <c r="A431" s="6">
        <v>347</v>
      </c>
      <c r="B431" s="6">
        <v>8448.5517056681419</v>
      </c>
      <c r="C431" s="6">
        <v>-3558.5522056681421</v>
      </c>
      <c r="F431" s="6">
        <v>25.896860986547086</v>
      </c>
      <c r="G431" s="6">
        <v>4846.9201499999999</v>
      </c>
    </row>
    <row r="432" spans="1:7" x14ac:dyDescent="0.2">
      <c r="A432" s="6">
        <v>348</v>
      </c>
      <c r="B432" s="6">
        <v>11531.445536958281</v>
      </c>
      <c r="C432" s="6">
        <v>-3196.9879869582819</v>
      </c>
      <c r="F432" s="6">
        <v>25.971599402092675</v>
      </c>
      <c r="G432" s="6">
        <v>4877.9810500000003</v>
      </c>
    </row>
    <row r="433" spans="1:7" x14ac:dyDescent="0.2">
      <c r="A433" s="6">
        <v>349</v>
      </c>
      <c r="B433" s="6">
        <v>6897.4367429749636</v>
      </c>
      <c r="C433" s="6">
        <v>-1419.3999429749638</v>
      </c>
      <c r="F433" s="6">
        <v>26.046337817638268</v>
      </c>
      <c r="G433" s="6">
        <v>4883.866</v>
      </c>
    </row>
    <row r="434" spans="1:7" x14ac:dyDescent="0.2">
      <c r="A434" s="6">
        <v>350</v>
      </c>
      <c r="B434" s="6">
        <v>1898.9036444803851</v>
      </c>
      <c r="C434" s="6">
        <v>-263.16999448038518</v>
      </c>
      <c r="F434" s="6">
        <v>26.121076233183857</v>
      </c>
      <c r="G434" s="6">
        <v>4889.0367999999999</v>
      </c>
    </row>
    <row r="435" spans="1:7" x14ac:dyDescent="0.2">
      <c r="A435" s="6">
        <v>351</v>
      </c>
      <c r="B435" s="6">
        <v>10211.813873736255</v>
      </c>
      <c r="C435" s="6">
        <v>1618.7933262637453</v>
      </c>
      <c r="F435" s="6">
        <v>26.195814648729446</v>
      </c>
      <c r="G435" s="6">
        <v>4889.9994999999999</v>
      </c>
    </row>
    <row r="436" spans="1:7" x14ac:dyDescent="0.2">
      <c r="A436" s="6">
        <v>352</v>
      </c>
      <c r="B436" s="6">
        <v>8627.5804718368654</v>
      </c>
      <c r="C436" s="6">
        <v>304.50352816313534</v>
      </c>
      <c r="F436" s="6">
        <v>26.270553064275038</v>
      </c>
      <c r="G436" s="6">
        <v>4894.7533000000003</v>
      </c>
    </row>
    <row r="437" spans="1:7" x14ac:dyDescent="0.2">
      <c r="A437" s="6">
        <v>353</v>
      </c>
      <c r="B437" s="6">
        <v>4202.75967367267</v>
      </c>
      <c r="C437" s="6">
        <v>-648.55667367267006</v>
      </c>
      <c r="F437" s="6">
        <v>26.345291479820627</v>
      </c>
      <c r="G437" s="6">
        <v>4906.4096499999996</v>
      </c>
    </row>
    <row r="438" spans="1:7" x14ac:dyDescent="0.2">
      <c r="A438" s="6">
        <v>354</v>
      </c>
      <c r="B438" s="6">
        <v>8361.2799706842216</v>
      </c>
      <c r="C438" s="6">
        <v>4043.5991293157786</v>
      </c>
      <c r="F438" s="6">
        <v>26.42002989536622</v>
      </c>
      <c r="G438" s="6">
        <v>4915.0598499999996</v>
      </c>
    </row>
    <row r="439" spans="1:7" x14ac:dyDescent="0.2">
      <c r="A439" s="6">
        <v>355</v>
      </c>
      <c r="B439" s="6">
        <v>4634.1791243401913</v>
      </c>
      <c r="C439" s="6">
        <v>9498.8586256598082</v>
      </c>
      <c r="F439" s="6">
        <v>26.494768310911809</v>
      </c>
      <c r="G439" s="6">
        <v>4922.9159</v>
      </c>
    </row>
    <row r="440" spans="1:7" x14ac:dyDescent="0.2">
      <c r="A440" s="6">
        <v>356</v>
      </c>
      <c r="B440" s="6">
        <v>8147.227609514046</v>
      </c>
      <c r="C440" s="6">
        <v>16455.820760485956</v>
      </c>
      <c r="F440" s="6">
        <v>26.569506726457398</v>
      </c>
      <c r="G440" s="6">
        <v>4931.6469999999999</v>
      </c>
    </row>
    <row r="441" spans="1:7" x14ac:dyDescent="0.2">
      <c r="A441" s="6">
        <v>357</v>
      </c>
      <c r="B441" s="6">
        <v>15024.219546195036</v>
      </c>
      <c r="C441" s="6">
        <v>-6080.1044461950351</v>
      </c>
      <c r="F441" s="6">
        <v>26.64424514200299</v>
      </c>
      <c r="G441" s="6">
        <v>4934.7049999999999</v>
      </c>
    </row>
    <row r="442" spans="1:7" x14ac:dyDescent="0.2">
      <c r="A442" s="6">
        <v>358</v>
      </c>
      <c r="B442" s="6">
        <v>11194.07409092715</v>
      </c>
      <c r="C442" s="6">
        <v>-1573.7433909271494</v>
      </c>
      <c r="F442" s="6">
        <v>26.718983557548579</v>
      </c>
      <c r="G442" s="6">
        <v>4949.7587000000003</v>
      </c>
    </row>
    <row r="443" spans="1:7" x14ac:dyDescent="0.2">
      <c r="A443" s="6">
        <v>359</v>
      </c>
      <c r="B443" s="6">
        <v>7018.4187642391707</v>
      </c>
      <c r="C443" s="6">
        <v>-5181.1368642391708</v>
      </c>
      <c r="F443" s="6">
        <v>26.793721973094172</v>
      </c>
      <c r="G443" s="6">
        <v>4992.3764000000001</v>
      </c>
    </row>
    <row r="444" spans="1:7" x14ac:dyDescent="0.2">
      <c r="A444" s="6">
        <v>360</v>
      </c>
      <c r="B444" s="6">
        <v>-1298.3143793134034</v>
      </c>
      <c r="C444" s="6">
        <v>2905.8244793134036</v>
      </c>
      <c r="F444" s="6">
        <v>26.868460388639761</v>
      </c>
      <c r="G444" s="6">
        <v>5002.7826999999997</v>
      </c>
    </row>
    <row r="445" spans="1:7" x14ac:dyDescent="0.2">
      <c r="A445" s="6">
        <v>361</v>
      </c>
      <c r="B445" s="6">
        <v>12297.51598755389</v>
      </c>
      <c r="C445" s="6">
        <v>-2254.2669875538904</v>
      </c>
      <c r="F445" s="6">
        <v>26.94319880418535</v>
      </c>
      <c r="G445" s="6">
        <v>5003.8530000000001</v>
      </c>
    </row>
    <row r="446" spans="1:7" x14ac:dyDescent="0.2">
      <c r="A446" s="6">
        <v>362</v>
      </c>
      <c r="B446" s="6">
        <v>6780.9692922237864</v>
      </c>
      <c r="C446" s="6">
        <v>-2029.8992922237867</v>
      </c>
      <c r="F446" s="6">
        <v>27.017937219730943</v>
      </c>
      <c r="G446" s="6">
        <v>5012.4709999999995</v>
      </c>
    </row>
    <row r="447" spans="1:7" x14ac:dyDescent="0.2">
      <c r="A447" s="6">
        <v>363</v>
      </c>
      <c r="B447" s="6">
        <v>23190.713616009623</v>
      </c>
      <c r="C447" s="6">
        <v>-9346.207616009624</v>
      </c>
      <c r="F447" s="6">
        <v>27.092675635276532</v>
      </c>
      <c r="G447" s="6">
        <v>5028.1466</v>
      </c>
    </row>
    <row r="448" spans="1:7" x14ac:dyDescent="0.2">
      <c r="A448" s="6">
        <v>364</v>
      </c>
      <c r="B448" s="6">
        <v>1925.6015562915795</v>
      </c>
      <c r="C448" s="6">
        <v>672.17744370842047</v>
      </c>
      <c r="F448" s="6">
        <v>27.167414050822124</v>
      </c>
      <c r="G448" s="6">
        <v>5031.26955</v>
      </c>
    </row>
    <row r="449" spans="1:7" x14ac:dyDescent="0.2">
      <c r="A449" s="6">
        <v>365</v>
      </c>
      <c r="B449" s="6">
        <v>796.36856756883049</v>
      </c>
      <c r="C449" s="6">
        <v>2384.1415324311693</v>
      </c>
      <c r="F449" s="6">
        <v>27.242152466367713</v>
      </c>
      <c r="G449" s="6">
        <v>5080.0959999999995</v>
      </c>
    </row>
    <row r="450" spans="1:7" x14ac:dyDescent="0.2">
      <c r="A450" s="6">
        <v>366</v>
      </c>
      <c r="B450" s="6">
        <v>11563.297745453629</v>
      </c>
      <c r="C450" s="6">
        <v>-1784.9505454536284</v>
      </c>
      <c r="F450" s="6">
        <v>27.316890881913302</v>
      </c>
      <c r="G450" s="6">
        <v>5116.5003999999999</v>
      </c>
    </row>
    <row r="451" spans="1:7" x14ac:dyDescent="0.2">
      <c r="A451" s="6">
        <v>367</v>
      </c>
      <c r="B451" s="6">
        <v>14827.867353001806</v>
      </c>
      <c r="C451" s="6">
        <v>-1397.6023530018065</v>
      </c>
      <c r="F451" s="6">
        <v>27.391629297458895</v>
      </c>
      <c r="G451" s="6">
        <v>5124.1886999999997</v>
      </c>
    </row>
    <row r="452" spans="1:7" x14ac:dyDescent="0.2">
      <c r="A452" s="6">
        <v>368</v>
      </c>
      <c r="B452" s="6">
        <v>7922.2138597418652</v>
      </c>
      <c r="C452" s="6">
        <v>94.847290258135217</v>
      </c>
      <c r="F452" s="6">
        <v>27.466367713004484</v>
      </c>
      <c r="G452" s="6">
        <v>5125.2156999999997</v>
      </c>
    </row>
    <row r="453" spans="1:7" x14ac:dyDescent="0.2">
      <c r="A453" s="6">
        <v>369</v>
      </c>
      <c r="B453" s="6">
        <v>10689.14218430566</v>
      </c>
      <c r="C453" s="6">
        <v>-2572.8733343056592</v>
      </c>
      <c r="F453" s="6">
        <v>27.541106128550076</v>
      </c>
      <c r="G453" s="6">
        <v>5138.2566999999999</v>
      </c>
    </row>
    <row r="454" spans="1:7" x14ac:dyDescent="0.2">
      <c r="A454" s="6">
        <v>370</v>
      </c>
      <c r="B454" s="6">
        <v>4291.5440353268805</v>
      </c>
      <c r="C454" s="6">
        <v>-809.67603532688054</v>
      </c>
      <c r="F454" s="6">
        <v>27.615844544095665</v>
      </c>
      <c r="G454" s="6">
        <v>5148.5526</v>
      </c>
    </row>
    <row r="455" spans="1:7" x14ac:dyDescent="0.2">
      <c r="A455" s="6">
        <v>371</v>
      </c>
      <c r="B455" s="6">
        <v>10530.32496583899</v>
      </c>
      <c r="C455" s="6">
        <v>2884.7131341610093</v>
      </c>
      <c r="F455" s="6">
        <v>27.690582959641254</v>
      </c>
      <c r="G455" s="6">
        <v>5152.134</v>
      </c>
    </row>
    <row r="456" spans="1:7" x14ac:dyDescent="0.2">
      <c r="A456" s="6">
        <v>372</v>
      </c>
      <c r="B456" s="6">
        <v>10242.5439922306</v>
      </c>
      <c r="C456" s="6">
        <v>1786.742707769401</v>
      </c>
      <c r="F456" s="6">
        <v>27.765321375186847</v>
      </c>
      <c r="G456" s="6">
        <v>5209.5788499999999</v>
      </c>
    </row>
    <row r="457" spans="1:7" x14ac:dyDescent="0.2">
      <c r="A457" s="6">
        <v>373</v>
      </c>
      <c r="B457" s="6">
        <v>10570.887730017939</v>
      </c>
      <c r="C457" s="6">
        <v>-2931.4702800179393</v>
      </c>
      <c r="F457" s="6">
        <v>27.840059790732436</v>
      </c>
      <c r="G457" s="6">
        <v>5227.9887500000004</v>
      </c>
    </row>
    <row r="458" spans="1:7" x14ac:dyDescent="0.2">
      <c r="A458" s="6">
        <v>374</v>
      </c>
      <c r="B458" s="6">
        <v>29607.361495115627</v>
      </c>
      <c r="C458" s="6">
        <v>6477.8575048843704</v>
      </c>
      <c r="F458" s="6">
        <v>27.914798206278029</v>
      </c>
      <c r="G458" s="6">
        <v>5240.7650000000003</v>
      </c>
    </row>
    <row r="459" spans="1:7" x14ac:dyDescent="0.2">
      <c r="A459" s="6">
        <v>375</v>
      </c>
      <c r="B459" s="6">
        <v>3337.5698746461203</v>
      </c>
      <c r="C459" s="6">
        <v>-1946.0411746461202</v>
      </c>
      <c r="F459" s="6">
        <v>27.989536621823618</v>
      </c>
      <c r="G459" s="6">
        <v>5245.2268999999997</v>
      </c>
    </row>
    <row r="460" spans="1:7" x14ac:dyDescent="0.2">
      <c r="A460" s="6">
        <v>376</v>
      </c>
      <c r="B460" s="6">
        <v>27067.294846402852</v>
      </c>
      <c r="C460" s="6">
        <v>-9033.3269464028526</v>
      </c>
      <c r="F460" s="6">
        <v>28.064275037369207</v>
      </c>
      <c r="G460" s="6">
        <v>5246.0469999999996</v>
      </c>
    </row>
    <row r="461" spans="1:7" x14ac:dyDescent="0.2">
      <c r="A461" s="6">
        <v>377</v>
      </c>
      <c r="B461" s="6">
        <v>31796.420410523388</v>
      </c>
      <c r="C461" s="6">
        <v>-10136.490310523386</v>
      </c>
      <c r="F461" s="6">
        <v>28.139013452914799</v>
      </c>
      <c r="G461" s="6">
        <v>5253.5240000000003</v>
      </c>
    </row>
    <row r="462" spans="1:7" x14ac:dyDescent="0.2">
      <c r="A462" s="6">
        <v>378</v>
      </c>
      <c r="B462" s="6">
        <v>30526.829180334262</v>
      </c>
      <c r="C462" s="6">
        <v>7599.4173196657393</v>
      </c>
      <c r="F462" s="6">
        <v>28.213751868460388</v>
      </c>
      <c r="G462" s="6">
        <v>5257.5079500000002</v>
      </c>
    </row>
    <row r="463" spans="1:7" x14ac:dyDescent="0.2">
      <c r="A463" s="6">
        <v>379</v>
      </c>
      <c r="B463" s="6">
        <v>15788.616577736262</v>
      </c>
      <c r="C463" s="6">
        <v>667.09127226373676</v>
      </c>
      <c r="F463" s="6">
        <v>28.288490284005981</v>
      </c>
      <c r="G463" s="6">
        <v>5261.4694499999996</v>
      </c>
    </row>
    <row r="464" spans="1:7" x14ac:dyDescent="0.2">
      <c r="A464" s="6">
        <v>380</v>
      </c>
      <c r="B464" s="6">
        <v>13966.745468111594</v>
      </c>
      <c r="C464" s="6">
        <v>13034.239261888406</v>
      </c>
      <c r="F464" s="6">
        <v>28.36322869955157</v>
      </c>
      <c r="G464" s="6">
        <v>5266.3656000000001</v>
      </c>
    </row>
    <row r="465" spans="1:7" x14ac:dyDescent="0.2">
      <c r="A465" s="6">
        <v>381</v>
      </c>
      <c r="B465" s="6">
        <v>25886.337034134904</v>
      </c>
      <c r="C465" s="6">
        <v>-10879.757584134904</v>
      </c>
      <c r="F465" s="6">
        <v>28.437967115097159</v>
      </c>
      <c r="G465" s="6">
        <v>5267.8181500000001</v>
      </c>
    </row>
    <row r="466" spans="1:7" x14ac:dyDescent="0.2">
      <c r="A466" s="6">
        <v>382</v>
      </c>
      <c r="B466" s="6">
        <v>36313.932119953264</v>
      </c>
      <c r="C466" s="6">
        <v>5989.7600300467384</v>
      </c>
      <c r="F466" s="6">
        <v>28.512705530642751</v>
      </c>
      <c r="G466" s="6">
        <v>5272.1758</v>
      </c>
    </row>
    <row r="467" spans="1:7" x14ac:dyDescent="0.2">
      <c r="A467" s="6">
        <v>383</v>
      </c>
      <c r="B467" s="6">
        <v>12215.608373761721</v>
      </c>
      <c r="C467" s="6">
        <v>8565.8805462382788</v>
      </c>
      <c r="F467" s="6">
        <v>28.587443946188341</v>
      </c>
      <c r="G467" s="6">
        <v>5312.1698500000002</v>
      </c>
    </row>
    <row r="468" spans="1:7" x14ac:dyDescent="0.2">
      <c r="A468" s="6">
        <v>384</v>
      </c>
      <c r="B468" s="6">
        <v>11668.057083044221</v>
      </c>
      <c r="C468" s="6">
        <v>-5821.1394830442214</v>
      </c>
      <c r="F468" s="6">
        <v>28.662182361733933</v>
      </c>
      <c r="G468" s="6">
        <v>5325.6509999999998</v>
      </c>
    </row>
    <row r="469" spans="1:7" x14ac:dyDescent="0.2">
      <c r="A469" s="6">
        <v>385</v>
      </c>
      <c r="B469" s="6">
        <v>7690.8747620552022</v>
      </c>
      <c r="C469" s="6">
        <v>611.66088794479765</v>
      </c>
      <c r="F469" s="6">
        <v>28.736920777279522</v>
      </c>
      <c r="G469" s="6">
        <v>5327.4002499999997</v>
      </c>
    </row>
    <row r="470" spans="1:7" x14ac:dyDescent="0.2">
      <c r="A470" s="6">
        <v>386</v>
      </c>
      <c r="B470" s="6">
        <v>3518.6215755593635</v>
      </c>
      <c r="C470" s="6">
        <v>-2256.7625755593635</v>
      </c>
      <c r="F470" s="6">
        <v>28.811659192825111</v>
      </c>
      <c r="G470" s="6">
        <v>5354.0746499999996</v>
      </c>
    </row>
    <row r="471" spans="1:7" x14ac:dyDescent="0.2">
      <c r="A471" s="6">
        <v>387</v>
      </c>
      <c r="B471" s="6">
        <v>15169.612185114454</v>
      </c>
      <c r="C471" s="6">
        <v>-3313.2006851144542</v>
      </c>
      <c r="F471" s="6">
        <v>28.886397608370704</v>
      </c>
      <c r="G471" s="6">
        <v>5373.3642499999996</v>
      </c>
    </row>
    <row r="472" spans="1:7" x14ac:dyDescent="0.2">
      <c r="A472" s="6">
        <v>388</v>
      </c>
      <c r="B472" s="6">
        <v>9974.6438330176607</v>
      </c>
      <c r="C472" s="6">
        <v>20309.999106982341</v>
      </c>
      <c r="F472" s="6">
        <v>28.961136023916293</v>
      </c>
      <c r="G472" s="6">
        <v>5375.0379999999996</v>
      </c>
    </row>
    <row r="473" spans="1:7" x14ac:dyDescent="0.2">
      <c r="A473" s="6">
        <v>389</v>
      </c>
      <c r="B473" s="6">
        <v>2055.9266765202883</v>
      </c>
      <c r="C473" s="6">
        <v>1120.8892234797117</v>
      </c>
      <c r="F473" s="6">
        <v>29.035874439461885</v>
      </c>
      <c r="G473" s="6">
        <v>5377.4578000000001</v>
      </c>
    </row>
    <row r="474" spans="1:7" x14ac:dyDescent="0.2">
      <c r="A474" s="6">
        <v>390</v>
      </c>
      <c r="B474" s="6">
        <v>5546.5858543353752</v>
      </c>
      <c r="C474" s="6">
        <v>-928.50595433537546</v>
      </c>
      <c r="F474" s="6">
        <v>29.110612855007474</v>
      </c>
      <c r="G474" s="6">
        <v>5383.5360000000001</v>
      </c>
    </row>
    <row r="475" spans="1:7" x14ac:dyDescent="0.2">
      <c r="A475" s="6">
        <v>391</v>
      </c>
      <c r="B475" s="6">
        <v>14245.020951713092</v>
      </c>
      <c r="C475" s="6">
        <v>-3508.1502017130915</v>
      </c>
      <c r="F475" s="6">
        <v>29.185351270553063</v>
      </c>
      <c r="G475" s="6">
        <v>5385.3379000000004</v>
      </c>
    </row>
    <row r="476" spans="1:7" x14ac:dyDescent="0.2">
      <c r="A476" s="6">
        <v>392</v>
      </c>
      <c r="B476" s="6">
        <v>5284.7791912715038</v>
      </c>
      <c r="C476" s="6">
        <v>-3146.7084912715036</v>
      </c>
      <c r="F476" s="6">
        <v>29.260089686098656</v>
      </c>
      <c r="G476" s="6">
        <v>5397.6166999999996</v>
      </c>
    </row>
    <row r="477" spans="1:7" x14ac:dyDescent="0.2">
      <c r="A477" s="6">
        <v>393</v>
      </c>
      <c r="B477" s="6">
        <v>11400.690680172384</v>
      </c>
      <c r="C477" s="6">
        <v>-2436.6301301723834</v>
      </c>
      <c r="F477" s="6">
        <v>29.334828101644245</v>
      </c>
      <c r="G477" s="6">
        <v>5400.9804999999997</v>
      </c>
    </row>
    <row r="478" spans="1:7" x14ac:dyDescent="0.2">
      <c r="A478" s="6">
        <v>394</v>
      </c>
      <c r="B478" s="6">
        <v>11625.323654616699</v>
      </c>
      <c r="C478" s="6">
        <v>-2335.1841546166997</v>
      </c>
      <c r="F478" s="6">
        <v>29.409566517189837</v>
      </c>
      <c r="G478" s="6">
        <v>5415.6611999999996</v>
      </c>
    </row>
    <row r="479" spans="1:7" x14ac:dyDescent="0.2">
      <c r="A479" s="6">
        <v>395</v>
      </c>
      <c r="B479" s="6">
        <v>11783.803282479194</v>
      </c>
      <c r="C479" s="6">
        <v>-2372.7982824791943</v>
      </c>
      <c r="F479" s="6">
        <v>29.484304932735427</v>
      </c>
      <c r="G479" s="6">
        <v>5425.0233500000004</v>
      </c>
    </row>
    <row r="480" spans="1:7" x14ac:dyDescent="0.2">
      <c r="A480" s="6">
        <v>396</v>
      </c>
      <c r="B480" s="6">
        <v>6127.261403174276</v>
      </c>
      <c r="C480" s="6">
        <v>1399.4450468257237</v>
      </c>
      <c r="F480" s="6">
        <v>29.559043348281016</v>
      </c>
      <c r="G480" s="6">
        <v>5428.7277000000004</v>
      </c>
    </row>
    <row r="481" spans="1:7" x14ac:dyDescent="0.2">
      <c r="A481" s="6">
        <v>397</v>
      </c>
      <c r="B481" s="6">
        <v>11240.990031298219</v>
      </c>
      <c r="C481" s="6">
        <v>-2718.9870312982184</v>
      </c>
      <c r="F481" s="6">
        <v>29.633781763826608</v>
      </c>
      <c r="G481" s="6">
        <v>5438.7491</v>
      </c>
    </row>
    <row r="482" spans="1:7" x14ac:dyDescent="0.2">
      <c r="A482" s="6">
        <v>398</v>
      </c>
      <c r="B482" s="6">
        <v>2810.8893493424275</v>
      </c>
      <c r="C482" s="6">
        <v>13775.608360657572</v>
      </c>
      <c r="F482" s="6">
        <v>29.708520179372197</v>
      </c>
      <c r="G482" s="6">
        <v>5458.0464499999998</v>
      </c>
    </row>
    <row r="483" spans="1:7" x14ac:dyDescent="0.2">
      <c r="A483" s="6">
        <v>399</v>
      </c>
      <c r="B483" s="6">
        <v>13043.256138262894</v>
      </c>
      <c r="C483" s="6">
        <v>1945.175861737107</v>
      </c>
      <c r="F483" s="6">
        <v>29.78325859491779</v>
      </c>
      <c r="G483" s="6">
        <v>5469.0065999999997</v>
      </c>
    </row>
    <row r="484" spans="1:7" x14ac:dyDescent="0.2">
      <c r="A484" s="6">
        <v>400</v>
      </c>
      <c r="B484" s="6">
        <v>4596.8678444429988</v>
      </c>
      <c r="C484" s="6">
        <v>-2965.1995444429986</v>
      </c>
      <c r="F484" s="6">
        <v>29.857997010463379</v>
      </c>
      <c r="G484" s="6">
        <v>5472.4489999999996</v>
      </c>
    </row>
    <row r="485" spans="1:7" x14ac:dyDescent="0.2">
      <c r="A485" s="6">
        <v>401</v>
      </c>
      <c r="B485" s="6">
        <v>7188.469556320013</v>
      </c>
      <c r="C485" s="6">
        <v>2076.3274436799875</v>
      </c>
      <c r="F485" s="6">
        <v>29.932735426008968</v>
      </c>
      <c r="G485" s="6">
        <v>5478.0367999999999</v>
      </c>
    </row>
    <row r="486" spans="1:7" x14ac:dyDescent="0.2">
      <c r="A486" s="6">
        <v>402</v>
      </c>
      <c r="B486" s="6">
        <v>15561.34704504147</v>
      </c>
      <c r="C486" s="6">
        <v>-7477.4272450414701</v>
      </c>
      <c r="F486" s="6">
        <v>30.00747384155456</v>
      </c>
      <c r="G486" s="6">
        <v>5484.4673000000003</v>
      </c>
    </row>
    <row r="487" spans="1:7" x14ac:dyDescent="0.2">
      <c r="A487" s="6">
        <v>403</v>
      </c>
      <c r="B487" s="6">
        <v>15328.816285079762</v>
      </c>
      <c r="C487" s="6">
        <v>-636.14693507976153</v>
      </c>
      <c r="F487" s="6">
        <v>30.082212257100149</v>
      </c>
      <c r="G487" s="6">
        <v>5488.2619999999997</v>
      </c>
    </row>
    <row r="488" spans="1:7" x14ac:dyDescent="0.2">
      <c r="A488" s="6">
        <v>404</v>
      </c>
      <c r="B488" s="6">
        <v>12545.59462642062</v>
      </c>
      <c r="C488" s="6">
        <v>-2276.1346264206204</v>
      </c>
      <c r="F488" s="6">
        <v>30.156950672645742</v>
      </c>
      <c r="G488" s="6">
        <v>5584.3056999999999</v>
      </c>
    </row>
    <row r="489" spans="1:7" x14ac:dyDescent="0.2">
      <c r="A489" s="6">
        <v>405</v>
      </c>
      <c r="B489" s="6">
        <v>1852.1894554557771</v>
      </c>
      <c r="C489" s="6">
        <v>1408.009544544223</v>
      </c>
      <c r="F489" s="6">
        <v>30.231689088191331</v>
      </c>
      <c r="G489" s="6">
        <v>5594.8455000000004</v>
      </c>
    </row>
    <row r="490" spans="1:7" x14ac:dyDescent="0.2">
      <c r="A490" s="6">
        <v>406</v>
      </c>
      <c r="B490" s="6">
        <v>15387.237595657192</v>
      </c>
      <c r="C490" s="6">
        <v>-3990.3373956571922</v>
      </c>
      <c r="F490" s="6">
        <v>30.30642750373692</v>
      </c>
      <c r="G490" s="6">
        <v>5615.3689999999997</v>
      </c>
    </row>
    <row r="491" spans="1:7" x14ac:dyDescent="0.2">
      <c r="A491" s="6">
        <v>407</v>
      </c>
      <c r="B491" s="6">
        <v>3748.4918654569738</v>
      </c>
      <c r="C491" s="6">
        <v>436.606034543026</v>
      </c>
      <c r="F491" s="6">
        <v>30.381165919282513</v>
      </c>
      <c r="G491" s="6">
        <v>5630.4578499999998</v>
      </c>
    </row>
    <row r="492" spans="1:7" x14ac:dyDescent="0.2">
      <c r="A492" s="6">
        <v>408</v>
      </c>
      <c r="B492" s="6">
        <v>7654.1250521522743</v>
      </c>
      <c r="C492" s="6">
        <v>885.54594784772598</v>
      </c>
      <c r="F492" s="6">
        <v>30.455904334828102</v>
      </c>
      <c r="G492" s="6">
        <v>5649.7150000000001</v>
      </c>
    </row>
    <row r="493" spans="1:7" x14ac:dyDescent="0.2">
      <c r="A493" s="6">
        <v>409</v>
      </c>
      <c r="B493" s="6">
        <v>5245.9337871774242</v>
      </c>
      <c r="C493" s="6">
        <v>1406.5950128225759</v>
      </c>
      <c r="F493" s="6">
        <v>30.530642750373694</v>
      </c>
      <c r="G493" s="6">
        <v>5662.2250000000004</v>
      </c>
    </row>
    <row r="494" spans="1:7" x14ac:dyDescent="0.2">
      <c r="A494" s="6">
        <v>410</v>
      </c>
      <c r="B494" s="6">
        <v>5776.0082533276573</v>
      </c>
      <c r="C494" s="6">
        <v>-1701.5545533276572</v>
      </c>
      <c r="F494" s="6">
        <v>30.605381165919283</v>
      </c>
      <c r="G494" s="6">
        <v>5693.4305000000004</v>
      </c>
    </row>
    <row r="495" spans="1:7" x14ac:dyDescent="0.2">
      <c r="A495" s="6">
        <v>411</v>
      </c>
      <c r="B495" s="6">
        <v>-1613.4445676598634</v>
      </c>
      <c r="C495" s="6">
        <v>3234.7847676598635</v>
      </c>
      <c r="F495" s="6">
        <v>30.680119581464872</v>
      </c>
      <c r="G495" s="6">
        <v>5699.8374999999996</v>
      </c>
    </row>
    <row r="496" spans="1:7" x14ac:dyDescent="0.2">
      <c r="A496" s="6">
        <v>412</v>
      </c>
      <c r="B496" s="6">
        <v>30550.755556353401</v>
      </c>
      <c r="C496" s="6">
        <v>-10955.945906353401</v>
      </c>
      <c r="F496" s="6">
        <v>30.754857997010465</v>
      </c>
      <c r="G496" s="6">
        <v>5708.8670000000002</v>
      </c>
    </row>
    <row r="497" spans="1:7" x14ac:dyDescent="0.2">
      <c r="A497" s="6">
        <v>413</v>
      </c>
      <c r="B497" s="6">
        <v>25371.693656853316</v>
      </c>
      <c r="C497" s="6">
        <v>-10916.049606853316</v>
      </c>
      <c r="F497" s="6">
        <v>30.829596412556054</v>
      </c>
      <c r="G497" s="6">
        <v>5709.1643999999997</v>
      </c>
    </row>
    <row r="498" spans="1:7" x14ac:dyDescent="0.2">
      <c r="A498" s="6">
        <v>414</v>
      </c>
      <c r="B498" s="6">
        <v>3875.7311536152934</v>
      </c>
      <c r="C498" s="6">
        <v>1204.3648463847062</v>
      </c>
      <c r="F498" s="6">
        <v>30.904334828101646</v>
      </c>
      <c r="G498" s="6">
        <v>5729.0052999999998</v>
      </c>
    </row>
    <row r="499" spans="1:7" x14ac:dyDescent="0.2">
      <c r="A499" s="6">
        <v>415</v>
      </c>
      <c r="B499" s="6">
        <v>4511.4181170387874</v>
      </c>
      <c r="C499" s="6">
        <v>-2376.5166170387874</v>
      </c>
      <c r="F499" s="6">
        <v>30.979073243647235</v>
      </c>
      <c r="G499" s="6">
        <v>5757.41345</v>
      </c>
    </row>
    <row r="500" spans="1:7" x14ac:dyDescent="0.2">
      <c r="A500" s="6">
        <v>416</v>
      </c>
      <c r="B500" s="6">
        <v>10635.617765390405</v>
      </c>
      <c r="C500" s="6">
        <v>-3289.8911653904051</v>
      </c>
      <c r="F500" s="6">
        <v>31.053811659192824</v>
      </c>
      <c r="G500" s="6">
        <v>5836.5204000000003</v>
      </c>
    </row>
    <row r="501" spans="1:7" x14ac:dyDescent="0.2">
      <c r="A501" s="6">
        <v>417</v>
      </c>
      <c r="B501" s="6">
        <v>11818.152115121602</v>
      </c>
      <c r="C501" s="6">
        <v>-2677.2011151216029</v>
      </c>
      <c r="F501" s="6">
        <v>31.128550074738417</v>
      </c>
      <c r="G501" s="6">
        <v>5846.9175999999998</v>
      </c>
    </row>
    <row r="502" spans="1:7" x14ac:dyDescent="0.2">
      <c r="A502" s="6">
        <v>418</v>
      </c>
      <c r="B502" s="6">
        <v>28813.546807692561</v>
      </c>
      <c r="C502" s="6">
        <v>-10205.284807692562</v>
      </c>
      <c r="F502" s="6">
        <v>31.203288490284006</v>
      </c>
      <c r="G502" s="6">
        <v>5855.9025000000001</v>
      </c>
    </row>
    <row r="503" spans="1:7" x14ac:dyDescent="0.2">
      <c r="A503" s="6">
        <v>419</v>
      </c>
      <c r="B503" s="6">
        <v>17092.24776598976</v>
      </c>
      <c r="C503" s="6">
        <v>-2673.9673659897599</v>
      </c>
      <c r="F503" s="6">
        <v>31.278026905829599</v>
      </c>
      <c r="G503" s="6">
        <v>5910.9440000000004</v>
      </c>
    </row>
    <row r="504" spans="1:7" x14ac:dyDescent="0.2">
      <c r="A504" s="6">
        <v>420</v>
      </c>
      <c r="B504" s="6">
        <v>36890.421654594356</v>
      </c>
      <c r="C504" s="6">
        <v>-7939.9524545943568</v>
      </c>
      <c r="F504" s="6">
        <v>31.352765321375188</v>
      </c>
      <c r="G504" s="6">
        <v>5920.1040999999996</v>
      </c>
    </row>
    <row r="505" spans="1:7" x14ac:dyDescent="0.2">
      <c r="A505" s="6">
        <v>421</v>
      </c>
      <c r="B505" s="6">
        <v>38674.340327688209</v>
      </c>
      <c r="C505" s="6">
        <v>8214.9208723117918</v>
      </c>
      <c r="F505" s="6">
        <v>31.427503736920777</v>
      </c>
      <c r="G505" s="6">
        <v>5926.8459999999995</v>
      </c>
    </row>
    <row r="506" spans="1:7" x14ac:dyDescent="0.2">
      <c r="A506" s="6">
        <v>422</v>
      </c>
      <c r="B506" s="6">
        <v>38575.374308225633</v>
      </c>
      <c r="C506" s="6">
        <v>8023.7340917743641</v>
      </c>
      <c r="F506" s="6">
        <v>31.502242152466369</v>
      </c>
      <c r="G506" s="6">
        <v>5934.3797999999997</v>
      </c>
    </row>
    <row r="507" spans="1:7" x14ac:dyDescent="0.2">
      <c r="A507" s="6">
        <v>423</v>
      </c>
      <c r="B507" s="6">
        <v>33645.501695088831</v>
      </c>
      <c r="C507" s="6">
        <v>5479.8305549111683</v>
      </c>
      <c r="F507" s="6">
        <v>31.576980568011958</v>
      </c>
      <c r="G507" s="6">
        <v>5966.8873999999996</v>
      </c>
    </row>
    <row r="508" spans="1:7" x14ac:dyDescent="0.2">
      <c r="A508" s="6">
        <v>424</v>
      </c>
      <c r="B508" s="6">
        <v>4727.4836238269781</v>
      </c>
      <c r="C508" s="6">
        <v>-2000.088523826978</v>
      </c>
      <c r="F508" s="6">
        <v>31.651718983557551</v>
      </c>
      <c r="G508" s="6">
        <v>5969.723</v>
      </c>
    </row>
    <row r="509" spans="1:7" x14ac:dyDescent="0.2">
      <c r="A509" s="6">
        <v>425</v>
      </c>
      <c r="B509" s="6">
        <v>10493.844384275191</v>
      </c>
      <c r="C509" s="6">
        <v>-1525.5143842751913</v>
      </c>
      <c r="F509" s="6">
        <v>31.72645739910314</v>
      </c>
      <c r="G509" s="6">
        <v>5972.3779999999997</v>
      </c>
    </row>
    <row r="510" spans="1:7" x14ac:dyDescent="0.2">
      <c r="A510" s="6">
        <v>426</v>
      </c>
      <c r="B510" s="6">
        <v>9076.9564622557045</v>
      </c>
      <c r="C510" s="6">
        <v>711.90943774429616</v>
      </c>
      <c r="F510" s="6">
        <v>31.801195814648729</v>
      </c>
      <c r="G510" s="6">
        <v>5974.3846999999996</v>
      </c>
    </row>
    <row r="511" spans="1:7" x14ac:dyDescent="0.2">
      <c r="A511" s="6">
        <v>427</v>
      </c>
      <c r="B511" s="6">
        <v>7545.6128781006992</v>
      </c>
      <c r="C511" s="6">
        <v>-990.5425281006992</v>
      </c>
      <c r="F511" s="6">
        <v>31.875934230194321</v>
      </c>
      <c r="G511" s="6">
        <v>5976.8311000000003</v>
      </c>
    </row>
    <row r="512" spans="1:7" x14ac:dyDescent="0.2">
      <c r="A512" s="6">
        <v>428</v>
      </c>
      <c r="B512" s="6">
        <v>2577.452844065203</v>
      </c>
      <c r="C512" s="6">
        <v>4746.2819749347973</v>
      </c>
      <c r="F512" s="6">
        <v>31.95067264573991</v>
      </c>
      <c r="G512" s="6">
        <v>5979.7309999999998</v>
      </c>
    </row>
    <row r="513" spans="1:7" x14ac:dyDescent="0.2">
      <c r="A513" s="6">
        <v>429</v>
      </c>
      <c r="B513" s="6">
        <v>-365.5167052674949</v>
      </c>
      <c r="C513" s="6">
        <v>3532.9725552674945</v>
      </c>
      <c r="F513" s="6">
        <v>32.025411061285503</v>
      </c>
      <c r="G513" s="6">
        <v>5989.5236500000001</v>
      </c>
    </row>
    <row r="514" spans="1:7" x14ac:dyDescent="0.2">
      <c r="A514" s="6">
        <v>430</v>
      </c>
      <c r="B514" s="6">
        <v>6381.6016681334768</v>
      </c>
      <c r="C514" s="6">
        <v>12423.150731866524</v>
      </c>
      <c r="F514" s="6">
        <v>32.100149476831092</v>
      </c>
      <c r="G514" s="6">
        <v>6059.1729999999998</v>
      </c>
    </row>
    <row r="515" spans="1:7" x14ac:dyDescent="0.2">
      <c r="A515" s="6">
        <v>431</v>
      </c>
      <c r="B515" s="6">
        <v>3077.6700858652725</v>
      </c>
      <c r="C515" s="6">
        <v>20005.285244134728</v>
      </c>
      <c r="F515" s="6">
        <v>32.174887892376688</v>
      </c>
      <c r="G515" s="6">
        <v>6067.1267500000004</v>
      </c>
    </row>
    <row r="516" spans="1:7" x14ac:dyDescent="0.2">
      <c r="A516" s="6">
        <v>432</v>
      </c>
      <c r="B516" s="6">
        <v>2971.9123721048522</v>
      </c>
      <c r="C516" s="6">
        <v>1934.4972778951474</v>
      </c>
      <c r="F516" s="6">
        <v>32.249626307922277</v>
      </c>
      <c r="G516" s="6">
        <v>6079.6715000000004</v>
      </c>
    </row>
    <row r="517" spans="1:7" x14ac:dyDescent="0.2">
      <c r="A517" s="6">
        <v>433</v>
      </c>
      <c r="B517" s="6">
        <v>6882.366781837065</v>
      </c>
      <c r="C517" s="6">
        <v>-912.64378183706503</v>
      </c>
      <c r="F517" s="6">
        <v>32.324364723467866</v>
      </c>
      <c r="G517" s="6">
        <v>6082.4049999999997</v>
      </c>
    </row>
    <row r="518" spans="1:7" x14ac:dyDescent="0.2">
      <c r="A518" s="6">
        <v>434</v>
      </c>
      <c r="B518" s="6">
        <v>12858.191919903462</v>
      </c>
      <c r="C518" s="6">
        <v>-219.99691990346219</v>
      </c>
      <c r="F518" s="6">
        <v>32.399103139013455</v>
      </c>
      <c r="G518" s="6">
        <v>6112.3529500000004</v>
      </c>
    </row>
    <row r="519" spans="1:7" x14ac:dyDescent="0.2">
      <c r="A519" s="6">
        <v>435</v>
      </c>
      <c r="B519" s="6">
        <v>5714.4674448219312</v>
      </c>
      <c r="C519" s="6">
        <v>-1470.8773948219314</v>
      </c>
      <c r="F519" s="6">
        <v>32.473841554559044</v>
      </c>
      <c r="G519" s="6">
        <v>6113.2310500000003</v>
      </c>
    </row>
    <row r="520" spans="1:7" x14ac:dyDescent="0.2">
      <c r="A520" s="6">
        <v>436</v>
      </c>
      <c r="B520" s="6">
        <v>14963.703051793051</v>
      </c>
      <c r="C520" s="6">
        <v>-1043.8801517930515</v>
      </c>
      <c r="F520" s="6">
        <v>32.54857997010464</v>
      </c>
      <c r="G520" s="6">
        <v>6117.4944999999998</v>
      </c>
    </row>
    <row r="521" spans="1:7" x14ac:dyDescent="0.2">
      <c r="A521" s="6">
        <v>437</v>
      </c>
      <c r="B521" s="6">
        <v>4343.5951033312931</v>
      </c>
      <c r="C521" s="6">
        <v>-2088.7984033312932</v>
      </c>
      <c r="F521" s="6">
        <v>32.623318385650229</v>
      </c>
      <c r="G521" s="6">
        <v>6123.5688</v>
      </c>
    </row>
    <row r="522" spans="1:7" x14ac:dyDescent="0.2">
      <c r="A522" s="6">
        <v>438</v>
      </c>
      <c r="B522" s="6">
        <v>7189.260856744706</v>
      </c>
      <c r="C522" s="6">
        <v>-1262.4148567447064</v>
      </c>
      <c r="F522" s="6">
        <v>32.698056801195818</v>
      </c>
      <c r="G522" s="6">
        <v>6128.79745</v>
      </c>
    </row>
    <row r="523" spans="1:7" x14ac:dyDescent="0.2">
      <c r="A523" s="6">
        <v>439</v>
      </c>
      <c r="B523" s="6">
        <v>18617.766388439497</v>
      </c>
      <c r="C523" s="6">
        <v>-6025.2318884394972</v>
      </c>
      <c r="F523" s="6">
        <v>32.772795216741407</v>
      </c>
      <c r="G523" s="6">
        <v>6184.2993999999999</v>
      </c>
    </row>
    <row r="524" spans="1:7" x14ac:dyDescent="0.2">
      <c r="A524" s="6">
        <v>440</v>
      </c>
      <c r="B524" s="6">
        <v>4597.6594392479692</v>
      </c>
      <c r="C524" s="6">
        <v>-1700.3359392479692</v>
      </c>
      <c r="F524" s="6">
        <v>32.847533632286996</v>
      </c>
      <c r="G524" s="6">
        <v>6185.3208000000004</v>
      </c>
    </row>
    <row r="525" spans="1:7" x14ac:dyDescent="0.2">
      <c r="A525" s="6">
        <v>441</v>
      </c>
      <c r="B525" s="6">
        <v>7231.3870622173199</v>
      </c>
      <c r="C525" s="6">
        <v>-2493.1188622173195</v>
      </c>
      <c r="F525" s="6">
        <v>32.922272047832593</v>
      </c>
      <c r="G525" s="6">
        <v>6186.1270000000004</v>
      </c>
    </row>
    <row r="526" spans="1:7" x14ac:dyDescent="0.2">
      <c r="A526" s="6">
        <v>442</v>
      </c>
      <c r="B526" s="6">
        <v>30789.185304140407</v>
      </c>
      <c r="C526" s="6">
        <v>6290.1866958595965</v>
      </c>
      <c r="F526" s="6">
        <v>32.997010463378182</v>
      </c>
      <c r="G526" s="6">
        <v>6196.4480000000003</v>
      </c>
    </row>
    <row r="527" spans="1:7" x14ac:dyDescent="0.2">
      <c r="A527" s="6">
        <v>443</v>
      </c>
      <c r="B527" s="6">
        <v>6107.2498005243551</v>
      </c>
      <c r="C527" s="6">
        <v>-4957.8539005243547</v>
      </c>
      <c r="F527" s="6">
        <v>33.071748878923771</v>
      </c>
      <c r="G527" s="6">
        <v>6198.7518</v>
      </c>
    </row>
    <row r="528" spans="1:7" x14ac:dyDescent="0.2">
      <c r="A528" s="6">
        <v>444</v>
      </c>
      <c r="B528" s="6">
        <v>15043.809645165511</v>
      </c>
      <c r="C528" s="6">
        <v>13244.088014834488</v>
      </c>
      <c r="F528" s="6">
        <v>33.14648729446936</v>
      </c>
      <c r="G528" s="6">
        <v>6203.90175</v>
      </c>
    </row>
    <row r="529" spans="1:7" x14ac:dyDescent="0.2">
      <c r="A529" s="6">
        <v>445</v>
      </c>
      <c r="B529" s="6">
        <v>35339.943238307853</v>
      </c>
      <c r="C529" s="6">
        <v>-9230.6141883078526</v>
      </c>
      <c r="F529" s="6">
        <v>33.221225710014949</v>
      </c>
      <c r="G529" s="6">
        <v>6238.2979999999998</v>
      </c>
    </row>
    <row r="530" spans="1:7" x14ac:dyDescent="0.2">
      <c r="A530" s="6">
        <v>446</v>
      </c>
      <c r="B530" s="6">
        <v>9887.2496112314257</v>
      </c>
      <c r="C530" s="6">
        <v>-2542.1656112314258</v>
      </c>
      <c r="F530" s="6">
        <v>33.295964125560545</v>
      </c>
      <c r="G530" s="6">
        <v>6250.4350000000004</v>
      </c>
    </row>
    <row r="531" spans="1:7" x14ac:dyDescent="0.2">
      <c r="A531" s="6">
        <v>447</v>
      </c>
      <c r="B531" s="6">
        <v>13395.222181703859</v>
      </c>
      <c r="C531" s="6">
        <v>-664.22258170385976</v>
      </c>
      <c r="F531" s="6">
        <v>33.370702541106134</v>
      </c>
      <c r="G531" s="6">
        <v>6272.4772000000003</v>
      </c>
    </row>
    <row r="532" spans="1:7" x14ac:dyDescent="0.2">
      <c r="A532" s="6">
        <v>448</v>
      </c>
      <c r="B532" s="6">
        <v>10792.765351617682</v>
      </c>
      <c r="C532" s="6">
        <v>661.25614838231922</v>
      </c>
      <c r="F532" s="6">
        <v>33.445440956651723</v>
      </c>
      <c r="G532" s="6">
        <v>6282.2349999999997</v>
      </c>
    </row>
    <row r="533" spans="1:7" x14ac:dyDescent="0.2">
      <c r="A533" s="6">
        <v>449</v>
      </c>
      <c r="B533" s="6">
        <v>7415.7907609067461</v>
      </c>
      <c r="C533" s="6">
        <v>-1504.8467609067457</v>
      </c>
      <c r="F533" s="6">
        <v>33.520179372197312</v>
      </c>
      <c r="G533" s="6">
        <v>6289.7548999999999</v>
      </c>
    </row>
    <row r="534" spans="1:7" x14ac:dyDescent="0.2">
      <c r="A534" s="6">
        <v>450</v>
      </c>
      <c r="B534" s="6">
        <v>9528.43626647159</v>
      </c>
      <c r="C534" s="6">
        <v>-4766.1072664715903</v>
      </c>
      <c r="F534" s="6">
        <v>33.594917787742901</v>
      </c>
      <c r="G534" s="6">
        <v>6311.9520000000002</v>
      </c>
    </row>
    <row r="535" spans="1:7" x14ac:dyDescent="0.2">
      <c r="A535" s="6">
        <v>451</v>
      </c>
      <c r="B535" s="6">
        <v>8929.6222295708194</v>
      </c>
      <c r="C535" s="6">
        <v>-1417.3552295708196</v>
      </c>
      <c r="F535" s="6">
        <v>33.669656203288497</v>
      </c>
      <c r="G535" s="6">
        <v>6313.759</v>
      </c>
    </row>
    <row r="536" spans="1:7" x14ac:dyDescent="0.2">
      <c r="A536" s="6">
        <v>452</v>
      </c>
      <c r="B536" s="6">
        <v>3943.1123219121819</v>
      </c>
      <c r="C536" s="6">
        <v>89.128378087817964</v>
      </c>
      <c r="F536" s="6">
        <v>33.744394618834086</v>
      </c>
      <c r="G536" s="6">
        <v>6334.3435499999996</v>
      </c>
    </row>
    <row r="537" spans="1:7" x14ac:dyDescent="0.2">
      <c r="A537" s="6">
        <v>453</v>
      </c>
      <c r="B537" s="6">
        <v>1071.7753485268627</v>
      </c>
      <c r="C537" s="6">
        <v>897.83865147313736</v>
      </c>
      <c r="F537" s="6">
        <v>33.819133034379675</v>
      </c>
      <c r="G537" s="6">
        <v>6338.0756000000001</v>
      </c>
    </row>
    <row r="538" spans="1:7" x14ac:dyDescent="0.2">
      <c r="A538" s="6">
        <v>454</v>
      </c>
      <c r="B538" s="6">
        <v>2800.2275588783286</v>
      </c>
      <c r="C538" s="6">
        <v>-1030.6959088783287</v>
      </c>
      <c r="F538" s="6">
        <v>33.893871449925264</v>
      </c>
      <c r="G538" s="6">
        <v>6356.2707</v>
      </c>
    </row>
    <row r="539" spans="1:7" x14ac:dyDescent="0.2">
      <c r="A539" s="6">
        <v>455</v>
      </c>
      <c r="B539" s="6">
        <v>11848.200783055652</v>
      </c>
      <c r="C539" s="6">
        <v>-7161.8120830556518</v>
      </c>
      <c r="F539" s="6">
        <v>33.968609865470853</v>
      </c>
      <c r="G539" s="6">
        <v>6358.7764500000003</v>
      </c>
    </row>
    <row r="540" spans="1:7" x14ac:dyDescent="0.2">
      <c r="A540" s="6">
        <v>456</v>
      </c>
      <c r="B540" s="6">
        <v>14810.4560378858</v>
      </c>
      <c r="C540" s="6">
        <v>6986.5443621142003</v>
      </c>
      <c r="F540" s="6">
        <v>34.043348281016449</v>
      </c>
      <c r="G540" s="6">
        <v>6360.9935999999998</v>
      </c>
    </row>
    <row r="541" spans="1:7" x14ac:dyDescent="0.2">
      <c r="A541" s="6">
        <v>457</v>
      </c>
      <c r="B541" s="6">
        <v>12327.830546128091</v>
      </c>
      <c r="C541" s="6">
        <v>-445.86094612809029</v>
      </c>
      <c r="F541" s="6">
        <v>34.118086696562038</v>
      </c>
      <c r="G541" s="6">
        <v>6373.55735</v>
      </c>
    </row>
    <row r="542" spans="1:7" x14ac:dyDescent="0.2">
      <c r="A542" s="6">
        <v>458</v>
      </c>
      <c r="B542" s="6">
        <v>12693.01398689955</v>
      </c>
      <c r="C542" s="6">
        <v>-852.23893689955003</v>
      </c>
      <c r="F542" s="6">
        <v>34.192825112107627</v>
      </c>
      <c r="G542" s="6">
        <v>6389.3778499999999</v>
      </c>
    </row>
    <row r="543" spans="1:7" x14ac:dyDescent="0.2">
      <c r="A543" s="6">
        <v>459</v>
      </c>
      <c r="B543" s="6">
        <v>14786.112578217606</v>
      </c>
      <c r="C543" s="6">
        <v>-4184.7005782176057</v>
      </c>
      <c r="F543" s="6">
        <v>34.267563527653216</v>
      </c>
      <c r="G543" s="6">
        <v>6393.6034499999996</v>
      </c>
    </row>
    <row r="544" spans="1:7" x14ac:dyDescent="0.2">
      <c r="A544" s="6">
        <v>460</v>
      </c>
      <c r="B544" s="6">
        <v>9920.5790805440065</v>
      </c>
      <c r="C544" s="6">
        <v>-2237.9090805440064</v>
      </c>
      <c r="F544" s="6">
        <v>34.342301943198805</v>
      </c>
      <c r="G544" s="6">
        <v>6402.2913500000004</v>
      </c>
    </row>
    <row r="545" spans="1:7" x14ac:dyDescent="0.2">
      <c r="A545" s="6">
        <v>461</v>
      </c>
      <c r="B545" s="6">
        <v>13463.558489987488</v>
      </c>
      <c r="C545" s="6">
        <v>-3082.0797899874888</v>
      </c>
      <c r="F545" s="6">
        <v>34.417040358744401</v>
      </c>
      <c r="G545" s="6">
        <v>6406.4107000000004</v>
      </c>
    </row>
    <row r="546" spans="1:7" x14ac:dyDescent="0.2">
      <c r="A546" s="6">
        <v>462</v>
      </c>
      <c r="B546" s="6">
        <v>31782.401029943489</v>
      </c>
      <c r="C546" s="6">
        <v>-9638.3690299434893</v>
      </c>
      <c r="F546" s="6">
        <v>34.49177877428999</v>
      </c>
      <c r="G546" s="6">
        <v>6414.1779999999999</v>
      </c>
    </row>
    <row r="547" spans="1:7" x14ac:dyDescent="0.2">
      <c r="A547" s="6">
        <v>463</v>
      </c>
      <c r="B547" s="6">
        <v>17859.130986751577</v>
      </c>
      <c r="C547" s="6">
        <v>-2628.8069367515782</v>
      </c>
      <c r="F547" s="6">
        <v>34.566517189835579</v>
      </c>
      <c r="G547" s="6">
        <v>6435.6237000000001</v>
      </c>
    </row>
    <row r="548" spans="1:7" x14ac:dyDescent="0.2">
      <c r="A548" s="6">
        <v>464</v>
      </c>
      <c r="B548" s="6">
        <v>11111.085025926304</v>
      </c>
      <c r="C548" s="6">
        <v>54.332624073695115</v>
      </c>
      <c r="F548" s="6">
        <v>34.641255605381168</v>
      </c>
      <c r="G548" s="6">
        <v>6455.86265</v>
      </c>
    </row>
    <row r="549" spans="1:7" x14ac:dyDescent="0.2">
      <c r="A549" s="6">
        <v>465</v>
      </c>
      <c r="B549" s="6">
        <v>996.64905787555017</v>
      </c>
      <c r="C549" s="6">
        <v>635.38719212444994</v>
      </c>
      <c r="F549" s="6">
        <v>34.715994020926757</v>
      </c>
      <c r="G549" s="6">
        <v>6457.8433999999997</v>
      </c>
    </row>
    <row r="550" spans="1:7" x14ac:dyDescent="0.2">
      <c r="A550" s="6">
        <v>466</v>
      </c>
      <c r="B550" s="6">
        <v>28682.475251102998</v>
      </c>
      <c r="C550" s="6">
        <v>-9160.507051102999</v>
      </c>
      <c r="F550" s="6">
        <v>34.790732436472354</v>
      </c>
      <c r="G550" s="6">
        <v>6474.0129999999999</v>
      </c>
    </row>
    <row r="551" spans="1:7" x14ac:dyDescent="0.2">
      <c r="A551" s="6">
        <v>467</v>
      </c>
      <c r="B551" s="6">
        <v>12723.144248553081</v>
      </c>
      <c r="C551" s="6">
        <v>501.54875144691869</v>
      </c>
      <c r="F551" s="6">
        <v>34.865470852017943</v>
      </c>
      <c r="G551" s="6">
        <v>6496.8860000000004</v>
      </c>
    </row>
    <row r="552" spans="1:7" x14ac:dyDescent="0.2">
      <c r="A552" s="6">
        <v>468</v>
      </c>
      <c r="B552" s="6">
        <v>14514.976957916509</v>
      </c>
      <c r="C552" s="6">
        <v>-1871.5991579165093</v>
      </c>
      <c r="F552" s="6">
        <v>34.940209267563532</v>
      </c>
      <c r="G552" s="6">
        <v>6500.2358999999997</v>
      </c>
    </row>
    <row r="553" spans="1:7" x14ac:dyDescent="0.2">
      <c r="A553" s="6">
        <v>469</v>
      </c>
      <c r="B553" s="6">
        <v>3978.124631843295</v>
      </c>
      <c r="C553" s="6">
        <v>19310.803768156708</v>
      </c>
      <c r="F553" s="6">
        <v>35.014947683109121</v>
      </c>
      <c r="G553" s="6">
        <v>6548.1950500000003</v>
      </c>
    </row>
    <row r="554" spans="1:7" x14ac:dyDescent="0.2">
      <c r="A554" s="6">
        <v>470</v>
      </c>
      <c r="B554" s="6">
        <v>296.52456275150143</v>
      </c>
      <c r="C554" s="6">
        <v>1904.5725372484985</v>
      </c>
      <c r="F554" s="6">
        <v>35.08968609865471</v>
      </c>
      <c r="G554" s="6">
        <v>6551.7501000000002</v>
      </c>
    </row>
    <row r="555" spans="1:7" x14ac:dyDescent="0.2">
      <c r="A555" s="6">
        <v>471</v>
      </c>
      <c r="B555" s="6">
        <v>4911.6966630244015</v>
      </c>
      <c r="C555" s="6">
        <v>-2414.6583630244013</v>
      </c>
      <c r="F555" s="6">
        <v>35.164424514200306</v>
      </c>
      <c r="G555" s="6">
        <v>6555.07035</v>
      </c>
    </row>
    <row r="556" spans="1:7" x14ac:dyDescent="0.2">
      <c r="A556" s="6">
        <v>472</v>
      </c>
      <c r="B556" s="6">
        <v>2899.6866249955001</v>
      </c>
      <c r="C556" s="6">
        <v>-696.21477499550019</v>
      </c>
      <c r="F556" s="6">
        <v>35.239162929745895</v>
      </c>
      <c r="G556" s="6">
        <v>6571.0243499999997</v>
      </c>
    </row>
    <row r="557" spans="1:7" x14ac:dyDescent="0.2">
      <c r="A557" s="6">
        <v>473</v>
      </c>
      <c r="B557" s="6">
        <v>2089.6460483446067</v>
      </c>
      <c r="C557" s="6">
        <v>-345.18104834460678</v>
      </c>
      <c r="F557" s="6">
        <v>35.313901345291484</v>
      </c>
      <c r="G557" s="6">
        <v>6571.5439999999999</v>
      </c>
    </row>
    <row r="558" spans="1:7" x14ac:dyDescent="0.2">
      <c r="A558" s="6">
        <v>474</v>
      </c>
      <c r="B558" s="6">
        <v>11444.115703741605</v>
      </c>
      <c r="C558" s="6">
        <v>9434.6687262583946</v>
      </c>
      <c r="F558" s="6">
        <v>35.388639760837073</v>
      </c>
      <c r="G558" s="6">
        <v>6593.5083000000004</v>
      </c>
    </row>
    <row r="559" spans="1:7" x14ac:dyDescent="0.2">
      <c r="A559" s="6">
        <v>475</v>
      </c>
      <c r="B559" s="6">
        <v>34629.130973145948</v>
      </c>
      <c r="C559" s="6">
        <v>-9246.8339731459491</v>
      </c>
      <c r="F559" s="6">
        <v>35.463378176382662</v>
      </c>
      <c r="G559" s="6">
        <v>6600.2059499999996</v>
      </c>
    </row>
    <row r="560" spans="1:7" x14ac:dyDescent="0.2">
      <c r="A560" s="6">
        <v>476</v>
      </c>
      <c r="B560" s="6">
        <v>37172.0224285761</v>
      </c>
      <c r="C560" s="6">
        <v>-8303.3585285761001</v>
      </c>
      <c r="F560" s="6">
        <v>35.538116591928258</v>
      </c>
      <c r="G560" s="6">
        <v>6600.3609999999999</v>
      </c>
    </row>
    <row r="561" spans="1:7" x14ac:dyDescent="0.2">
      <c r="A561" s="6">
        <v>477</v>
      </c>
      <c r="B561" s="6">
        <v>27610.247495155796</v>
      </c>
      <c r="C561" s="6">
        <v>7537.2809848442048</v>
      </c>
      <c r="F561" s="6">
        <v>35.612855007473847</v>
      </c>
      <c r="G561" s="6">
        <v>6610.1097</v>
      </c>
    </row>
    <row r="562" spans="1:7" x14ac:dyDescent="0.2">
      <c r="A562" s="6">
        <v>478</v>
      </c>
      <c r="B562" s="6">
        <v>6082.3587633329171</v>
      </c>
      <c r="C562" s="6">
        <v>-3547.9650133329169</v>
      </c>
      <c r="F562" s="6">
        <v>35.687593423019436</v>
      </c>
      <c r="G562" s="6">
        <v>6640.5448500000002</v>
      </c>
    </row>
    <row r="563" spans="1:7" x14ac:dyDescent="0.2">
      <c r="A563" s="6">
        <v>479</v>
      </c>
      <c r="B563" s="6">
        <v>4788.3871838936266</v>
      </c>
      <c r="C563" s="6">
        <v>-3254.0826838936264</v>
      </c>
      <c r="F563" s="6">
        <v>35.762331838565025</v>
      </c>
      <c r="G563" s="6">
        <v>6652.5288</v>
      </c>
    </row>
    <row r="564" spans="1:7" x14ac:dyDescent="0.2">
      <c r="A564" s="6">
        <v>480</v>
      </c>
      <c r="B564" s="6">
        <v>3846.9599729778174</v>
      </c>
      <c r="C564" s="6">
        <v>-2022.6745729778174</v>
      </c>
      <c r="F564" s="6">
        <v>35.837070254110614</v>
      </c>
      <c r="G564" s="6">
        <v>6653.7885999999999</v>
      </c>
    </row>
    <row r="565" spans="1:7" x14ac:dyDescent="0.2">
      <c r="A565" s="6">
        <v>481</v>
      </c>
      <c r="B565" s="6">
        <v>19202.804480781328</v>
      </c>
      <c r="C565" s="6">
        <v>-3647.6157307813282</v>
      </c>
      <c r="F565" s="6">
        <v>35.91180866965621</v>
      </c>
      <c r="G565" s="6">
        <v>6664.68595</v>
      </c>
    </row>
    <row r="566" spans="1:7" x14ac:dyDescent="0.2">
      <c r="A566" s="6">
        <v>482</v>
      </c>
      <c r="B566" s="6">
        <v>13155.233824620786</v>
      </c>
      <c r="C566" s="6">
        <v>-3850.5319246207855</v>
      </c>
      <c r="F566" s="6">
        <v>35.986547085201799</v>
      </c>
      <c r="G566" s="6">
        <v>6666.2430000000004</v>
      </c>
    </row>
    <row r="567" spans="1:7" x14ac:dyDescent="0.2">
      <c r="A567" s="6">
        <v>483</v>
      </c>
      <c r="B567" s="6">
        <v>2283.5684908170679</v>
      </c>
      <c r="C567" s="6">
        <v>-661.37999081706789</v>
      </c>
      <c r="F567" s="6">
        <v>36.061285500747388</v>
      </c>
      <c r="G567" s="6">
        <v>6686.4313000000002</v>
      </c>
    </row>
    <row r="568" spans="1:7" x14ac:dyDescent="0.2">
      <c r="A568" s="6">
        <v>484</v>
      </c>
      <c r="B568" s="6">
        <v>14074.726374714022</v>
      </c>
      <c r="C568" s="6">
        <v>-4194.658374714023</v>
      </c>
      <c r="F568" s="6">
        <v>36.136023916292977</v>
      </c>
      <c r="G568" s="6">
        <v>6710.1918999999998</v>
      </c>
    </row>
    <row r="569" spans="1:7" x14ac:dyDescent="0.2">
      <c r="A569" s="6">
        <v>485</v>
      </c>
      <c r="B569" s="6">
        <v>12360.038089228767</v>
      </c>
      <c r="C569" s="6">
        <v>-2797.0090892287662</v>
      </c>
      <c r="F569" s="6">
        <v>36.210762331838566</v>
      </c>
      <c r="G569" s="6">
        <v>6746.7425000000003</v>
      </c>
    </row>
    <row r="570" spans="1:7" x14ac:dyDescent="0.2">
      <c r="A570" s="6">
        <v>486</v>
      </c>
      <c r="B570" s="6">
        <v>6561.0529889113222</v>
      </c>
      <c r="C570" s="6">
        <v>-2214.0296389113219</v>
      </c>
      <c r="F570" s="6">
        <v>36.285500747384162</v>
      </c>
      <c r="G570" s="6">
        <v>6748.5911999999998</v>
      </c>
    </row>
    <row r="571" spans="1:7" x14ac:dyDescent="0.2">
      <c r="A571" s="6">
        <v>487</v>
      </c>
      <c r="B571" s="6">
        <v>10287.725645897071</v>
      </c>
      <c r="C571" s="6">
        <v>2187.6256541029288</v>
      </c>
      <c r="F571" s="6">
        <v>36.360239162929751</v>
      </c>
      <c r="G571" s="6">
        <v>6753.0379999999996</v>
      </c>
    </row>
    <row r="572" spans="1:7" x14ac:dyDescent="0.2">
      <c r="A572" s="6">
        <v>488</v>
      </c>
      <c r="B572" s="6">
        <v>1585.2188899775751</v>
      </c>
      <c r="C572" s="6">
        <v>-331.28288997757522</v>
      </c>
      <c r="F572" s="6">
        <v>36.43497757847534</v>
      </c>
      <c r="G572" s="6">
        <v>6770.1925000000001</v>
      </c>
    </row>
    <row r="573" spans="1:7" x14ac:dyDescent="0.2">
      <c r="A573" s="6">
        <v>489</v>
      </c>
      <c r="B573" s="6">
        <v>35086.356272429672</v>
      </c>
      <c r="C573" s="6">
        <v>13798.779337570326</v>
      </c>
      <c r="F573" s="6">
        <v>36.509715994020929</v>
      </c>
      <c r="G573" s="6">
        <v>6775.9610000000002</v>
      </c>
    </row>
    <row r="574" spans="1:7" x14ac:dyDescent="0.2">
      <c r="A574" s="6">
        <v>490</v>
      </c>
      <c r="B574" s="6">
        <v>12235.338409155389</v>
      </c>
      <c r="C574" s="6">
        <v>-1773.3590091553888</v>
      </c>
      <c r="F574" s="6">
        <v>36.584454409566519</v>
      </c>
      <c r="G574" s="6">
        <v>6781.3541999999998</v>
      </c>
    </row>
    <row r="575" spans="1:7" x14ac:dyDescent="0.2">
      <c r="A575" s="6">
        <v>491</v>
      </c>
      <c r="B575" s="6">
        <v>3141.1457545382113</v>
      </c>
      <c r="C575" s="6">
        <v>-1392.3717545382115</v>
      </c>
      <c r="F575" s="6">
        <v>36.659192825112115</v>
      </c>
      <c r="G575" s="6">
        <v>6796.8632500000003</v>
      </c>
    </row>
    <row r="576" spans="1:7" x14ac:dyDescent="0.2">
      <c r="A576" s="6">
        <v>492</v>
      </c>
      <c r="B576" s="6">
        <v>11201.648695783064</v>
      </c>
      <c r="C576" s="6">
        <v>13311.442564216937</v>
      </c>
      <c r="F576" s="6">
        <v>36.733931240657704</v>
      </c>
      <c r="G576" s="6">
        <v>6799.4579999999996</v>
      </c>
    </row>
    <row r="577" spans="1:7" x14ac:dyDescent="0.2">
      <c r="A577" s="6">
        <v>493</v>
      </c>
      <c r="B577" s="6">
        <v>1191.8475860649214</v>
      </c>
      <c r="C577" s="6">
        <v>1004.6256139350785</v>
      </c>
      <c r="F577" s="6">
        <v>36.808669656203293</v>
      </c>
      <c r="G577" s="6">
        <v>6837.3687</v>
      </c>
    </row>
    <row r="578" spans="1:7" x14ac:dyDescent="0.2">
      <c r="A578" s="6">
        <v>494</v>
      </c>
      <c r="B578" s="6">
        <v>17359.329464625538</v>
      </c>
      <c r="C578" s="6">
        <v>-4785.2804646255372</v>
      </c>
      <c r="F578" s="6">
        <v>36.883408071748882</v>
      </c>
      <c r="G578" s="6">
        <v>6849.0259999999998</v>
      </c>
    </row>
    <row r="579" spans="1:7" x14ac:dyDescent="0.2">
      <c r="A579" s="6">
        <v>495</v>
      </c>
      <c r="B579" s="6">
        <v>26831.887956729101</v>
      </c>
      <c r="C579" s="6">
        <v>-8889.7819567291008</v>
      </c>
      <c r="F579" s="6">
        <v>36.958146487294471</v>
      </c>
      <c r="G579" s="6">
        <v>6858.4795999999997</v>
      </c>
    </row>
    <row r="580" spans="1:7" x14ac:dyDescent="0.2">
      <c r="A580" s="6">
        <v>496</v>
      </c>
      <c r="B580" s="6">
        <v>2540.9472745354033</v>
      </c>
      <c r="C580" s="6">
        <v>-573.92457453540328</v>
      </c>
      <c r="F580" s="6">
        <v>37.032884902840067</v>
      </c>
      <c r="G580" s="6">
        <v>6875.9610000000002</v>
      </c>
    </row>
    <row r="581" spans="1:7" x14ac:dyDescent="0.2">
      <c r="A581" s="6">
        <v>497</v>
      </c>
      <c r="B581" s="6">
        <v>4019.9239567038389</v>
      </c>
      <c r="C581" s="6">
        <v>911.72304329616099</v>
      </c>
      <c r="F581" s="6">
        <v>37.107623318385656</v>
      </c>
      <c r="G581" s="6">
        <v>6877.9800999999998</v>
      </c>
    </row>
    <row r="582" spans="1:7" x14ac:dyDescent="0.2">
      <c r="A582" s="6">
        <v>498</v>
      </c>
      <c r="B582" s="6">
        <v>9214.4851462468851</v>
      </c>
      <c r="C582" s="6">
        <v>-1186.5171462468852</v>
      </c>
      <c r="F582" s="6">
        <v>37.182361733931245</v>
      </c>
      <c r="G582" s="6">
        <v>6933.2422500000002</v>
      </c>
    </row>
    <row r="583" spans="1:7" x14ac:dyDescent="0.2">
      <c r="A583" s="6">
        <v>499</v>
      </c>
      <c r="B583" s="6">
        <v>7412.9789939744878</v>
      </c>
      <c r="C583" s="6">
        <v>798.12120602551295</v>
      </c>
      <c r="F583" s="6">
        <v>37.257100149476834</v>
      </c>
      <c r="G583" s="6">
        <v>6940.90985</v>
      </c>
    </row>
    <row r="584" spans="1:7" x14ac:dyDescent="0.2">
      <c r="A584" s="6">
        <v>500</v>
      </c>
      <c r="B584" s="6">
        <v>16322.887671392466</v>
      </c>
      <c r="C584" s="6">
        <v>-2852.027671392465</v>
      </c>
      <c r="F584" s="6">
        <v>37.331838565022423</v>
      </c>
      <c r="G584" s="6">
        <v>6948.7007999999996</v>
      </c>
    </row>
    <row r="585" spans="1:7" x14ac:dyDescent="0.2">
      <c r="A585" s="6">
        <v>501</v>
      </c>
      <c r="B585" s="6">
        <v>29935.719642845663</v>
      </c>
      <c r="C585" s="6">
        <v>6261.9793571543378</v>
      </c>
      <c r="F585" s="6">
        <v>37.406576980568019</v>
      </c>
      <c r="G585" s="6">
        <v>6985.50695</v>
      </c>
    </row>
    <row r="586" spans="1:7" x14ac:dyDescent="0.2">
      <c r="A586" s="6">
        <v>502</v>
      </c>
      <c r="B586" s="6">
        <v>7804.1758210338121</v>
      </c>
      <c r="C586" s="6">
        <v>-966.80712103381211</v>
      </c>
      <c r="F586" s="6">
        <v>37.481315396113608</v>
      </c>
      <c r="G586" s="6">
        <v>6986.6970000000001</v>
      </c>
    </row>
    <row r="587" spans="1:7" x14ac:dyDescent="0.2">
      <c r="A587" s="6">
        <v>503</v>
      </c>
      <c r="B587" s="6">
        <v>32191.514139824154</v>
      </c>
      <c r="C587" s="6">
        <v>-9973.3992398241535</v>
      </c>
      <c r="F587" s="6">
        <v>37.556053811659197</v>
      </c>
      <c r="G587" s="6">
        <v>7045.4989999999998</v>
      </c>
    </row>
    <row r="588" spans="1:7" x14ac:dyDescent="0.2">
      <c r="A588" s="6">
        <v>504</v>
      </c>
      <c r="B588" s="6">
        <v>25884.532226900203</v>
      </c>
      <c r="C588" s="6">
        <v>6663.8082730997958</v>
      </c>
      <c r="F588" s="6">
        <v>37.630792227204786</v>
      </c>
      <c r="G588" s="6">
        <v>7046.7222000000002</v>
      </c>
    </row>
    <row r="589" spans="1:7" x14ac:dyDescent="0.2">
      <c r="A589" s="6">
        <v>505</v>
      </c>
      <c r="B589" s="6">
        <v>7075.3479289749266</v>
      </c>
      <c r="C589" s="6">
        <v>-1100.963228974927</v>
      </c>
      <c r="F589" s="6">
        <v>37.705530642750375</v>
      </c>
      <c r="G589" s="6">
        <v>7050.0213000000003</v>
      </c>
    </row>
    <row r="590" spans="1:7" x14ac:dyDescent="0.2">
      <c r="A590" s="6">
        <v>506</v>
      </c>
      <c r="B590" s="6">
        <v>8979.9677245769981</v>
      </c>
      <c r="C590" s="6">
        <v>-2183.1044745769977</v>
      </c>
      <c r="F590" s="6">
        <v>37.780269058295971</v>
      </c>
      <c r="G590" s="6">
        <v>7050.6419999999998</v>
      </c>
    </row>
    <row r="591" spans="1:7" x14ac:dyDescent="0.2">
      <c r="A591" s="6">
        <v>507</v>
      </c>
      <c r="B591" s="6">
        <v>4337.2382366836637</v>
      </c>
      <c r="C591" s="6">
        <v>-1693.9697366836635</v>
      </c>
      <c r="F591" s="6">
        <v>37.85500747384156</v>
      </c>
      <c r="G591" s="6">
        <v>7077.1894000000002</v>
      </c>
    </row>
    <row r="592" spans="1:7" x14ac:dyDescent="0.2">
      <c r="A592" s="6">
        <v>508</v>
      </c>
      <c r="B592" s="6">
        <v>1978.0121818530647</v>
      </c>
      <c r="C592" s="6">
        <v>1099.0833181469352</v>
      </c>
      <c r="F592" s="6">
        <v>37.929745889387149</v>
      </c>
      <c r="G592" s="6">
        <v>7133.9025000000001</v>
      </c>
    </row>
    <row r="593" spans="1:7" x14ac:dyDescent="0.2">
      <c r="A593" s="6">
        <v>509</v>
      </c>
      <c r="B593" s="6">
        <v>2797.4324574750699</v>
      </c>
      <c r="C593" s="6">
        <v>246.78084252492999</v>
      </c>
      <c r="F593" s="6">
        <v>38.004484304932738</v>
      </c>
      <c r="G593" s="6">
        <v>7144.86265</v>
      </c>
    </row>
    <row r="594" spans="1:7" x14ac:dyDescent="0.2">
      <c r="A594" s="6">
        <v>510</v>
      </c>
      <c r="B594" s="6">
        <v>11477.074645791905</v>
      </c>
      <c r="C594" s="6">
        <v>-21.794645791904259</v>
      </c>
      <c r="F594" s="6">
        <v>38.079222720478327</v>
      </c>
      <c r="G594" s="6">
        <v>7147.1049999999996</v>
      </c>
    </row>
    <row r="595" spans="1:7" x14ac:dyDescent="0.2">
      <c r="A595" s="6">
        <v>511</v>
      </c>
      <c r="B595" s="6">
        <v>13681.105147122375</v>
      </c>
      <c r="C595" s="6">
        <v>-1918.1042471223755</v>
      </c>
      <c r="F595" s="6">
        <v>38.153961136023923</v>
      </c>
      <c r="G595" s="6">
        <v>7147.4727999999996</v>
      </c>
    </row>
    <row r="596" spans="1:7" x14ac:dyDescent="0.2">
      <c r="A596" s="6">
        <v>512</v>
      </c>
      <c r="B596" s="6">
        <v>5247.4981820991316</v>
      </c>
      <c r="C596" s="6">
        <v>-2749.0837820991314</v>
      </c>
      <c r="F596" s="6">
        <v>38.228699551569512</v>
      </c>
      <c r="G596" s="6">
        <v>7151.0919999999996</v>
      </c>
    </row>
    <row r="597" spans="1:7" x14ac:dyDescent="0.2">
      <c r="A597" s="6">
        <v>513</v>
      </c>
      <c r="B597" s="6">
        <v>8634.5382737974633</v>
      </c>
      <c r="C597" s="6">
        <v>726.78852620253747</v>
      </c>
      <c r="F597" s="6">
        <v>38.303437967115102</v>
      </c>
      <c r="G597" s="6">
        <v>7152.6714000000002</v>
      </c>
    </row>
    <row r="598" spans="1:7" x14ac:dyDescent="0.2">
      <c r="A598" s="6">
        <v>514</v>
      </c>
      <c r="B598" s="6">
        <v>2161.8477611160029</v>
      </c>
      <c r="C598" s="6">
        <v>-905.54876111600288</v>
      </c>
      <c r="F598" s="6">
        <v>38.378176382660691</v>
      </c>
      <c r="G598" s="6">
        <v>7153.5538999999999</v>
      </c>
    </row>
    <row r="599" spans="1:7" x14ac:dyDescent="0.2">
      <c r="A599" s="6">
        <v>515</v>
      </c>
      <c r="B599" s="6">
        <v>30910.70364634215</v>
      </c>
      <c r="C599" s="6">
        <v>-9828.5436463421502</v>
      </c>
      <c r="F599" s="6">
        <v>38.45291479820628</v>
      </c>
      <c r="G599" s="6">
        <v>7160.0940000000001</v>
      </c>
    </row>
    <row r="600" spans="1:7" x14ac:dyDescent="0.2">
      <c r="A600" s="6">
        <v>516</v>
      </c>
      <c r="B600" s="6">
        <v>13976.970814210026</v>
      </c>
      <c r="C600" s="6">
        <v>-2614.215814210027</v>
      </c>
      <c r="F600" s="6">
        <v>38.527653213751876</v>
      </c>
      <c r="G600" s="6">
        <v>7160.3302999999996</v>
      </c>
    </row>
    <row r="601" spans="1:7" x14ac:dyDescent="0.2">
      <c r="A601" s="6">
        <v>517</v>
      </c>
      <c r="B601" s="6">
        <v>4484.6734579447166</v>
      </c>
      <c r="C601" s="6">
        <v>23239.615292055285</v>
      </c>
      <c r="F601" s="6">
        <v>38.602391629297465</v>
      </c>
      <c r="G601" s="6">
        <v>7162.0122000000001</v>
      </c>
    </row>
    <row r="602" spans="1:7" x14ac:dyDescent="0.2">
      <c r="A602" s="6">
        <v>518</v>
      </c>
      <c r="B602" s="6">
        <v>10430.42448735453</v>
      </c>
      <c r="C602" s="6">
        <v>-2016.9614373545301</v>
      </c>
      <c r="F602" s="6">
        <v>38.677130044843054</v>
      </c>
      <c r="G602" s="6">
        <v>7173.35995</v>
      </c>
    </row>
    <row r="603" spans="1:7" x14ac:dyDescent="0.2">
      <c r="A603" s="6">
        <v>519</v>
      </c>
      <c r="B603" s="6">
        <v>7081.8803784243137</v>
      </c>
      <c r="C603" s="6">
        <v>-1841.1153784243133</v>
      </c>
      <c r="F603" s="6">
        <v>38.751868460388643</v>
      </c>
      <c r="G603" s="6">
        <v>7196.8670000000002</v>
      </c>
    </row>
    <row r="604" spans="1:7" x14ac:dyDescent="0.2">
      <c r="A604" s="6">
        <v>520</v>
      </c>
      <c r="B604" s="6">
        <v>6365.2918733301549</v>
      </c>
      <c r="C604" s="6">
        <v>-2507.5326233301548</v>
      </c>
      <c r="F604" s="6">
        <v>38.826606875934232</v>
      </c>
      <c r="G604" s="6">
        <v>7201.7008500000002</v>
      </c>
    </row>
    <row r="605" spans="1:7" x14ac:dyDescent="0.2">
      <c r="A605" s="6">
        <v>521</v>
      </c>
      <c r="B605" s="6">
        <v>10184.611941492771</v>
      </c>
      <c r="C605" s="6">
        <v>15471.963318507231</v>
      </c>
      <c r="F605" s="6">
        <v>38.901345291479828</v>
      </c>
      <c r="G605" s="6">
        <v>7209.4917999999998</v>
      </c>
    </row>
    <row r="606" spans="1:7" x14ac:dyDescent="0.2">
      <c r="A606" s="6">
        <v>522</v>
      </c>
      <c r="B606" s="6">
        <v>10244.977174311451</v>
      </c>
      <c r="C606" s="6">
        <v>-6250.7993743114512</v>
      </c>
      <c r="F606" s="6">
        <v>38.976083707025417</v>
      </c>
      <c r="G606" s="6">
        <v>7222.7862500000001</v>
      </c>
    </row>
    <row r="607" spans="1:7" x14ac:dyDescent="0.2">
      <c r="A607" s="6">
        <v>523</v>
      </c>
      <c r="B607" s="6">
        <v>12664.881382449177</v>
      </c>
      <c r="C607" s="6">
        <v>-2798.5765324491767</v>
      </c>
      <c r="F607" s="6">
        <v>39.050822122571006</v>
      </c>
      <c r="G607" s="6">
        <v>7228.2156500000001</v>
      </c>
    </row>
    <row r="608" spans="1:7" x14ac:dyDescent="0.2">
      <c r="A608" s="6">
        <v>524</v>
      </c>
      <c r="B608" s="6">
        <v>9584.7497756011871</v>
      </c>
      <c r="C608" s="6">
        <v>-4187.1330756011876</v>
      </c>
      <c r="F608" s="6">
        <v>39.125560538116595</v>
      </c>
      <c r="G608" s="6">
        <v>7243.8136000000004</v>
      </c>
    </row>
    <row r="609" spans="1:7" x14ac:dyDescent="0.2">
      <c r="A609" s="6">
        <v>525</v>
      </c>
      <c r="B609" s="6">
        <v>30849.900244315028</v>
      </c>
      <c r="C609" s="6">
        <v>7395.6930256849701</v>
      </c>
      <c r="F609" s="6">
        <v>39.200298953662184</v>
      </c>
      <c r="G609" s="6">
        <v>7256.7231000000002</v>
      </c>
    </row>
    <row r="610" spans="1:7" x14ac:dyDescent="0.2">
      <c r="A610" s="6">
        <v>526</v>
      </c>
      <c r="B610" s="6">
        <v>3141.7279284524939</v>
      </c>
      <c r="C610" s="6">
        <v>8340.9069215475065</v>
      </c>
      <c r="F610" s="6">
        <v>39.27503736920778</v>
      </c>
      <c r="G610" s="6">
        <v>7261.741</v>
      </c>
    </row>
    <row r="611" spans="1:7" x14ac:dyDescent="0.2">
      <c r="A611" s="6">
        <v>527</v>
      </c>
      <c r="B611" s="6">
        <v>3915.6970588716217</v>
      </c>
      <c r="C611" s="6">
        <v>20143.983131128378</v>
      </c>
      <c r="F611" s="6">
        <v>39.349775784753369</v>
      </c>
      <c r="G611" s="6">
        <v>7265.7025000000003</v>
      </c>
    </row>
    <row r="612" spans="1:7" x14ac:dyDescent="0.2">
      <c r="A612" s="6">
        <v>528</v>
      </c>
      <c r="B612" s="6">
        <v>9427.7760602455146</v>
      </c>
      <c r="C612" s="6">
        <v>433.24893975448504</v>
      </c>
      <c r="F612" s="6">
        <v>39.424514200298958</v>
      </c>
      <c r="G612" s="6">
        <v>7281.5056000000004</v>
      </c>
    </row>
    <row r="613" spans="1:7" x14ac:dyDescent="0.2">
      <c r="A613" s="6">
        <v>529</v>
      </c>
      <c r="B613" s="6">
        <v>13593.74173491219</v>
      </c>
      <c r="C613" s="6">
        <v>-5250.8329849121892</v>
      </c>
      <c r="F613" s="6">
        <v>39.499252615844547</v>
      </c>
      <c r="G613" s="6">
        <v>7323.7348190000002</v>
      </c>
    </row>
    <row r="614" spans="1:7" x14ac:dyDescent="0.2">
      <c r="A614" s="6">
        <v>530</v>
      </c>
      <c r="B614" s="6">
        <v>1189.4267390419345</v>
      </c>
      <c r="C614" s="6">
        <v>518.57466095806558</v>
      </c>
      <c r="F614" s="6">
        <v>39.573991031390136</v>
      </c>
      <c r="G614" s="6">
        <v>7325.0482000000002</v>
      </c>
    </row>
    <row r="615" spans="1:7" x14ac:dyDescent="0.2">
      <c r="A615" s="6">
        <v>531</v>
      </c>
      <c r="B615" s="6">
        <v>40150.192397365347</v>
      </c>
      <c r="C615" s="6">
        <v>8525.3253026346501</v>
      </c>
      <c r="F615" s="6">
        <v>39.648729446935732</v>
      </c>
      <c r="G615" s="6">
        <v>7337.7479999999996</v>
      </c>
    </row>
    <row r="616" spans="1:7" x14ac:dyDescent="0.2">
      <c r="A616" s="6">
        <v>532</v>
      </c>
      <c r="B616" s="6">
        <v>14749.163564220318</v>
      </c>
      <c r="C616" s="6">
        <v>-705.68686422031897</v>
      </c>
      <c r="F616" s="6">
        <v>39.723467862481321</v>
      </c>
      <c r="G616" s="6">
        <v>7345.0839999999998</v>
      </c>
    </row>
    <row r="617" spans="1:7" x14ac:dyDescent="0.2">
      <c r="A617" s="6">
        <v>533</v>
      </c>
      <c r="B617" s="6">
        <v>13074.696477293604</v>
      </c>
      <c r="C617" s="6">
        <v>-148.81047729360398</v>
      </c>
      <c r="F617" s="6">
        <v>39.79820627802691</v>
      </c>
      <c r="G617" s="6">
        <v>7345.7266</v>
      </c>
    </row>
    <row r="618" spans="1:7" x14ac:dyDescent="0.2">
      <c r="A618" s="6">
        <v>534</v>
      </c>
      <c r="B618" s="6">
        <v>8674.2211451080366</v>
      </c>
      <c r="C618" s="6">
        <v>10540.484384891963</v>
      </c>
      <c r="F618" s="6">
        <v>39.872944693572499</v>
      </c>
      <c r="G618" s="6">
        <v>7348.1419999999998</v>
      </c>
    </row>
    <row r="619" spans="1:7" x14ac:dyDescent="0.2">
      <c r="A619" s="6">
        <v>535</v>
      </c>
      <c r="B619" s="6">
        <v>17064.482579606934</v>
      </c>
      <c r="C619" s="6">
        <v>-3233.3673796069343</v>
      </c>
      <c r="F619" s="6">
        <v>39.947683109118088</v>
      </c>
      <c r="G619" s="6">
        <v>7358.1756500000001</v>
      </c>
    </row>
    <row r="620" spans="1:7" x14ac:dyDescent="0.2">
      <c r="A620" s="6">
        <v>536</v>
      </c>
      <c r="B620" s="6">
        <v>7672.0855434498299</v>
      </c>
      <c r="C620" s="6">
        <v>-1604.9587934498295</v>
      </c>
      <c r="F620" s="6">
        <v>40.022421524663685</v>
      </c>
      <c r="G620" s="6">
        <v>7371.7719999999999</v>
      </c>
    </row>
    <row r="621" spans="1:7" x14ac:dyDescent="0.2">
      <c r="A621" s="6">
        <v>537</v>
      </c>
      <c r="B621" s="6">
        <v>10198.797047173521</v>
      </c>
      <c r="C621" s="6">
        <v>-4226.419047173521</v>
      </c>
      <c r="F621" s="6">
        <v>40.097159940209274</v>
      </c>
      <c r="G621" s="6">
        <v>7418.5219999999999</v>
      </c>
    </row>
    <row r="622" spans="1:7" x14ac:dyDescent="0.2">
      <c r="A622" s="6">
        <v>538</v>
      </c>
      <c r="B622" s="6">
        <v>10111.446038595603</v>
      </c>
      <c r="C622" s="6">
        <v>-1286.3600385956033</v>
      </c>
      <c r="F622" s="6">
        <v>40.171898355754863</v>
      </c>
      <c r="G622" s="6">
        <v>7419.4778999999999</v>
      </c>
    </row>
    <row r="623" spans="1:7" x14ac:dyDescent="0.2">
      <c r="A623" s="6">
        <v>539</v>
      </c>
      <c r="B623" s="6">
        <v>8831.7085100961722</v>
      </c>
      <c r="C623" s="6">
        <v>-598.61101009617232</v>
      </c>
      <c r="F623" s="6">
        <v>40.246636771300452</v>
      </c>
      <c r="G623" s="6">
        <v>7421.1945500000002</v>
      </c>
    </row>
    <row r="624" spans="1:7" x14ac:dyDescent="0.2">
      <c r="A624" s="6">
        <v>540</v>
      </c>
      <c r="B624" s="6">
        <v>11142.226470229138</v>
      </c>
      <c r="C624" s="6">
        <v>16203.815599770862</v>
      </c>
      <c r="F624" s="6">
        <v>40.321375186846041</v>
      </c>
      <c r="G624" s="6">
        <v>7441.0529999999999</v>
      </c>
    </row>
    <row r="625" spans="1:7" x14ac:dyDescent="0.2">
      <c r="A625" s="6">
        <v>541</v>
      </c>
      <c r="B625" s="6">
        <v>10150.379291461113</v>
      </c>
      <c r="C625" s="6">
        <v>-3953.9312914611128</v>
      </c>
      <c r="F625" s="6">
        <v>40.396113602391637</v>
      </c>
      <c r="G625" s="6">
        <v>7441.5010000000002</v>
      </c>
    </row>
    <row r="626" spans="1:7" x14ac:dyDescent="0.2">
      <c r="A626" s="6">
        <v>542</v>
      </c>
      <c r="B626" s="6">
        <v>3897.5274057787983</v>
      </c>
      <c r="C626" s="6">
        <v>-841.13930577879819</v>
      </c>
      <c r="F626" s="6">
        <v>40.470852017937226</v>
      </c>
      <c r="G626" s="6">
        <v>7443.6430499999997</v>
      </c>
    </row>
    <row r="627" spans="1:7" x14ac:dyDescent="0.2">
      <c r="A627" s="6">
        <v>543</v>
      </c>
      <c r="B627" s="6">
        <v>15521.111950371384</v>
      </c>
      <c r="C627" s="6">
        <v>-1633.9079503713838</v>
      </c>
      <c r="F627" s="6">
        <v>40.545590433482815</v>
      </c>
      <c r="G627" s="6">
        <v>7445.9179999999997</v>
      </c>
    </row>
    <row r="628" spans="1:7" x14ac:dyDescent="0.2">
      <c r="A628" s="6">
        <v>544</v>
      </c>
      <c r="B628" s="6">
        <v>40826.378589064509</v>
      </c>
      <c r="C628" s="6">
        <v>22944.049420935495</v>
      </c>
      <c r="F628" s="6">
        <v>40.620328849028404</v>
      </c>
      <c r="G628" s="6">
        <v>7448.4039499999999</v>
      </c>
    </row>
    <row r="629" spans="1:7" x14ac:dyDescent="0.2">
      <c r="A629" s="6">
        <v>545</v>
      </c>
      <c r="B629" s="6">
        <v>11694.460435613308</v>
      </c>
      <c r="C629" s="6">
        <v>-1462.960535613307</v>
      </c>
      <c r="F629" s="6">
        <v>40.695067264573993</v>
      </c>
      <c r="G629" s="6">
        <v>7512.2669999999998</v>
      </c>
    </row>
    <row r="630" spans="1:7" x14ac:dyDescent="0.2">
      <c r="A630" s="6">
        <v>546</v>
      </c>
      <c r="B630" s="6">
        <v>33727.438912858284</v>
      </c>
      <c r="C630" s="6">
        <v>-9920.1983128582833</v>
      </c>
      <c r="F630" s="6">
        <v>40.769805680119589</v>
      </c>
      <c r="G630" s="6">
        <v>7518.0253499999999</v>
      </c>
    </row>
    <row r="631" spans="1:7" x14ac:dyDescent="0.2">
      <c r="A631" s="6">
        <v>547</v>
      </c>
      <c r="B631" s="6">
        <v>7141.4449641835445</v>
      </c>
      <c r="C631" s="6">
        <v>-3872.5983141835445</v>
      </c>
      <c r="F631" s="6">
        <v>40.844544095665178</v>
      </c>
      <c r="G631" s="6">
        <v>7526.7064499999997</v>
      </c>
    </row>
    <row r="632" spans="1:7" x14ac:dyDescent="0.2">
      <c r="A632" s="6">
        <v>548</v>
      </c>
      <c r="B632" s="6">
        <v>17762.988843473246</v>
      </c>
      <c r="C632" s="6">
        <v>-6224.5678434732454</v>
      </c>
      <c r="F632" s="6">
        <v>40.919282511210767</v>
      </c>
      <c r="G632" s="6">
        <v>7537.1638999999996</v>
      </c>
    </row>
    <row r="633" spans="1:7" x14ac:dyDescent="0.2">
      <c r="A633" s="6">
        <v>549</v>
      </c>
      <c r="B633" s="6">
        <v>4182.1070432684601</v>
      </c>
      <c r="C633" s="6">
        <v>-968.48499326846013</v>
      </c>
      <c r="F633" s="6">
        <v>40.994020926756356</v>
      </c>
      <c r="G633" s="6">
        <v>7623.518</v>
      </c>
    </row>
    <row r="634" spans="1:7" x14ac:dyDescent="0.2">
      <c r="A634" s="6">
        <v>550</v>
      </c>
      <c r="B634" s="6">
        <v>37590.534632284565</v>
      </c>
      <c r="C634" s="6">
        <v>8272.6703677154364</v>
      </c>
      <c r="F634" s="6">
        <v>41.068759342301945</v>
      </c>
      <c r="G634" s="6">
        <v>7624.63</v>
      </c>
    </row>
    <row r="635" spans="1:7" x14ac:dyDescent="0.2">
      <c r="A635" s="6">
        <v>551</v>
      </c>
      <c r="B635" s="6">
        <v>13599.204654203648</v>
      </c>
      <c r="C635" s="6">
        <v>-208.64565420364852</v>
      </c>
      <c r="F635" s="6">
        <v>41.143497757847541</v>
      </c>
      <c r="G635" s="6">
        <v>7626.9930000000004</v>
      </c>
    </row>
    <row r="636" spans="1:7" x14ac:dyDescent="0.2">
      <c r="A636" s="6">
        <v>552</v>
      </c>
      <c r="B636" s="6">
        <v>5058.7092686017058</v>
      </c>
      <c r="C636" s="6">
        <v>-1085.7845686017058</v>
      </c>
      <c r="F636" s="6">
        <v>41.21823617339313</v>
      </c>
      <c r="G636" s="6">
        <v>7633.7205999999996</v>
      </c>
    </row>
    <row r="637" spans="1:7" x14ac:dyDescent="0.2">
      <c r="A637" s="6">
        <v>553</v>
      </c>
      <c r="B637" s="6">
        <v>10153.929837724403</v>
      </c>
      <c r="C637" s="6">
        <v>2803.1881622755973</v>
      </c>
      <c r="F637" s="6">
        <v>41.292974588938719</v>
      </c>
      <c r="G637" s="6">
        <v>7639.4174499999999</v>
      </c>
    </row>
    <row r="638" spans="1:7" x14ac:dyDescent="0.2">
      <c r="A638" s="6">
        <v>554</v>
      </c>
      <c r="B638" s="6">
        <v>12778.637229720463</v>
      </c>
      <c r="C638" s="6">
        <v>-1590.9805297204639</v>
      </c>
      <c r="F638" s="6">
        <v>41.367713004484308</v>
      </c>
      <c r="G638" s="6">
        <v>7640.3091999999997</v>
      </c>
    </row>
    <row r="639" spans="1:7" x14ac:dyDescent="0.2">
      <c r="A639" s="6">
        <v>555</v>
      </c>
      <c r="B639" s="6">
        <v>8500.0397077344569</v>
      </c>
      <c r="C639" s="6">
        <v>9378.8609722655419</v>
      </c>
      <c r="F639" s="6">
        <v>41.442451420029897</v>
      </c>
      <c r="G639" s="6">
        <v>7650.7737500000003</v>
      </c>
    </row>
    <row r="640" spans="1:7" x14ac:dyDescent="0.2">
      <c r="A640" s="6">
        <v>556</v>
      </c>
      <c r="B640" s="6">
        <v>3185.8792304188564</v>
      </c>
      <c r="C640" s="6">
        <v>661.79476958114356</v>
      </c>
      <c r="F640" s="6">
        <v>41.517189835575493</v>
      </c>
      <c r="G640" s="6">
        <v>7682.67</v>
      </c>
    </row>
    <row r="641" spans="1:7" x14ac:dyDescent="0.2">
      <c r="A641" s="6">
        <v>557</v>
      </c>
      <c r="B641" s="6">
        <v>11563.66891505131</v>
      </c>
      <c r="C641" s="6">
        <v>-3229.0793150513109</v>
      </c>
      <c r="F641" s="6">
        <v>41.591928251121082</v>
      </c>
      <c r="G641" s="6">
        <v>7726.8540000000003</v>
      </c>
    </row>
    <row r="642" spans="1:7" x14ac:dyDescent="0.2">
      <c r="A642" s="6">
        <v>558</v>
      </c>
      <c r="B642" s="6">
        <v>7232.0490493465313</v>
      </c>
      <c r="C642" s="6">
        <v>-3296.8691493465312</v>
      </c>
      <c r="F642" s="6">
        <v>41.666666666666671</v>
      </c>
      <c r="G642" s="6">
        <v>7727.2532000000001</v>
      </c>
    </row>
    <row r="643" spans="1:7" x14ac:dyDescent="0.2">
      <c r="A643" s="6">
        <v>559</v>
      </c>
      <c r="B643" s="6">
        <v>33541.698775973244</v>
      </c>
      <c r="C643" s="6">
        <v>6441.7271740267533</v>
      </c>
      <c r="F643" s="6">
        <v>41.74140508221226</v>
      </c>
      <c r="G643" s="6">
        <v>7729.6457499999997</v>
      </c>
    </row>
    <row r="644" spans="1:7" x14ac:dyDescent="0.2">
      <c r="A644" s="6">
        <v>560</v>
      </c>
      <c r="B644" s="6">
        <v>4508.9972700158005</v>
      </c>
      <c r="C644" s="6">
        <v>-2862.5675700158008</v>
      </c>
      <c r="F644" s="6">
        <v>41.816143497757849</v>
      </c>
      <c r="G644" s="6">
        <v>7731.4270999999999</v>
      </c>
    </row>
    <row r="645" spans="1:7" x14ac:dyDescent="0.2">
      <c r="A645" s="6">
        <v>561</v>
      </c>
      <c r="B645" s="6">
        <v>7241.8002309606782</v>
      </c>
      <c r="C645" s="6">
        <v>1952.0382690393217</v>
      </c>
      <c r="F645" s="6">
        <v>41.890881913303446</v>
      </c>
      <c r="G645" s="6">
        <v>7731.8578500000003</v>
      </c>
    </row>
    <row r="646" spans="1:7" x14ac:dyDescent="0.2">
      <c r="A646" s="6">
        <v>562</v>
      </c>
      <c r="B646" s="6">
        <v>13016.546524851832</v>
      </c>
      <c r="C646" s="6">
        <v>-2092.6133248518327</v>
      </c>
      <c r="F646" s="6">
        <v>41.965620328849035</v>
      </c>
      <c r="G646" s="6">
        <v>7740.3370000000004</v>
      </c>
    </row>
    <row r="647" spans="1:7" x14ac:dyDescent="0.2">
      <c r="A647" s="6">
        <v>563</v>
      </c>
      <c r="B647" s="6">
        <v>4250.6179267758725</v>
      </c>
      <c r="C647" s="6">
        <v>-1756.5959267758726</v>
      </c>
      <c r="F647" s="6">
        <v>42.040358744394624</v>
      </c>
      <c r="G647" s="6">
        <v>7742.1098000000002</v>
      </c>
    </row>
    <row r="648" spans="1:7" x14ac:dyDescent="0.2">
      <c r="A648" s="6">
        <v>564</v>
      </c>
      <c r="B648" s="6">
        <v>15399.134105223702</v>
      </c>
      <c r="C648" s="6">
        <v>-6340.4038052237029</v>
      </c>
      <c r="F648" s="6">
        <v>42.115097159940213</v>
      </c>
      <c r="G648" s="6">
        <v>7749.1563999999998</v>
      </c>
    </row>
    <row r="649" spans="1:7" x14ac:dyDescent="0.2">
      <c r="A649" s="6">
        <v>565</v>
      </c>
      <c r="B649" s="6">
        <v>3495.7485403956798</v>
      </c>
      <c r="C649" s="6">
        <v>-694.48974039567975</v>
      </c>
      <c r="F649" s="6">
        <v>42.189835575485802</v>
      </c>
      <c r="G649" s="6">
        <v>7789.6350000000002</v>
      </c>
    </row>
    <row r="650" spans="1:7" x14ac:dyDescent="0.2">
      <c r="A650" s="6">
        <v>566</v>
      </c>
      <c r="B650" s="6">
        <v>2932.4725904803272</v>
      </c>
      <c r="C650" s="6">
        <v>-804.04154048032706</v>
      </c>
      <c r="F650" s="6">
        <v>42.264573991031398</v>
      </c>
      <c r="G650" s="6">
        <v>7804.1605</v>
      </c>
    </row>
    <row r="651" spans="1:7" x14ac:dyDescent="0.2">
      <c r="A651" s="6">
        <v>567</v>
      </c>
      <c r="B651" s="6">
        <v>11703.92191170023</v>
      </c>
      <c r="C651" s="6">
        <v>-5330.3645617002303</v>
      </c>
      <c r="F651" s="6">
        <v>42.339312406576987</v>
      </c>
      <c r="G651" s="6">
        <v>7935.29115</v>
      </c>
    </row>
    <row r="652" spans="1:7" x14ac:dyDescent="0.2">
      <c r="A652" s="6">
        <v>568</v>
      </c>
      <c r="B652" s="6">
        <v>9435.2224552981679</v>
      </c>
      <c r="C652" s="6">
        <v>-2178.4993552981678</v>
      </c>
      <c r="F652" s="6">
        <v>42.414050822122576</v>
      </c>
      <c r="G652" s="6">
        <v>7954.5169999999998</v>
      </c>
    </row>
    <row r="653" spans="1:7" x14ac:dyDescent="0.2">
      <c r="A653" s="6">
        <v>569</v>
      </c>
      <c r="B653" s="6">
        <v>12885.145602793473</v>
      </c>
      <c r="C653" s="6">
        <v>-1332.2416027934723</v>
      </c>
      <c r="F653" s="6">
        <v>42.488789237668165</v>
      </c>
      <c r="G653" s="6">
        <v>7985.8149999999996</v>
      </c>
    </row>
    <row r="654" spans="1:7" x14ac:dyDescent="0.2">
      <c r="A654" s="6">
        <v>570</v>
      </c>
      <c r="B654" s="6">
        <v>38465.206164740557</v>
      </c>
      <c r="C654" s="6">
        <v>7236.8161852594421</v>
      </c>
      <c r="F654" s="6">
        <v>42.563527653213754</v>
      </c>
      <c r="G654" s="6">
        <v>7986.4752500000004</v>
      </c>
    </row>
    <row r="655" spans="1:7" x14ac:dyDescent="0.2">
      <c r="A655" s="6">
        <v>571</v>
      </c>
      <c r="B655" s="6">
        <v>4934.4868612651935</v>
      </c>
      <c r="C655" s="6">
        <v>-1173.1948612651936</v>
      </c>
      <c r="F655" s="6">
        <v>42.63826606875935</v>
      </c>
      <c r="G655" s="6">
        <v>8017.0611500000005</v>
      </c>
    </row>
    <row r="656" spans="1:7" x14ac:dyDescent="0.2">
      <c r="A656" s="6">
        <v>572</v>
      </c>
      <c r="B656" s="6">
        <v>4773.87815041459</v>
      </c>
      <c r="C656" s="6">
        <v>-2554.4330504145901</v>
      </c>
      <c r="F656" s="6">
        <v>42.713004484304939</v>
      </c>
      <c r="G656" s="6">
        <v>8023.1354499999998</v>
      </c>
    </row>
    <row r="657" spans="1:7" x14ac:dyDescent="0.2">
      <c r="A657" s="6">
        <v>573</v>
      </c>
      <c r="B657" s="6">
        <v>10309.152760563096</v>
      </c>
      <c r="C657" s="6">
        <v>-5555.5159605630961</v>
      </c>
      <c r="F657" s="6">
        <v>42.787742899850528</v>
      </c>
      <c r="G657" s="6">
        <v>8026.6665999999996</v>
      </c>
    </row>
    <row r="658" spans="1:7" x14ac:dyDescent="0.2">
      <c r="A658" s="6">
        <v>574</v>
      </c>
      <c r="B658" s="6">
        <v>16964.72652639306</v>
      </c>
      <c r="C658" s="6">
        <v>14655.274533606938</v>
      </c>
      <c r="F658" s="6">
        <v>42.862481315396117</v>
      </c>
      <c r="G658" s="6">
        <v>8027.9679999999998</v>
      </c>
    </row>
    <row r="659" spans="1:7" x14ac:dyDescent="0.2">
      <c r="A659" s="6">
        <v>575</v>
      </c>
      <c r="B659" s="6">
        <v>15285.914100343649</v>
      </c>
      <c r="C659" s="6">
        <v>-2061.8570503436495</v>
      </c>
      <c r="F659" s="6">
        <v>42.937219730941706</v>
      </c>
      <c r="G659" s="6">
        <v>8059.6791000000003</v>
      </c>
    </row>
    <row r="660" spans="1:7" x14ac:dyDescent="0.2">
      <c r="A660" s="6">
        <v>576</v>
      </c>
      <c r="B660" s="6">
        <v>11822.052106180854</v>
      </c>
      <c r="C660" s="6">
        <v>400.84619381914672</v>
      </c>
      <c r="F660" s="6">
        <v>43.011958146487302</v>
      </c>
      <c r="G660" s="6">
        <v>8062.7640000000001</v>
      </c>
    </row>
    <row r="661" spans="1:7" x14ac:dyDescent="0.2">
      <c r="A661" s="6">
        <v>577</v>
      </c>
      <c r="B661" s="6">
        <v>1649.917065786464</v>
      </c>
      <c r="C661" s="6">
        <v>15.082534213536064</v>
      </c>
      <c r="F661" s="6">
        <v>43.086696562032891</v>
      </c>
      <c r="G661" s="6">
        <v>8068.1850000000004</v>
      </c>
    </row>
    <row r="662" spans="1:7" x14ac:dyDescent="0.2">
      <c r="A662" s="6">
        <v>578</v>
      </c>
      <c r="B662" s="6">
        <v>33269.618054857485</v>
      </c>
      <c r="C662" s="6">
        <v>25301.456425142518</v>
      </c>
      <c r="F662" s="6">
        <v>43.16143497757848</v>
      </c>
      <c r="G662" s="6">
        <v>8083.9197999999997</v>
      </c>
    </row>
    <row r="663" spans="1:7" x14ac:dyDescent="0.2">
      <c r="A663" s="6">
        <v>579</v>
      </c>
      <c r="B663" s="6">
        <v>11045.76924927545</v>
      </c>
      <c r="C663" s="6">
        <v>-1321.2392492754498</v>
      </c>
      <c r="F663" s="6">
        <v>43.236173393124069</v>
      </c>
      <c r="G663" s="6">
        <v>8116.2688500000004</v>
      </c>
    </row>
    <row r="664" spans="1:7" x14ac:dyDescent="0.2">
      <c r="A664" s="6">
        <v>580</v>
      </c>
      <c r="B664" s="6">
        <v>2442.0446262448504</v>
      </c>
      <c r="C664" s="6">
        <v>764.44672375514938</v>
      </c>
      <c r="F664" s="6">
        <v>43.310911808669658</v>
      </c>
      <c r="G664" s="6">
        <v>8116.68</v>
      </c>
    </row>
    <row r="665" spans="1:7" x14ac:dyDescent="0.2">
      <c r="A665" s="6">
        <v>581</v>
      </c>
      <c r="B665" s="6">
        <v>12196.037738222332</v>
      </c>
      <c r="C665" s="6">
        <v>717.95466177766684</v>
      </c>
      <c r="F665" s="6">
        <v>43.385650224215254</v>
      </c>
      <c r="G665" s="6">
        <v>8124.4084000000003</v>
      </c>
    </row>
    <row r="666" spans="1:7" x14ac:dyDescent="0.2">
      <c r="A666" s="6">
        <v>582</v>
      </c>
      <c r="B666" s="6">
        <v>2833.3816091782492</v>
      </c>
      <c r="C666" s="6">
        <v>-1193.8185091782491</v>
      </c>
      <c r="F666" s="6">
        <v>43.460388639760843</v>
      </c>
      <c r="G666" s="6">
        <v>8125.7844999999998</v>
      </c>
    </row>
    <row r="667" spans="1:7" x14ac:dyDescent="0.2">
      <c r="A667" s="6">
        <v>583</v>
      </c>
      <c r="B667" s="6">
        <v>13273.082451845159</v>
      </c>
      <c r="C667" s="6">
        <v>-6916.8117518451591</v>
      </c>
      <c r="F667" s="6">
        <v>43.535127055306432</v>
      </c>
      <c r="G667" s="6">
        <v>8162.7162500000004</v>
      </c>
    </row>
    <row r="668" spans="1:7" x14ac:dyDescent="0.2">
      <c r="A668" s="6">
        <v>584</v>
      </c>
      <c r="B668" s="6">
        <v>3743.2683786856032</v>
      </c>
      <c r="C668" s="6">
        <v>13882.971131314396</v>
      </c>
      <c r="F668" s="6">
        <v>43.609865470852021</v>
      </c>
      <c r="G668" s="6">
        <v>8211.1002000000008</v>
      </c>
    </row>
    <row r="669" spans="1:7" x14ac:dyDescent="0.2">
      <c r="A669" s="6">
        <v>585</v>
      </c>
      <c r="B669" s="6">
        <v>-1128.3287389091452</v>
      </c>
      <c r="C669" s="6">
        <v>2371.1447389091454</v>
      </c>
      <c r="F669" s="6">
        <v>43.68460388639761</v>
      </c>
      <c r="G669" s="6">
        <v>8219.2039000000004</v>
      </c>
    </row>
    <row r="670" spans="1:7" x14ac:dyDescent="0.2">
      <c r="A670" s="6">
        <v>586</v>
      </c>
      <c r="B670" s="6">
        <v>5567.198486905032</v>
      </c>
      <c r="C670" s="6">
        <v>-787.59618690503248</v>
      </c>
      <c r="F670" s="6">
        <v>43.759342301943207</v>
      </c>
      <c r="G670" s="6">
        <v>8232.6388000000006</v>
      </c>
    </row>
    <row r="671" spans="1:7" x14ac:dyDescent="0.2">
      <c r="A671" s="6">
        <v>587</v>
      </c>
      <c r="B671" s="6">
        <v>1614.2116369847358</v>
      </c>
      <c r="C671" s="6">
        <v>2246.998013015264</v>
      </c>
      <c r="F671" s="6">
        <v>43.834080717488796</v>
      </c>
      <c r="G671" s="6">
        <v>8233.0974999999999</v>
      </c>
    </row>
    <row r="672" spans="1:7" x14ac:dyDescent="0.2">
      <c r="A672" s="6">
        <v>588</v>
      </c>
      <c r="B672" s="6">
        <v>31012.682831323411</v>
      </c>
      <c r="C672" s="6">
        <v>12931.19326867659</v>
      </c>
      <c r="F672" s="6">
        <v>43.908819133034385</v>
      </c>
      <c r="G672" s="6">
        <v>8240.5895999999993</v>
      </c>
    </row>
    <row r="673" spans="1:7" x14ac:dyDescent="0.2">
      <c r="A673" s="6">
        <v>589</v>
      </c>
      <c r="B673" s="6">
        <v>15910.135847776281</v>
      </c>
      <c r="C673" s="6">
        <v>-2274.4979477762809</v>
      </c>
      <c r="F673" s="6">
        <v>43.983557548579974</v>
      </c>
      <c r="G673" s="6">
        <v>8252.2842999999993</v>
      </c>
    </row>
    <row r="674" spans="1:7" x14ac:dyDescent="0.2">
      <c r="A674" s="6">
        <v>590</v>
      </c>
      <c r="B674" s="6">
        <v>7672.3284073300056</v>
      </c>
      <c r="C674" s="6">
        <v>-1695.4973073300052</v>
      </c>
      <c r="F674" s="6">
        <v>44.058295964125563</v>
      </c>
      <c r="G674" s="6">
        <v>8269.0439999999999</v>
      </c>
    </row>
    <row r="675" spans="1:7" x14ac:dyDescent="0.2">
      <c r="A675" s="6">
        <v>591</v>
      </c>
      <c r="B675" s="6">
        <v>11835.689034412504</v>
      </c>
      <c r="C675" s="6">
        <v>6.7529655874950549</v>
      </c>
      <c r="F675" s="6">
        <v>44.133034379671159</v>
      </c>
      <c r="G675" s="6">
        <v>8277.5229999999992</v>
      </c>
    </row>
    <row r="676" spans="1:7" x14ac:dyDescent="0.2">
      <c r="A676" s="6">
        <v>592</v>
      </c>
      <c r="B676" s="6">
        <v>6762.9481665816675</v>
      </c>
      <c r="C676" s="6">
        <v>1665.1211334183317</v>
      </c>
      <c r="F676" s="6">
        <v>44.207772795216748</v>
      </c>
      <c r="G676" s="6">
        <v>8280.6226999999999</v>
      </c>
    </row>
    <row r="677" spans="1:7" x14ac:dyDescent="0.2">
      <c r="A677" s="6">
        <v>593</v>
      </c>
      <c r="B677" s="6">
        <v>3542.3453670005365</v>
      </c>
      <c r="C677" s="6">
        <v>-975.87466700053665</v>
      </c>
      <c r="F677" s="6">
        <v>44.282511210762337</v>
      </c>
      <c r="G677" s="6">
        <v>8283.6807000000008</v>
      </c>
    </row>
    <row r="678" spans="1:7" x14ac:dyDescent="0.2">
      <c r="A678" s="6">
        <v>594</v>
      </c>
      <c r="B678" s="6">
        <v>25190.856875575904</v>
      </c>
      <c r="C678" s="6">
        <v>-9831.7523755759048</v>
      </c>
      <c r="F678" s="6">
        <v>44.357249626307926</v>
      </c>
      <c r="G678" s="6">
        <v>8302.5356499999998</v>
      </c>
    </row>
    <row r="679" spans="1:7" x14ac:dyDescent="0.2">
      <c r="A679" s="6">
        <v>595</v>
      </c>
      <c r="B679" s="6">
        <v>11082.163911453548</v>
      </c>
      <c r="C679" s="6">
        <v>-5372.9995114535486</v>
      </c>
      <c r="F679" s="6">
        <v>44.431988041853515</v>
      </c>
      <c r="G679" s="6">
        <v>8310.8391499999998</v>
      </c>
    </row>
    <row r="680" spans="1:7" x14ac:dyDescent="0.2">
      <c r="A680" s="6">
        <v>596</v>
      </c>
      <c r="B680" s="6">
        <v>11791.65340872551</v>
      </c>
      <c r="C680" s="6">
        <v>-2967.6676587255097</v>
      </c>
      <c r="F680" s="6">
        <v>44.506726457399111</v>
      </c>
      <c r="G680" s="6">
        <v>8334.4575499999992</v>
      </c>
    </row>
    <row r="681" spans="1:7" x14ac:dyDescent="0.2">
      <c r="A681" s="6">
        <v>597</v>
      </c>
      <c r="B681" s="6">
        <v>8764.8302837594129</v>
      </c>
      <c r="C681" s="6">
        <v>-1124.5210837594132</v>
      </c>
      <c r="F681" s="6">
        <v>44.5814648729447</v>
      </c>
      <c r="G681" s="6">
        <v>8334.5895999999993</v>
      </c>
    </row>
    <row r="682" spans="1:7" x14ac:dyDescent="0.2">
      <c r="A682" s="6">
        <v>598</v>
      </c>
      <c r="B682" s="6">
        <v>8548.2602878121852</v>
      </c>
      <c r="C682" s="6">
        <v>-2953.4147878121848</v>
      </c>
      <c r="F682" s="6">
        <v>44.656203288490289</v>
      </c>
      <c r="G682" s="6">
        <v>8342.9087500000005</v>
      </c>
    </row>
    <row r="683" spans="1:7" x14ac:dyDescent="0.2">
      <c r="A683" s="6">
        <v>599</v>
      </c>
      <c r="B683" s="6">
        <v>10023.626910254468</v>
      </c>
      <c r="C683" s="6">
        <v>-2582.1259102544682</v>
      </c>
      <c r="F683" s="6">
        <v>44.730941704035878</v>
      </c>
      <c r="G683" s="6">
        <v>8347.1643000000004</v>
      </c>
    </row>
    <row r="684" spans="1:7" x14ac:dyDescent="0.2">
      <c r="A684" s="6">
        <v>600</v>
      </c>
      <c r="B684" s="6">
        <v>14744.263293395281</v>
      </c>
      <c r="C684" s="6">
        <v>18727.70859660472</v>
      </c>
      <c r="F684" s="6">
        <v>44.805680119581467</v>
      </c>
      <c r="G684" s="6">
        <v>8410.0468500000006</v>
      </c>
    </row>
    <row r="685" spans="1:7" x14ac:dyDescent="0.2">
      <c r="A685" s="6">
        <v>601</v>
      </c>
      <c r="B685" s="6">
        <v>4932.6693635177289</v>
      </c>
      <c r="C685" s="6">
        <v>-3299.6249635177292</v>
      </c>
      <c r="F685" s="6">
        <v>44.880418535127063</v>
      </c>
      <c r="G685" s="6">
        <v>8413.4630500000003</v>
      </c>
    </row>
    <row r="686" spans="1:7" x14ac:dyDescent="0.2">
      <c r="A686" s="6">
        <v>602</v>
      </c>
      <c r="B686" s="6">
        <v>11407.242049396713</v>
      </c>
      <c r="C686" s="6">
        <v>-2233.1063993967127</v>
      </c>
      <c r="F686" s="6">
        <v>44.955156950672652</v>
      </c>
      <c r="G686" s="6">
        <v>8428.0692999999992</v>
      </c>
    </row>
    <row r="687" spans="1:7" x14ac:dyDescent="0.2">
      <c r="A687" s="6">
        <v>603</v>
      </c>
      <c r="B687" s="6">
        <v>10066.960550977701</v>
      </c>
      <c r="C687" s="6">
        <v>1003.5744490222987</v>
      </c>
      <c r="F687" s="6">
        <v>45.029895366218241</v>
      </c>
      <c r="G687" s="6">
        <v>8442.6669999999995</v>
      </c>
    </row>
    <row r="688" spans="1:7" x14ac:dyDescent="0.2">
      <c r="A688" s="6">
        <v>604</v>
      </c>
      <c r="B688" s="6">
        <v>18137.251935785942</v>
      </c>
      <c r="C688" s="6">
        <v>-2052.1244357859414</v>
      </c>
      <c r="F688" s="6">
        <v>45.10463378176383</v>
      </c>
      <c r="G688" s="6">
        <v>8444.4740000000002</v>
      </c>
    </row>
    <row r="689" spans="1:7" x14ac:dyDescent="0.2">
      <c r="A689" s="6">
        <v>605</v>
      </c>
      <c r="B689" s="6">
        <v>26039.869436253462</v>
      </c>
      <c r="C689" s="6">
        <v>-8570.8855362534632</v>
      </c>
      <c r="F689" s="6">
        <v>45.179372197309419</v>
      </c>
      <c r="G689" s="6">
        <v>8457.8179999999993</v>
      </c>
    </row>
    <row r="690" spans="1:7" x14ac:dyDescent="0.2">
      <c r="A690" s="6">
        <v>606</v>
      </c>
      <c r="B690" s="6">
        <v>11692.610121979362</v>
      </c>
      <c r="C690" s="6">
        <v>-2409.0481219793619</v>
      </c>
      <c r="F690" s="6">
        <v>45.254110612855015</v>
      </c>
      <c r="G690" s="6">
        <v>8515.7587000000003</v>
      </c>
    </row>
    <row r="691" spans="1:7" x14ac:dyDescent="0.2">
      <c r="A691" s="6">
        <v>607</v>
      </c>
      <c r="B691" s="6">
        <v>3535.7781369940822</v>
      </c>
      <c r="C691" s="6">
        <v>22.842113005917781</v>
      </c>
      <c r="F691" s="6">
        <v>45.328849028400604</v>
      </c>
      <c r="G691" s="6">
        <v>8516.8289999999997</v>
      </c>
    </row>
    <row r="692" spans="1:7" x14ac:dyDescent="0.2">
      <c r="A692" s="6">
        <v>608</v>
      </c>
      <c r="B692" s="6">
        <v>34735.178011188924</v>
      </c>
      <c r="C692" s="6">
        <v>-9056.3995611889222</v>
      </c>
      <c r="F692" s="6">
        <v>45.403587443946194</v>
      </c>
      <c r="G692" s="6">
        <v>8520.0259999999998</v>
      </c>
    </row>
    <row r="693" spans="1:7" x14ac:dyDescent="0.2">
      <c r="A693" s="6">
        <v>609</v>
      </c>
      <c r="B693" s="6">
        <v>5224.5654042021552</v>
      </c>
      <c r="C693" s="6">
        <v>-789.4712042021556</v>
      </c>
      <c r="F693" s="6">
        <v>45.478325859491783</v>
      </c>
      <c r="G693" s="6">
        <v>8522.0030000000006</v>
      </c>
    </row>
    <row r="694" spans="1:7" x14ac:dyDescent="0.2">
      <c r="A694" s="6">
        <v>610</v>
      </c>
      <c r="B694" s="6">
        <v>32296.834827958133</v>
      </c>
      <c r="C694" s="6">
        <v>6944.6071720418695</v>
      </c>
      <c r="F694" s="6">
        <v>45.553064275037372</v>
      </c>
      <c r="G694" s="6">
        <v>8527.5319999999992</v>
      </c>
    </row>
    <row r="695" spans="1:7" x14ac:dyDescent="0.2">
      <c r="A695" s="6">
        <v>611</v>
      </c>
      <c r="B695" s="6">
        <v>9536.3002213998298</v>
      </c>
      <c r="C695" s="6">
        <v>-988.60892139982934</v>
      </c>
      <c r="F695" s="6">
        <v>45.627802690582968</v>
      </c>
      <c r="G695" s="6">
        <v>8534.6718000000001</v>
      </c>
    </row>
    <row r="696" spans="1:7" x14ac:dyDescent="0.2">
      <c r="A696" s="6">
        <v>612</v>
      </c>
      <c r="B696" s="6">
        <v>9616.8851049066834</v>
      </c>
      <c r="C696" s="6">
        <v>-3045.3411049066835</v>
      </c>
      <c r="F696" s="6">
        <v>45.702541106128557</v>
      </c>
      <c r="G696" s="6">
        <v>8538.28845</v>
      </c>
    </row>
    <row r="697" spans="1:7" x14ac:dyDescent="0.2">
      <c r="A697" s="6">
        <v>613</v>
      </c>
      <c r="B697" s="6">
        <v>3930.8347239724553</v>
      </c>
      <c r="C697" s="6">
        <v>-1723.1372739724552</v>
      </c>
      <c r="F697" s="6">
        <v>45.777279521674146</v>
      </c>
      <c r="G697" s="6">
        <v>8539.6710000000003</v>
      </c>
    </row>
    <row r="698" spans="1:7" x14ac:dyDescent="0.2">
      <c r="A698" s="6">
        <v>614</v>
      </c>
      <c r="B698" s="6">
        <v>4665.7546641559802</v>
      </c>
      <c r="C698" s="6">
        <v>2087.2833358440193</v>
      </c>
      <c r="F698" s="6">
        <v>45.852017937219735</v>
      </c>
      <c r="G698" s="6">
        <v>8547.6913000000004</v>
      </c>
    </row>
    <row r="699" spans="1:7" x14ac:dyDescent="0.2">
      <c r="A699" s="6">
        <v>615</v>
      </c>
      <c r="B699" s="6">
        <v>3356.9503943496502</v>
      </c>
      <c r="C699" s="6">
        <v>-1476.8803943496503</v>
      </c>
      <c r="F699" s="6">
        <v>45.926756352765324</v>
      </c>
      <c r="G699" s="6">
        <v>8551.3469999999998</v>
      </c>
    </row>
    <row r="700" spans="1:7" x14ac:dyDescent="0.2">
      <c r="A700" s="6">
        <v>616</v>
      </c>
      <c r="B700" s="6">
        <v>35847.379236527348</v>
      </c>
      <c r="C700" s="6">
        <v>7122.4734634726556</v>
      </c>
      <c r="F700" s="6">
        <v>46.00149476831092</v>
      </c>
      <c r="G700" s="6">
        <v>8556.9069999999992</v>
      </c>
    </row>
    <row r="701" spans="1:7" x14ac:dyDescent="0.2">
      <c r="A701" s="6">
        <v>617</v>
      </c>
      <c r="B701" s="6">
        <v>12144.653971926247</v>
      </c>
      <c r="C701" s="6">
        <v>-486.53892192624699</v>
      </c>
      <c r="F701" s="6">
        <v>46.076233183856509</v>
      </c>
      <c r="G701" s="6">
        <v>8569.8618000000006</v>
      </c>
    </row>
    <row r="702" spans="1:7" x14ac:dyDescent="0.2">
      <c r="A702" s="6">
        <v>618</v>
      </c>
      <c r="B702" s="6">
        <v>33038.945392115493</v>
      </c>
      <c r="C702" s="6">
        <v>-9732.3983921154941</v>
      </c>
      <c r="F702" s="6">
        <v>46.150971599402098</v>
      </c>
      <c r="G702" s="6">
        <v>8582.3022999999994</v>
      </c>
    </row>
    <row r="703" spans="1:7" x14ac:dyDescent="0.2">
      <c r="A703" s="6">
        <v>619</v>
      </c>
      <c r="B703" s="6">
        <v>26985.939863622312</v>
      </c>
      <c r="C703" s="6">
        <v>7453.91603637769</v>
      </c>
      <c r="F703" s="6">
        <v>46.225710014947687</v>
      </c>
      <c r="G703" s="6">
        <v>8596.8277999999991</v>
      </c>
    </row>
    <row r="704" spans="1:7" x14ac:dyDescent="0.2">
      <c r="A704" s="6">
        <v>620</v>
      </c>
      <c r="B704" s="6">
        <v>13812.586951048266</v>
      </c>
      <c r="C704" s="6">
        <v>-3098.942951048266</v>
      </c>
      <c r="F704" s="6">
        <v>46.300448430493276</v>
      </c>
      <c r="G704" s="6">
        <v>8601.3292999999994</v>
      </c>
    </row>
    <row r="705" spans="1:7" x14ac:dyDescent="0.2">
      <c r="A705" s="6">
        <v>621</v>
      </c>
      <c r="B705" s="6">
        <v>5801.9616377868024</v>
      </c>
      <c r="C705" s="6">
        <v>-2142.6156377868024</v>
      </c>
      <c r="F705" s="6">
        <v>46.375186846038872</v>
      </c>
      <c r="G705" s="6">
        <v>8603.8233999999993</v>
      </c>
    </row>
    <row r="706" spans="1:7" x14ac:dyDescent="0.2">
      <c r="A706" s="6">
        <v>622</v>
      </c>
      <c r="B706" s="6">
        <v>33790.814607657725</v>
      </c>
      <c r="C706" s="6">
        <v>6391.4313923422742</v>
      </c>
      <c r="F706" s="6">
        <v>46.449925261584461</v>
      </c>
      <c r="G706" s="6">
        <v>8604.4836500000001</v>
      </c>
    </row>
    <row r="707" spans="1:7" x14ac:dyDescent="0.2">
      <c r="A707" s="6">
        <v>623</v>
      </c>
      <c r="B707" s="6">
        <v>7387.6928139220363</v>
      </c>
      <c r="C707" s="6">
        <v>1794.4771860779638</v>
      </c>
      <c r="F707" s="6">
        <v>46.52466367713005</v>
      </c>
      <c r="G707" s="6">
        <v>8605.3615000000009</v>
      </c>
    </row>
    <row r="708" spans="1:7" x14ac:dyDescent="0.2">
      <c r="A708" s="6">
        <v>624</v>
      </c>
      <c r="B708" s="6">
        <v>27776.948418862288</v>
      </c>
      <c r="C708" s="6">
        <v>6840.89223113771</v>
      </c>
      <c r="F708" s="6">
        <v>46.599402092675639</v>
      </c>
      <c r="G708" s="6">
        <v>8606.2173999999995</v>
      </c>
    </row>
    <row r="709" spans="1:7" x14ac:dyDescent="0.2">
      <c r="A709" s="6">
        <v>625</v>
      </c>
      <c r="B709" s="6">
        <v>12495.391526904601</v>
      </c>
      <c r="C709" s="6">
        <v>-365.77737690460162</v>
      </c>
      <c r="F709" s="6">
        <v>46.674140508221228</v>
      </c>
      <c r="G709" s="6">
        <v>8615.2999999999993</v>
      </c>
    </row>
    <row r="710" spans="1:7" x14ac:dyDescent="0.2">
      <c r="A710" s="6">
        <v>626</v>
      </c>
      <c r="B710" s="6">
        <v>3986.5373454814062</v>
      </c>
      <c r="C710" s="6">
        <v>-250.0726454814062</v>
      </c>
      <c r="F710" s="6">
        <v>46.748878923766824</v>
      </c>
      <c r="G710" s="6">
        <v>8627.5411000000004</v>
      </c>
    </row>
    <row r="711" spans="1:7" x14ac:dyDescent="0.2">
      <c r="A711" s="6">
        <v>627</v>
      </c>
      <c r="B711" s="6">
        <v>8399.384331510666</v>
      </c>
      <c r="C711" s="6">
        <v>-1650.7931315106662</v>
      </c>
      <c r="F711" s="6">
        <v>46.823617339312413</v>
      </c>
      <c r="G711" s="6">
        <v>8671.1912499999999</v>
      </c>
    </row>
    <row r="712" spans="1:7" x14ac:dyDescent="0.2">
      <c r="A712" s="6">
        <v>628</v>
      </c>
      <c r="B712" s="6">
        <v>10249.039234247746</v>
      </c>
      <c r="C712" s="6">
        <v>1077.6756357522536</v>
      </c>
      <c r="F712" s="6">
        <v>46.898355754858002</v>
      </c>
      <c r="G712" s="6">
        <v>8688.8588500000005</v>
      </c>
    </row>
    <row r="713" spans="1:7" x14ac:dyDescent="0.2">
      <c r="A713" s="6">
        <v>629</v>
      </c>
      <c r="B713" s="6">
        <v>14757.115757514957</v>
      </c>
      <c r="C713" s="6">
        <v>-3391.163757514958</v>
      </c>
      <c r="F713" s="6">
        <v>46.973094170403591</v>
      </c>
      <c r="G713" s="6">
        <v>8703.4560000000001</v>
      </c>
    </row>
    <row r="714" spans="1:7" x14ac:dyDescent="0.2">
      <c r="A714" s="6">
        <v>630</v>
      </c>
      <c r="B714" s="6">
        <v>36070.296596106498</v>
      </c>
      <c r="C714" s="6">
        <v>6913.1619038935023</v>
      </c>
      <c r="F714" s="6">
        <v>47.04783258594918</v>
      </c>
      <c r="G714" s="6">
        <v>8733.2292500000003</v>
      </c>
    </row>
    <row r="715" spans="1:7" x14ac:dyDescent="0.2">
      <c r="A715" s="6">
        <v>631</v>
      </c>
      <c r="B715" s="6">
        <v>13303.866978116754</v>
      </c>
      <c r="C715" s="6">
        <v>-3218.0209781167541</v>
      </c>
      <c r="F715" s="6">
        <v>47.122571001494777</v>
      </c>
      <c r="G715" s="6">
        <v>8765.2489999999998</v>
      </c>
    </row>
    <row r="716" spans="1:7" x14ac:dyDescent="0.2">
      <c r="A716" s="6">
        <v>632</v>
      </c>
      <c r="B716" s="6">
        <v>3073.0167248308203</v>
      </c>
      <c r="C716" s="6">
        <v>-1095.2017248308202</v>
      </c>
      <c r="F716" s="6">
        <v>47.197309417040366</v>
      </c>
      <c r="G716" s="6">
        <v>8782.4689999999991</v>
      </c>
    </row>
    <row r="717" spans="1:7" x14ac:dyDescent="0.2">
      <c r="A717" s="6">
        <v>633</v>
      </c>
      <c r="B717" s="6">
        <v>6526.8170048212078</v>
      </c>
      <c r="C717" s="6">
        <v>-3160.1473048212079</v>
      </c>
      <c r="F717" s="6">
        <v>47.272047832585955</v>
      </c>
      <c r="G717" s="6">
        <v>8798.5930000000008</v>
      </c>
    </row>
    <row r="718" spans="1:7" x14ac:dyDescent="0.2">
      <c r="A718" s="6">
        <v>634</v>
      </c>
      <c r="B718" s="6">
        <v>6856.7896204639874</v>
      </c>
      <c r="C718" s="6">
        <v>316.57032953601265</v>
      </c>
      <c r="F718" s="6">
        <v>47.346786248131544</v>
      </c>
      <c r="G718" s="6">
        <v>8823.2790000000005</v>
      </c>
    </row>
    <row r="719" spans="1:7" x14ac:dyDescent="0.2">
      <c r="A719" s="6">
        <v>635</v>
      </c>
      <c r="B719" s="6">
        <v>14011.250706041084</v>
      </c>
      <c r="C719" s="6">
        <v>-4619.9047060410849</v>
      </c>
      <c r="F719" s="6">
        <v>47.421524663677133</v>
      </c>
      <c r="G719" s="6">
        <v>8823.9857499999998</v>
      </c>
    </row>
    <row r="720" spans="1:7" x14ac:dyDescent="0.2">
      <c r="A720" s="6">
        <v>636</v>
      </c>
      <c r="B720" s="6">
        <v>17322.751620225932</v>
      </c>
      <c r="C720" s="6">
        <v>-2911.8195202259321</v>
      </c>
      <c r="F720" s="6">
        <v>47.496263079222729</v>
      </c>
      <c r="G720" s="6">
        <v>8825.0859999999993</v>
      </c>
    </row>
    <row r="721" spans="1:7" x14ac:dyDescent="0.2">
      <c r="A721" s="6">
        <v>637</v>
      </c>
      <c r="B721" s="6">
        <v>1377.9003157685822</v>
      </c>
      <c r="C721" s="6">
        <v>1331.2115842314176</v>
      </c>
      <c r="F721" s="6">
        <v>47.571001494768318</v>
      </c>
      <c r="G721" s="6">
        <v>8827.2098999999998</v>
      </c>
    </row>
    <row r="722" spans="1:7" x14ac:dyDescent="0.2">
      <c r="A722" s="6">
        <v>638</v>
      </c>
      <c r="B722" s="6">
        <v>10924.009468243185</v>
      </c>
      <c r="C722" s="6">
        <v>13991.036791756815</v>
      </c>
      <c r="F722" s="6">
        <v>47.645739910313907</v>
      </c>
      <c r="G722" s="6">
        <v>8835.2649500000007</v>
      </c>
    </row>
    <row r="723" spans="1:7" x14ac:dyDescent="0.2">
      <c r="A723" s="6">
        <v>639</v>
      </c>
      <c r="B723" s="6">
        <v>30754.17846516936</v>
      </c>
      <c r="C723" s="6">
        <v>-10604.85556516936</v>
      </c>
      <c r="F723" s="6">
        <v>47.720478325859496</v>
      </c>
      <c r="G723" s="6">
        <v>8871.1517000000003</v>
      </c>
    </row>
    <row r="724" spans="1:7" x14ac:dyDescent="0.2">
      <c r="A724" s="6">
        <v>640</v>
      </c>
      <c r="B724" s="6">
        <v>14598.334586278752</v>
      </c>
      <c r="C724" s="6">
        <v>-1649.1791862787522</v>
      </c>
      <c r="F724" s="6">
        <v>47.795216741405085</v>
      </c>
      <c r="G724" s="6">
        <v>8891.1394999999993</v>
      </c>
    </row>
    <row r="725" spans="1:7" x14ac:dyDescent="0.2">
      <c r="A725" s="6">
        <v>641</v>
      </c>
      <c r="B725" s="6">
        <v>12205.660865714617</v>
      </c>
      <c r="C725" s="6">
        <v>-5539.4178657146167</v>
      </c>
      <c r="F725" s="6">
        <v>47.869955156950681</v>
      </c>
      <c r="G725" s="6">
        <v>8930.9345499999999</v>
      </c>
    </row>
    <row r="726" spans="1:7" x14ac:dyDescent="0.2">
      <c r="A726" s="6">
        <v>642</v>
      </c>
      <c r="B726" s="6">
        <v>33242.752820664755</v>
      </c>
      <c r="C726" s="6">
        <v>-455.29423066475283</v>
      </c>
      <c r="F726" s="6">
        <v>47.94469357249627</v>
      </c>
      <c r="G726" s="6">
        <v>8932.0840000000007</v>
      </c>
    </row>
    <row r="727" spans="1:7" x14ac:dyDescent="0.2">
      <c r="A727" s="6">
        <v>643</v>
      </c>
      <c r="B727" s="6">
        <v>15102.130548427549</v>
      </c>
      <c r="C727" s="6">
        <v>-1958.2656984275491</v>
      </c>
      <c r="F727" s="6">
        <v>48.019431988041859</v>
      </c>
      <c r="G727" s="6">
        <v>8944.1151000000009</v>
      </c>
    </row>
    <row r="728" spans="1:7" x14ac:dyDescent="0.2">
      <c r="A728" s="6">
        <v>644</v>
      </c>
      <c r="B728" s="6">
        <v>6900.898406449518</v>
      </c>
      <c r="C728" s="6">
        <v>-2434.277006449518</v>
      </c>
      <c r="F728" s="6">
        <v>48.094170403587448</v>
      </c>
      <c r="G728" s="6">
        <v>8964.0605500000001</v>
      </c>
    </row>
    <row r="729" spans="1:7" x14ac:dyDescent="0.2">
      <c r="A729" s="6">
        <v>645</v>
      </c>
      <c r="B729" s="6">
        <v>10867.870111452852</v>
      </c>
      <c r="C729" s="6">
        <v>7938.2753585471473</v>
      </c>
      <c r="F729" s="6">
        <v>48.168908819133037</v>
      </c>
      <c r="G729" s="6">
        <v>8965.7957499999993</v>
      </c>
    </row>
    <row r="730" spans="1:7" x14ac:dyDescent="0.2">
      <c r="A730" s="6">
        <v>646</v>
      </c>
      <c r="B730" s="6">
        <v>12126.128123819439</v>
      </c>
      <c r="C730" s="6">
        <v>-1984.9919238194379</v>
      </c>
      <c r="F730" s="6">
        <v>48.243647234678626</v>
      </c>
      <c r="G730" s="6">
        <v>8968.33</v>
      </c>
    </row>
    <row r="731" spans="1:7" x14ac:dyDescent="0.2">
      <c r="A731" s="6">
        <v>647</v>
      </c>
      <c r="B731" s="6">
        <v>6963.7338127949679</v>
      </c>
      <c r="C731" s="6">
        <v>-840.16501279496788</v>
      </c>
      <c r="F731" s="6">
        <v>48.318385650224222</v>
      </c>
      <c r="G731" s="6">
        <v>8978.1851000000006</v>
      </c>
    </row>
    <row r="732" spans="1:7" x14ac:dyDescent="0.2">
      <c r="A732" s="6">
        <v>648</v>
      </c>
      <c r="B732" s="6">
        <v>7689.1681716594376</v>
      </c>
      <c r="C732" s="6">
        <v>563.11612834056177</v>
      </c>
      <c r="F732" s="6">
        <v>48.393124065769811</v>
      </c>
      <c r="G732" s="6">
        <v>8988.1587500000005</v>
      </c>
    </row>
    <row r="733" spans="1:7" x14ac:dyDescent="0.2">
      <c r="A733" s="6">
        <v>649</v>
      </c>
      <c r="B733" s="6">
        <v>2220.5748380188879</v>
      </c>
      <c r="C733" s="6">
        <v>-508.34783801888784</v>
      </c>
      <c r="F733" s="6">
        <v>48.4678624813154</v>
      </c>
      <c r="G733" s="6">
        <v>9048.0272999999997</v>
      </c>
    </row>
    <row r="734" spans="1:7" x14ac:dyDescent="0.2">
      <c r="A734" s="6">
        <v>650</v>
      </c>
      <c r="B734" s="6">
        <v>14140.642069280315</v>
      </c>
      <c r="C734" s="6">
        <v>-1709.6887192803151</v>
      </c>
      <c r="F734" s="6">
        <v>48.542600896860989</v>
      </c>
      <c r="G734" s="6">
        <v>9058.7302999999993</v>
      </c>
    </row>
    <row r="735" spans="1:7" x14ac:dyDescent="0.2">
      <c r="A735" s="6">
        <v>651</v>
      </c>
      <c r="B735" s="6">
        <v>15040.178339183938</v>
      </c>
      <c r="C735" s="6">
        <v>-5239.2901391839387</v>
      </c>
      <c r="F735" s="6">
        <v>48.617339312406578</v>
      </c>
      <c r="G735" s="6">
        <v>9095.0682500000003</v>
      </c>
    </row>
    <row r="736" spans="1:7" x14ac:dyDescent="0.2">
      <c r="A736" s="6">
        <v>652</v>
      </c>
      <c r="B736" s="6">
        <v>14547.387367062809</v>
      </c>
      <c r="C736" s="6">
        <v>-3967.6763670628097</v>
      </c>
      <c r="F736" s="6">
        <v>48.692077727952174</v>
      </c>
      <c r="G736" s="6">
        <v>9101.7980000000007</v>
      </c>
    </row>
    <row r="737" spans="1:7" x14ac:dyDescent="0.2">
      <c r="A737" s="6">
        <v>653</v>
      </c>
      <c r="B737" s="6">
        <v>9914.6365071431228</v>
      </c>
      <c r="C737" s="6">
        <v>-1634.0138071431229</v>
      </c>
      <c r="F737" s="6">
        <v>48.766816143497763</v>
      </c>
      <c r="G737" s="6">
        <v>9140.9509999999991</v>
      </c>
    </row>
    <row r="738" spans="1:7" x14ac:dyDescent="0.2">
      <c r="A738" s="6">
        <v>654</v>
      </c>
      <c r="B738" s="6">
        <v>11848.698694997385</v>
      </c>
      <c r="C738" s="6">
        <v>-3321.166694997386</v>
      </c>
      <c r="F738" s="6">
        <v>48.841554559043352</v>
      </c>
      <c r="G738" s="6">
        <v>9144.5650000000005</v>
      </c>
    </row>
    <row r="739" spans="1:7" x14ac:dyDescent="0.2">
      <c r="A739" s="6">
        <v>655</v>
      </c>
      <c r="B739" s="6">
        <v>14120.573741250069</v>
      </c>
      <c r="C739" s="6">
        <v>-1876.0427412500685</v>
      </c>
      <c r="F739" s="6">
        <v>48.916292974588941</v>
      </c>
      <c r="G739" s="6">
        <v>9174.1356500000002</v>
      </c>
    </row>
    <row r="740" spans="1:7" x14ac:dyDescent="0.2">
      <c r="A740" s="6">
        <v>656</v>
      </c>
      <c r="B740" s="6">
        <v>33764.099714952405</v>
      </c>
      <c r="C740" s="6">
        <v>-9096.6807149524029</v>
      </c>
      <c r="F740" s="6">
        <v>48.99103139013453</v>
      </c>
      <c r="G740" s="6">
        <v>9182.17</v>
      </c>
    </row>
    <row r="741" spans="1:7" x14ac:dyDescent="0.2">
      <c r="A741" s="6">
        <v>657</v>
      </c>
      <c r="B741" s="6">
        <v>8636.9785767517587</v>
      </c>
      <c r="C741" s="6">
        <v>-5226.6545767517582</v>
      </c>
      <c r="F741" s="6">
        <v>49.065769805680127</v>
      </c>
      <c r="G741" s="6">
        <v>9193.8384999999998</v>
      </c>
    </row>
    <row r="742" spans="1:7" x14ac:dyDescent="0.2">
      <c r="A742" s="6">
        <v>658</v>
      </c>
      <c r="B742" s="6">
        <v>6709.264728287103</v>
      </c>
      <c r="C742" s="6">
        <v>-2650.552278287103</v>
      </c>
      <c r="F742" s="6">
        <v>49.140508221225716</v>
      </c>
      <c r="G742" s="6">
        <v>9222.4025999999994</v>
      </c>
    </row>
    <row r="743" spans="1:7" x14ac:dyDescent="0.2">
      <c r="A743" s="6">
        <v>659</v>
      </c>
      <c r="B743" s="6">
        <v>13046.50380993989</v>
      </c>
      <c r="C743" s="6">
        <v>13345.756480060109</v>
      </c>
      <c r="F743" s="6">
        <v>49.215246636771305</v>
      </c>
      <c r="G743" s="6">
        <v>9225.2564000000002</v>
      </c>
    </row>
    <row r="744" spans="1:7" x14ac:dyDescent="0.2">
      <c r="A744" s="6">
        <v>660</v>
      </c>
      <c r="B744" s="6">
        <v>14367.959261246186</v>
      </c>
      <c r="C744" s="6">
        <v>26.438888753815263</v>
      </c>
      <c r="F744" s="6">
        <v>49.289985052316894</v>
      </c>
      <c r="G744" s="6">
        <v>9249.4951999999994</v>
      </c>
    </row>
    <row r="745" spans="1:7" x14ac:dyDescent="0.2">
      <c r="A745" s="6">
        <v>661</v>
      </c>
      <c r="B745" s="6">
        <v>13607.983090891523</v>
      </c>
      <c r="C745" s="6">
        <v>-7172.3593908915227</v>
      </c>
      <c r="F745" s="6">
        <v>49.364723467862483</v>
      </c>
      <c r="G745" s="6">
        <v>9264.7970000000005</v>
      </c>
    </row>
    <row r="746" spans="1:7" x14ac:dyDescent="0.2">
      <c r="A746" s="6">
        <v>662</v>
      </c>
      <c r="B746" s="6">
        <v>10276.61103181088</v>
      </c>
      <c r="C746" s="6">
        <v>11915.826078189119</v>
      </c>
      <c r="F746" s="6">
        <v>49.439461883408079</v>
      </c>
      <c r="G746" s="6">
        <v>9282.4806000000008</v>
      </c>
    </row>
    <row r="747" spans="1:7" x14ac:dyDescent="0.2">
      <c r="A747" s="6">
        <v>663</v>
      </c>
      <c r="B747" s="6">
        <v>7454.5267770629525</v>
      </c>
      <c r="C747" s="6">
        <v>-2305.9741770629525</v>
      </c>
      <c r="F747" s="6">
        <v>49.514200298953668</v>
      </c>
      <c r="G747" s="6">
        <v>9283.5619999999999</v>
      </c>
    </row>
    <row r="748" spans="1:7" x14ac:dyDescent="0.2">
      <c r="A748" s="6">
        <v>664</v>
      </c>
      <c r="B748" s="6">
        <v>2935.791009263</v>
      </c>
      <c r="C748" s="6">
        <v>-1799.391609263</v>
      </c>
      <c r="F748" s="6">
        <v>49.588938714499257</v>
      </c>
      <c r="G748" s="6">
        <v>9288.0267000000003</v>
      </c>
    </row>
    <row r="749" spans="1:7" x14ac:dyDescent="0.2">
      <c r="A749" s="6">
        <v>665</v>
      </c>
      <c r="B749" s="6">
        <v>35111.837977261268</v>
      </c>
      <c r="C749" s="6">
        <v>-8073.9238772612662</v>
      </c>
      <c r="F749" s="6">
        <v>49.663677130044846</v>
      </c>
      <c r="G749" s="6">
        <v>9290.1394999999993</v>
      </c>
    </row>
    <row r="750" spans="1:7" x14ac:dyDescent="0.2">
      <c r="A750" s="6">
        <v>666</v>
      </c>
      <c r="B750" s="6">
        <v>35649.186650795484</v>
      </c>
      <c r="C750" s="6">
        <v>6911.2437492045137</v>
      </c>
      <c r="F750" s="6">
        <v>49.738415545590435</v>
      </c>
      <c r="G750" s="6">
        <v>9301.8935500000007</v>
      </c>
    </row>
    <row r="751" spans="1:7" x14ac:dyDescent="0.2">
      <c r="A751" s="6">
        <v>667</v>
      </c>
      <c r="B751" s="6">
        <v>9766.4100112471442</v>
      </c>
      <c r="C751" s="6">
        <v>-1062.9540112471441</v>
      </c>
      <c r="F751" s="6">
        <v>49.813153961136031</v>
      </c>
      <c r="G751" s="6">
        <v>9304.7019</v>
      </c>
    </row>
    <row r="752" spans="1:7" x14ac:dyDescent="0.2">
      <c r="A752" s="6">
        <v>668</v>
      </c>
      <c r="B752" s="6">
        <v>33899.35270020843</v>
      </c>
      <c r="C752" s="6">
        <v>6103.9795497915693</v>
      </c>
      <c r="F752" s="6">
        <v>49.88789237668162</v>
      </c>
      <c r="G752" s="6">
        <v>9361.3268000000007</v>
      </c>
    </row>
    <row r="753" spans="1:7" x14ac:dyDescent="0.2">
      <c r="A753" s="6">
        <v>669</v>
      </c>
      <c r="B753" s="6">
        <v>38563.05388101712</v>
      </c>
      <c r="C753" s="6">
        <v>7147.1539689828787</v>
      </c>
      <c r="F753" s="6">
        <v>49.962630792227209</v>
      </c>
      <c r="G753" s="6">
        <v>9377.9046999999991</v>
      </c>
    </row>
    <row r="754" spans="1:7" x14ac:dyDescent="0.2">
      <c r="A754" s="6">
        <v>670</v>
      </c>
      <c r="B754" s="6">
        <v>7887.550873227161</v>
      </c>
      <c r="C754" s="6">
        <v>-1387.3149732271613</v>
      </c>
      <c r="F754" s="6">
        <v>50.037369207772798</v>
      </c>
      <c r="G754" s="6">
        <v>9386.1612999999998</v>
      </c>
    </row>
    <row r="755" spans="1:7" x14ac:dyDescent="0.2">
      <c r="A755" s="6">
        <v>671</v>
      </c>
      <c r="B755" s="6">
        <v>6735.6545571119186</v>
      </c>
      <c r="C755" s="6">
        <v>-1898.0722571119186</v>
      </c>
      <c r="F755" s="6">
        <v>50.112107623318387</v>
      </c>
      <c r="G755" s="6">
        <v>9391.3459999999995</v>
      </c>
    </row>
    <row r="756" spans="1:7" x14ac:dyDescent="0.2">
      <c r="A756" s="6">
        <v>672</v>
      </c>
      <c r="B756" s="6">
        <v>6079.5636619296556</v>
      </c>
      <c r="C756" s="6">
        <v>-2135.9682619296555</v>
      </c>
      <c r="F756" s="6">
        <v>50.186846038863983</v>
      </c>
      <c r="G756" s="6">
        <v>9411.0049999999992</v>
      </c>
    </row>
    <row r="757" spans="1:7" x14ac:dyDescent="0.2">
      <c r="A757" s="6">
        <v>673</v>
      </c>
      <c r="B757" s="6">
        <v>6215.9992786363364</v>
      </c>
      <c r="C757" s="6">
        <v>-1816.2682786363366</v>
      </c>
      <c r="F757" s="6">
        <v>50.261584454409572</v>
      </c>
      <c r="G757" s="6">
        <v>9414.92</v>
      </c>
    </row>
    <row r="758" spans="1:7" x14ac:dyDescent="0.2">
      <c r="A758" s="6">
        <v>674</v>
      </c>
      <c r="B758" s="6">
        <v>8079.3307594844937</v>
      </c>
      <c r="C758" s="6">
        <v>-1894.0099594844933</v>
      </c>
      <c r="F758" s="6">
        <v>50.336322869955161</v>
      </c>
      <c r="G758" s="6">
        <v>9432.9253000000008</v>
      </c>
    </row>
    <row r="759" spans="1:7" x14ac:dyDescent="0.2">
      <c r="A759" s="6">
        <v>675</v>
      </c>
      <c r="B759" s="6">
        <v>38014.855197279132</v>
      </c>
      <c r="C759" s="6">
        <v>8186.1299027208661</v>
      </c>
      <c r="F759" s="6">
        <v>50.41106128550075</v>
      </c>
      <c r="G759" s="6">
        <v>9447.2503500000003</v>
      </c>
    </row>
    <row r="760" spans="1:7" x14ac:dyDescent="0.2">
      <c r="A760" s="6">
        <v>676</v>
      </c>
      <c r="B760" s="6">
        <v>6385.9791001254043</v>
      </c>
      <c r="C760" s="6">
        <v>836.80714987459578</v>
      </c>
      <c r="F760" s="6">
        <v>50.485799701046339</v>
      </c>
      <c r="G760" s="6">
        <v>9447.3824000000004</v>
      </c>
    </row>
    <row r="761" spans="1:7" x14ac:dyDescent="0.2">
      <c r="A761" s="6">
        <v>677</v>
      </c>
      <c r="B761" s="6">
        <v>16422.525241304887</v>
      </c>
      <c r="C761" s="6">
        <v>-3936.7243413048873</v>
      </c>
      <c r="F761" s="6">
        <v>50.560538116591935</v>
      </c>
      <c r="G761" s="6">
        <v>9487.6442000000006</v>
      </c>
    </row>
    <row r="762" spans="1:7" x14ac:dyDescent="0.2">
      <c r="A762" s="6">
        <v>678</v>
      </c>
      <c r="B762" s="6">
        <v>38897.31526531397</v>
      </c>
      <c r="C762" s="6">
        <v>7233.2112346860304</v>
      </c>
      <c r="F762" s="6">
        <v>50.635276532137524</v>
      </c>
      <c r="G762" s="6">
        <v>9500.5730500000009</v>
      </c>
    </row>
    <row r="763" spans="1:7" x14ac:dyDescent="0.2">
      <c r="A763" s="6">
        <v>679</v>
      </c>
      <c r="B763" s="6">
        <v>15025.437126027064</v>
      </c>
      <c r="C763" s="6">
        <v>-2661.8901260270632</v>
      </c>
      <c r="F763" s="6">
        <v>50.710014947683113</v>
      </c>
      <c r="G763" s="6">
        <v>9504.3102999999992</v>
      </c>
    </row>
    <row r="764" spans="1:7" x14ac:dyDescent="0.2">
      <c r="A764" s="6">
        <v>680</v>
      </c>
      <c r="B764" s="6">
        <v>9107.964143735735</v>
      </c>
      <c r="C764" s="6">
        <v>1048.8190562642649</v>
      </c>
      <c r="F764" s="6">
        <v>50.784753363228702</v>
      </c>
      <c r="G764" s="6">
        <v>9541.6955500000004</v>
      </c>
    </row>
    <row r="765" spans="1:7" x14ac:dyDescent="0.2">
      <c r="A765" s="6">
        <v>681</v>
      </c>
      <c r="B765" s="6">
        <v>-1127.1395262059816</v>
      </c>
      <c r="C765" s="6">
        <v>3712.4085262059816</v>
      </c>
      <c r="F765" s="6">
        <v>50.859491778774292</v>
      </c>
      <c r="G765" s="6">
        <v>9549.5650999999998</v>
      </c>
    </row>
    <row r="766" spans="1:7" x14ac:dyDescent="0.2">
      <c r="A766" s="6">
        <v>682</v>
      </c>
      <c r="B766" s="6">
        <v>-1264.006120353481</v>
      </c>
      <c r="C766" s="6">
        <v>2506.2661203534808</v>
      </c>
      <c r="F766" s="6">
        <v>50.934230194319888</v>
      </c>
      <c r="G766" s="6">
        <v>9563.0290000000005</v>
      </c>
    </row>
    <row r="767" spans="1:7" x14ac:dyDescent="0.2">
      <c r="A767" s="6">
        <v>683</v>
      </c>
      <c r="B767" s="6">
        <v>33760.55836676716</v>
      </c>
      <c r="C767" s="6">
        <v>6343.3316332328395</v>
      </c>
      <c r="F767" s="6">
        <v>51.008968609865477</v>
      </c>
      <c r="G767" s="6">
        <v>9566.9909000000007</v>
      </c>
    </row>
    <row r="768" spans="1:7" x14ac:dyDescent="0.2">
      <c r="A768" s="6">
        <v>684</v>
      </c>
      <c r="B768" s="6">
        <v>9439.7546413081109</v>
      </c>
      <c r="C768" s="6">
        <v>423.71715869188847</v>
      </c>
      <c r="F768" s="6">
        <v>51.083707025411066</v>
      </c>
      <c r="G768" s="6">
        <v>9583.8932999999997</v>
      </c>
    </row>
    <row r="769" spans="1:7" x14ac:dyDescent="0.2">
      <c r="A769" s="6">
        <v>685</v>
      </c>
      <c r="B769" s="6">
        <v>2328.2495032141182</v>
      </c>
      <c r="C769" s="6">
        <v>2437.7724967858817</v>
      </c>
      <c r="F769" s="6">
        <v>51.158445440956655</v>
      </c>
      <c r="G769" s="6">
        <v>9617.6624499999998</v>
      </c>
    </row>
    <row r="770" spans="1:7" x14ac:dyDescent="0.2">
      <c r="A770" s="6">
        <v>686</v>
      </c>
      <c r="B770" s="6">
        <v>11452.633949077674</v>
      </c>
      <c r="C770" s="6">
        <v>-208.25704907767431</v>
      </c>
      <c r="F770" s="6">
        <v>51.233183856502244</v>
      </c>
      <c r="G770" s="6">
        <v>9620.3307000000004</v>
      </c>
    </row>
    <row r="771" spans="1:7" x14ac:dyDescent="0.2">
      <c r="A771" s="6">
        <v>687</v>
      </c>
      <c r="B771" s="6">
        <v>8530.5439368877578</v>
      </c>
      <c r="C771" s="6">
        <v>-800.89818688775813</v>
      </c>
      <c r="F771" s="6">
        <v>51.30792227204784</v>
      </c>
      <c r="G771" s="6">
        <v>9625.92</v>
      </c>
    </row>
    <row r="772" spans="1:7" x14ac:dyDescent="0.2">
      <c r="A772" s="6">
        <v>688</v>
      </c>
      <c r="B772" s="6">
        <v>11310.3541975797</v>
      </c>
      <c r="C772" s="6">
        <v>-5871.6050975796998</v>
      </c>
      <c r="F772" s="6">
        <v>51.382660687593429</v>
      </c>
      <c r="G772" s="6">
        <v>9630.3970000000008</v>
      </c>
    </row>
    <row r="773" spans="1:7" x14ac:dyDescent="0.2">
      <c r="A773" s="6">
        <v>689</v>
      </c>
      <c r="B773" s="6">
        <v>7823.7217789576953</v>
      </c>
      <c r="C773" s="6">
        <v>18412.858191042302</v>
      </c>
      <c r="F773" s="6">
        <v>51.457399103139018</v>
      </c>
      <c r="G773" s="6">
        <v>9634.5380000000005</v>
      </c>
    </row>
    <row r="774" spans="1:7" x14ac:dyDescent="0.2">
      <c r="A774" s="6">
        <v>690</v>
      </c>
      <c r="B774" s="6">
        <v>28713.37383152566</v>
      </c>
      <c r="C774" s="6">
        <v>6093.0938684743414</v>
      </c>
      <c r="F774" s="6">
        <v>51.532137518684607</v>
      </c>
      <c r="G774" s="6">
        <v>9644.2525000000005</v>
      </c>
    </row>
    <row r="775" spans="1:7" x14ac:dyDescent="0.2">
      <c r="A775" s="6">
        <v>691</v>
      </c>
      <c r="B775" s="6">
        <v>2604.463358514573</v>
      </c>
      <c r="C775" s="6">
        <v>-500.34995851457279</v>
      </c>
      <c r="F775" s="6">
        <v>51.606875934230196</v>
      </c>
      <c r="G775" s="6">
        <v>9704.6680500000002</v>
      </c>
    </row>
    <row r="776" spans="1:7" x14ac:dyDescent="0.2">
      <c r="A776" s="6">
        <v>692</v>
      </c>
      <c r="B776" s="6">
        <v>11796.648208253751</v>
      </c>
      <c r="C776" s="6">
        <v>-3728.463208253751</v>
      </c>
      <c r="F776" s="6">
        <v>51.681614349775792</v>
      </c>
      <c r="G776" s="6">
        <v>9715.8410000000003</v>
      </c>
    </row>
    <row r="777" spans="1:7" x14ac:dyDescent="0.2">
      <c r="A777" s="6">
        <v>693</v>
      </c>
      <c r="B777" s="6">
        <v>4177.9826906322978</v>
      </c>
      <c r="C777" s="6">
        <v>-1815.7536406322979</v>
      </c>
      <c r="F777" s="6">
        <v>51.756352765321381</v>
      </c>
      <c r="G777" s="6">
        <v>9722.7695000000003</v>
      </c>
    </row>
    <row r="778" spans="1:7" x14ac:dyDescent="0.2">
      <c r="A778" s="6">
        <v>694</v>
      </c>
      <c r="B778" s="6">
        <v>1765.3567710738143</v>
      </c>
      <c r="C778" s="6">
        <v>587.6116789261855</v>
      </c>
      <c r="F778" s="6">
        <v>51.83109118086697</v>
      </c>
      <c r="G778" s="6">
        <v>9724.5300000000007</v>
      </c>
    </row>
    <row r="779" spans="1:7" x14ac:dyDescent="0.2">
      <c r="A779" s="6">
        <v>695</v>
      </c>
      <c r="B779" s="6">
        <v>6315.9646818467227</v>
      </c>
      <c r="C779" s="6">
        <v>-2737.9656818467229</v>
      </c>
      <c r="F779" s="6">
        <v>51.905829596412559</v>
      </c>
      <c r="G779" s="6">
        <v>9748.9105999999992</v>
      </c>
    </row>
    <row r="780" spans="1:7" x14ac:dyDescent="0.2">
      <c r="A780" s="6">
        <v>696</v>
      </c>
      <c r="B780" s="6">
        <v>8017.2516237308037</v>
      </c>
      <c r="C780" s="6">
        <v>-4816.0064737308039</v>
      </c>
      <c r="F780" s="6">
        <v>51.980568011958148</v>
      </c>
      <c r="G780" s="6">
        <v>9778.3472000000002</v>
      </c>
    </row>
    <row r="781" spans="1:7" x14ac:dyDescent="0.2">
      <c r="A781" s="6">
        <v>697</v>
      </c>
      <c r="B781" s="6">
        <v>13581.797750240628</v>
      </c>
      <c r="C781" s="6">
        <v>15604.684609759373</v>
      </c>
      <c r="F781" s="6">
        <v>52.055306427503744</v>
      </c>
      <c r="G781" s="6">
        <v>9788.8659000000007</v>
      </c>
    </row>
    <row r="782" spans="1:7" x14ac:dyDescent="0.2">
      <c r="A782" s="6">
        <v>698</v>
      </c>
      <c r="B782" s="6">
        <v>33876.436522730612</v>
      </c>
      <c r="C782" s="6">
        <v>6397.2089772693871</v>
      </c>
      <c r="F782" s="6">
        <v>52.130044843049333</v>
      </c>
      <c r="G782" s="6">
        <v>9800.8881999999994</v>
      </c>
    </row>
    <row r="783" spans="1:7" x14ac:dyDescent="0.2">
      <c r="A783" s="6">
        <v>699</v>
      </c>
      <c r="B783" s="6">
        <v>13400.438130130107</v>
      </c>
      <c r="C783" s="6">
        <v>-2424.1923801301073</v>
      </c>
      <c r="F783" s="6">
        <v>52.204783258594922</v>
      </c>
      <c r="G783" s="6">
        <v>9850.4320000000007</v>
      </c>
    </row>
    <row r="784" spans="1:7" x14ac:dyDescent="0.2">
      <c r="A784" s="6">
        <v>700</v>
      </c>
      <c r="B784" s="6">
        <v>7205.263496399928</v>
      </c>
      <c r="C784" s="6">
        <v>-3704.6511963999283</v>
      </c>
      <c r="F784" s="6">
        <v>52.279521674140511</v>
      </c>
      <c r="G784" s="6">
        <v>9855.1314000000002</v>
      </c>
    </row>
    <row r="785" spans="1:7" x14ac:dyDescent="0.2">
      <c r="A785" s="6">
        <v>701</v>
      </c>
      <c r="B785" s="6">
        <v>4248.0985051392681</v>
      </c>
      <c r="C785" s="6">
        <v>-2227.5462051392678</v>
      </c>
      <c r="F785" s="6">
        <v>52.3542600896861</v>
      </c>
      <c r="G785" s="6">
        <v>9861.0249999999996</v>
      </c>
    </row>
    <row r="786" spans="1:7" x14ac:dyDescent="0.2">
      <c r="A786" s="6">
        <v>702</v>
      </c>
      <c r="B786" s="6">
        <v>16081.490132517225</v>
      </c>
      <c r="C786" s="6">
        <v>-6539.7945825172246</v>
      </c>
      <c r="F786" s="6">
        <v>52.428998505231696</v>
      </c>
      <c r="G786" s="6">
        <v>9863.4717999999993</v>
      </c>
    </row>
    <row r="787" spans="1:7" x14ac:dyDescent="0.2">
      <c r="A787" s="6">
        <v>703</v>
      </c>
      <c r="B787" s="6">
        <v>14574.86422077084</v>
      </c>
      <c r="C787" s="6">
        <v>-5070.5539207708407</v>
      </c>
      <c r="F787" s="6">
        <v>52.503736920777285</v>
      </c>
      <c r="G787" s="6">
        <v>9866.3048500000004</v>
      </c>
    </row>
    <row r="788" spans="1:7" x14ac:dyDescent="0.2">
      <c r="A788" s="6">
        <v>704</v>
      </c>
      <c r="B788" s="6">
        <v>5875.213165689398</v>
      </c>
      <c r="C788" s="6">
        <v>-489.87526568939757</v>
      </c>
      <c r="F788" s="6">
        <v>52.578475336322875</v>
      </c>
      <c r="G788" s="6">
        <v>9869.8101999999999</v>
      </c>
    </row>
    <row r="789" spans="1:7" x14ac:dyDescent="0.2">
      <c r="A789" s="6">
        <v>705</v>
      </c>
      <c r="B789" s="6">
        <v>10277.717225744906</v>
      </c>
      <c r="C789" s="6">
        <v>-1346.7826757449056</v>
      </c>
      <c r="F789" s="6">
        <v>52.653213751868464</v>
      </c>
      <c r="G789" s="6">
        <v>9872.7009999999991</v>
      </c>
    </row>
    <row r="790" spans="1:7" x14ac:dyDescent="0.2">
      <c r="A790" s="6">
        <v>706</v>
      </c>
      <c r="B790" s="6">
        <v>7688.1357803593473</v>
      </c>
      <c r="C790" s="6">
        <v>-2313.0977803593478</v>
      </c>
      <c r="F790" s="6">
        <v>52.727952167414053</v>
      </c>
      <c r="G790" s="6">
        <v>9875.6803999999993</v>
      </c>
    </row>
    <row r="791" spans="1:7" x14ac:dyDescent="0.2">
      <c r="A791" s="6">
        <v>707</v>
      </c>
      <c r="B791" s="6">
        <v>36884.350740191105</v>
      </c>
      <c r="C791" s="6">
        <v>7516.0556598088951</v>
      </c>
      <c r="F791" s="6">
        <v>52.802690582959649</v>
      </c>
      <c r="G791" s="6">
        <v>9877.6077000000005</v>
      </c>
    </row>
    <row r="792" spans="1:7" x14ac:dyDescent="0.2">
      <c r="A792" s="6">
        <v>708</v>
      </c>
      <c r="B792" s="6">
        <v>11321.106258885489</v>
      </c>
      <c r="C792" s="6">
        <v>-1056.6641588854891</v>
      </c>
      <c r="F792" s="6">
        <v>52.877428998505238</v>
      </c>
      <c r="G792" s="6">
        <v>9880.0679999999993</v>
      </c>
    </row>
    <row r="793" spans="1:7" x14ac:dyDescent="0.2">
      <c r="A793" s="6">
        <v>709</v>
      </c>
      <c r="B793" s="6">
        <v>7794.2143558005409</v>
      </c>
      <c r="C793" s="6">
        <v>-1680.9833058005406</v>
      </c>
      <c r="F793" s="6">
        <v>52.952167414050827</v>
      </c>
      <c r="G793" s="6">
        <v>9910.3598500000007</v>
      </c>
    </row>
    <row r="794" spans="1:7" x14ac:dyDescent="0.2">
      <c r="A794" s="6">
        <v>710</v>
      </c>
      <c r="B794" s="6">
        <v>6717.5165183420195</v>
      </c>
      <c r="C794" s="6">
        <v>-1248.5099183420198</v>
      </c>
      <c r="F794" s="6">
        <v>53.026905829596416</v>
      </c>
      <c r="G794" s="6">
        <v>9957.7216000000008</v>
      </c>
    </row>
    <row r="795" spans="1:7" x14ac:dyDescent="0.2">
      <c r="A795" s="6">
        <v>711</v>
      </c>
      <c r="B795" s="6">
        <v>3933.6494729728283</v>
      </c>
      <c r="C795" s="6">
        <v>-2206.1094729728284</v>
      </c>
      <c r="F795" s="6">
        <v>53.101644245142005</v>
      </c>
      <c r="G795" s="6">
        <v>9964.06</v>
      </c>
    </row>
    <row r="796" spans="1:7" x14ac:dyDescent="0.2">
      <c r="A796" s="6">
        <v>712</v>
      </c>
      <c r="B796" s="6">
        <v>8804.8719896098064</v>
      </c>
      <c r="C796" s="6">
        <v>1302.3486103901942</v>
      </c>
      <c r="F796" s="6">
        <v>53.176382660687601</v>
      </c>
      <c r="G796" s="6">
        <v>9991.0376500000002</v>
      </c>
    </row>
    <row r="797" spans="1:7" x14ac:dyDescent="0.2">
      <c r="A797" s="6">
        <v>713</v>
      </c>
      <c r="B797" s="6">
        <v>10112.472897861002</v>
      </c>
      <c r="C797" s="6">
        <v>-1801.6337478610021</v>
      </c>
      <c r="F797" s="6">
        <v>53.25112107623319</v>
      </c>
      <c r="G797" s="6">
        <v>10043.249</v>
      </c>
    </row>
    <row r="798" spans="1:7" x14ac:dyDescent="0.2">
      <c r="A798" s="6">
        <v>714</v>
      </c>
      <c r="B798" s="6">
        <v>6794.433182815339</v>
      </c>
      <c r="C798" s="6">
        <v>-4809.9798828153389</v>
      </c>
      <c r="F798" s="6">
        <v>53.325859491778779</v>
      </c>
      <c r="G798" s="6">
        <v>10065.413</v>
      </c>
    </row>
    <row r="799" spans="1:7" x14ac:dyDescent="0.2">
      <c r="A799" s="6">
        <v>715</v>
      </c>
      <c r="B799" s="6">
        <v>931.73494503329903</v>
      </c>
      <c r="C799" s="6">
        <v>1525.7670549667009</v>
      </c>
      <c r="F799" s="6">
        <v>53.400597907324368</v>
      </c>
      <c r="G799" s="6">
        <v>10072.055050000001</v>
      </c>
    </row>
    <row r="800" spans="1:7" x14ac:dyDescent="0.2">
      <c r="A800" s="6">
        <v>716</v>
      </c>
      <c r="B800" s="6">
        <v>12184.168034731008</v>
      </c>
      <c r="C800" s="6">
        <v>-37.197034731008898</v>
      </c>
      <c r="F800" s="6">
        <v>53.475336322869957</v>
      </c>
      <c r="G800" s="6">
        <v>10085.846</v>
      </c>
    </row>
    <row r="801" spans="1:7" x14ac:dyDescent="0.2">
      <c r="A801" s="6">
        <v>717</v>
      </c>
      <c r="B801" s="6">
        <v>8439.1233300284239</v>
      </c>
      <c r="C801" s="6">
        <v>1127.8675699715768</v>
      </c>
      <c r="F801" s="6">
        <v>53.550074738415553</v>
      </c>
      <c r="G801" s="6">
        <v>10096.969999999999</v>
      </c>
    </row>
    <row r="802" spans="1:7" x14ac:dyDescent="0.2">
      <c r="A802" s="6">
        <v>718</v>
      </c>
      <c r="B802" s="6">
        <v>11713.24965421868</v>
      </c>
      <c r="C802" s="6">
        <v>1399.3551457813192</v>
      </c>
      <c r="F802" s="6">
        <v>53.624813153961142</v>
      </c>
      <c r="G802" s="6">
        <v>10106.134249999999</v>
      </c>
    </row>
    <row r="803" spans="1:7" x14ac:dyDescent="0.2">
      <c r="A803" s="6">
        <v>719</v>
      </c>
      <c r="B803" s="6">
        <v>14197.396538020665</v>
      </c>
      <c r="C803" s="6">
        <v>-3349.2622380206649</v>
      </c>
      <c r="F803" s="6">
        <v>53.699551569506731</v>
      </c>
      <c r="G803" s="6">
        <v>10107.220600000001</v>
      </c>
    </row>
    <row r="804" spans="1:7" x14ac:dyDescent="0.2">
      <c r="A804" s="6">
        <v>720</v>
      </c>
      <c r="B804" s="6">
        <v>13948.795060320819</v>
      </c>
      <c r="C804" s="6">
        <v>-1717.1814603208186</v>
      </c>
      <c r="F804" s="6">
        <v>53.77428998505232</v>
      </c>
      <c r="G804" s="6">
        <v>10115.00885</v>
      </c>
    </row>
    <row r="805" spans="1:7" x14ac:dyDescent="0.2">
      <c r="A805" s="6">
        <v>721</v>
      </c>
      <c r="B805" s="6">
        <v>14952.741227054292</v>
      </c>
      <c r="C805" s="6">
        <v>-5077.0608270542925</v>
      </c>
      <c r="F805" s="6">
        <v>53.849028400597909</v>
      </c>
      <c r="G805" s="6">
        <v>10118.424000000001</v>
      </c>
    </row>
    <row r="806" spans="1:7" x14ac:dyDescent="0.2">
      <c r="A806" s="6">
        <v>722</v>
      </c>
      <c r="B806" s="6">
        <v>14424.46479522044</v>
      </c>
      <c r="C806" s="6">
        <v>-3159.9237952204403</v>
      </c>
      <c r="F806" s="6">
        <v>53.923766816143505</v>
      </c>
      <c r="G806" s="6">
        <v>10141.136200000001</v>
      </c>
    </row>
    <row r="807" spans="1:7" x14ac:dyDescent="0.2">
      <c r="A807" s="6">
        <v>723</v>
      </c>
      <c r="B807" s="6">
        <v>15581.025095497844</v>
      </c>
      <c r="C807" s="6">
        <v>-2601.6670954978435</v>
      </c>
      <c r="F807" s="6">
        <v>53.998505231689094</v>
      </c>
      <c r="G807" s="6">
        <v>10156.7832</v>
      </c>
    </row>
    <row r="808" spans="1:7" x14ac:dyDescent="0.2">
      <c r="A808" s="6">
        <v>724</v>
      </c>
      <c r="B808" s="6">
        <v>3857.8150291702036</v>
      </c>
      <c r="C808" s="6">
        <v>-2594.5660291702034</v>
      </c>
      <c r="F808" s="6">
        <v>54.073243647234683</v>
      </c>
      <c r="G808" s="6">
        <v>10197.772199999999</v>
      </c>
    </row>
    <row r="809" spans="1:7" x14ac:dyDescent="0.2">
      <c r="A809" s="6">
        <v>725</v>
      </c>
      <c r="B809" s="6">
        <v>10563.442352362814</v>
      </c>
      <c r="C809" s="6">
        <v>-457.30810236281468</v>
      </c>
      <c r="F809" s="6">
        <v>54.147982062780272</v>
      </c>
      <c r="G809" s="6">
        <v>10214.636</v>
      </c>
    </row>
    <row r="810" spans="1:7" x14ac:dyDescent="0.2">
      <c r="A810" s="6">
        <v>726</v>
      </c>
      <c r="B810" s="6">
        <v>33252.670491428929</v>
      </c>
      <c r="C810" s="6">
        <v>7679.759008571069</v>
      </c>
      <c r="F810" s="6">
        <v>54.222720478325861</v>
      </c>
      <c r="G810" s="6">
        <v>10226.2842</v>
      </c>
    </row>
    <row r="811" spans="1:7" x14ac:dyDescent="0.2">
      <c r="A811" s="6">
        <v>727</v>
      </c>
      <c r="B811" s="6">
        <v>8218.58421400935</v>
      </c>
      <c r="C811" s="6">
        <v>-1553.89826400935</v>
      </c>
      <c r="F811" s="6">
        <v>54.297458893871458</v>
      </c>
      <c r="G811" s="6">
        <v>10231.499900000001</v>
      </c>
    </row>
    <row r="812" spans="1:7" x14ac:dyDescent="0.2">
      <c r="A812" s="6">
        <v>728</v>
      </c>
      <c r="B812" s="6">
        <v>27213.484317781658</v>
      </c>
      <c r="C812" s="6">
        <v>-10555.766867781658</v>
      </c>
      <c r="F812" s="6">
        <v>54.372197309417047</v>
      </c>
      <c r="G812" s="6">
        <v>10264.4421</v>
      </c>
    </row>
    <row r="813" spans="1:7" x14ac:dyDescent="0.2">
      <c r="A813" s="6">
        <v>729</v>
      </c>
      <c r="B813" s="6">
        <v>6347.5880809496903</v>
      </c>
      <c r="C813" s="6">
        <v>-4129.9868809496902</v>
      </c>
      <c r="F813" s="6">
        <v>54.446935724962636</v>
      </c>
      <c r="G813" s="6">
        <v>10269.459999999999</v>
      </c>
    </row>
    <row r="814" spans="1:7" x14ac:dyDescent="0.2">
      <c r="A814" s="6">
        <v>730</v>
      </c>
      <c r="B814" s="6">
        <v>10271.150179904476</v>
      </c>
      <c r="C814" s="6">
        <v>-3489.7959799044766</v>
      </c>
      <c r="F814" s="6">
        <v>54.521674140508225</v>
      </c>
      <c r="G814" s="6">
        <v>10325.206</v>
      </c>
    </row>
    <row r="815" spans="1:7" x14ac:dyDescent="0.2">
      <c r="A815" s="6">
        <v>731</v>
      </c>
      <c r="B815" s="6">
        <v>29443.237668393969</v>
      </c>
      <c r="C815" s="6">
        <v>-10081.238868393968</v>
      </c>
      <c r="F815" s="6">
        <v>54.596412556053814</v>
      </c>
      <c r="G815" s="6">
        <v>10338.9316</v>
      </c>
    </row>
    <row r="816" spans="1:7" x14ac:dyDescent="0.2">
      <c r="A816" s="6">
        <v>732</v>
      </c>
      <c r="B816" s="6">
        <v>8317.723210037404</v>
      </c>
      <c r="C816" s="6">
        <v>1747.6897899625965</v>
      </c>
      <c r="F816" s="6">
        <v>54.67115097159941</v>
      </c>
      <c r="G816" s="6">
        <v>10355.641</v>
      </c>
    </row>
    <row r="817" spans="1:7" x14ac:dyDescent="0.2">
      <c r="A817" s="6">
        <v>733</v>
      </c>
      <c r="B817" s="6">
        <v>4902.1874825619961</v>
      </c>
      <c r="C817" s="6">
        <v>-667.26048256199647</v>
      </c>
      <c r="F817" s="6">
        <v>54.745889387144999</v>
      </c>
      <c r="G817" s="6">
        <v>10370.912549999999</v>
      </c>
    </row>
    <row r="818" spans="1:7" x14ac:dyDescent="0.2">
      <c r="A818" s="6">
        <v>734</v>
      </c>
      <c r="B818" s="6">
        <v>10114.176403474179</v>
      </c>
      <c r="C818" s="6">
        <v>-666.92605347417884</v>
      </c>
      <c r="F818" s="6">
        <v>54.820627802690588</v>
      </c>
      <c r="G818" s="6">
        <v>10381.4787</v>
      </c>
    </row>
    <row r="819" spans="1:7" x14ac:dyDescent="0.2">
      <c r="A819" s="6">
        <v>735</v>
      </c>
      <c r="B819" s="6">
        <v>14570.546728590854</v>
      </c>
      <c r="C819" s="6">
        <v>-563.32472859085465</v>
      </c>
      <c r="F819" s="6">
        <v>54.895366218236177</v>
      </c>
      <c r="G819" s="6">
        <v>10407.085849999999</v>
      </c>
    </row>
    <row r="820" spans="1:7" x14ac:dyDescent="0.2">
      <c r="A820" s="6">
        <v>736</v>
      </c>
      <c r="B820" s="6">
        <v>12563.715725936239</v>
      </c>
      <c r="C820" s="6">
        <v>-2979.8224259362396</v>
      </c>
      <c r="F820" s="6">
        <v>54.970104633781766</v>
      </c>
      <c r="G820" s="6">
        <v>10422.916649999999</v>
      </c>
    </row>
    <row r="821" spans="1:7" x14ac:dyDescent="0.2">
      <c r="A821" s="6">
        <v>737</v>
      </c>
      <c r="B821" s="6">
        <v>33400.295644359809</v>
      </c>
      <c r="C821" s="6">
        <v>7018.7234556401891</v>
      </c>
      <c r="F821" s="6">
        <v>55.044843049327362</v>
      </c>
      <c r="G821" s="6">
        <v>10435.06525</v>
      </c>
    </row>
    <row r="822" spans="1:7" x14ac:dyDescent="0.2">
      <c r="A822" s="6">
        <v>738</v>
      </c>
      <c r="B822" s="6">
        <v>2638.2471799830764</v>
      </c>
      <c r="C822" s="6">
        <v>846.08382001692371</v>
      </c>
      <c r="F822" s="6">
        <v>55.119581464872951</v>
      </c>
      <c r="G822" s="6">
        <v>10436.096</v>
      </c>
    </row>
    <row r="823" spans="1:7" x14ac:dyDescent="0.2">
      <c r="A823" s="6">
        <v>739</v>
      </c>
      <c r="B823" s="6">
        <v>29875.487633228862</v>
      </c>
      <c r="C823" s="6">
        <v>6313.614066771137</v>
      </c>
      <c r="F823" s="6">
        <v>55.19431988041854</v>
      </c>
      <c r="G823" s="6">
        <v>10450.552</v>
      </c>
    </row>
    <row r="824" spans="1:7" x14ac:dyDescent="0.2">
      <c r="A824" s="6">
        <v>740</v>
      </c>
      <c r="B824" s="6">
        <v>31259.833532115852</v>
      </c>
      <c r="C824" s="6">
        <v>13325.622337884146</v>
      </c>
      <c r="F824" s="6">
        <v>55.269058295964129</v>
      </c>
      <c r="G824" s="6">
        <v>10461.9794</v>
      </c>
    </row>
    <row r="825" spans="1:7" x14ac:dyDescent="0.2">
      <c r="A825" s="6">
        <v>741</v>
      </c>
      <c r="B825" s="6">
        <v>8592.1986764531466</v>
      </c>
      <c r="C825" s="6">
        <v>12.284973546853507</v>
      </c>
      <c r="F825" s="6">
        <v>55.343796711509718</v>
      </c>
      <c r="G825" s="6">
        <v>10493.9458</v>
      </c>
    </row>
    <row r="826" spans="1:7" x14ac:dyDescent="0.2">
      <c r="A826" s="6">
        <v>742</v>
      </c>
      <c r="B826" s="6">
        <v>27566.270248227062</v>
      </c>
      <c r="C826" s="6">
        <v>-9319.7747482270606</v>
      </c>
      <c r="F826" s="6">
        <v>55.418535127055314</v>
      </c>
      <c r="G826" s="6">
        <v>10560.4917</v>
      </c>
    </row>
    <row r="827" spans="1:7" x14ac:dyDescent="0.2">
      <c r="A827" s="6">
        <v>743</v>
      </c>
      <c r="B827" s="6">
        <v>36960.261026227643</v>
      </c>
      <c r="C827" s="6">
        <v>6294.1569237723597</v>
      </c>
      <c r="F827" s="6">
        <v>55.493273542600903</v>
      </c>
      <c r="G827" s="6">
        <v>10564.8845</v>
      </c>
    </row>
    <row r="828" spans="1:7" x14ac:dyDescent="0.2">
      <c r="A828" s="6">
        <v>744</v>
      </c>
      <c r="B828" s="6">
        <v>4018.3160382233182</v>
      </c>
      <c r="C828" s="6">
        <v>-260.47123822331832</v>
      </c>
      <c r="F828" s="6">
        <v>55.568011958146492</v>
      </c>
      <c r="G828" s="6">
        <v>10577.087</v>
      </c>
    </row>
    <row r="829" spans="1:7" x14ac:dyDescent="0.2">
      <c r="A829" s="6">
        <v>745</v>
      </c>
      <c r="B829" s="6">
        <v>9378.0999017427239</v>
      </c>
      <c r="C829" s="6">
        <v>-550.89000174272405</v>
      </c>
      <c r="F829" s="6">
        <v>55.642750373692081</v>
      </c>
      <c r="G829" s="6">
        <v>10579.710999999999</v>
      </c>
    </row>
    <row r="830" spans="1:7" x14ac:dyDescent="0.2">
      <c r="A830" s="6">
        <v>746</v>
      </c>
      <c r="B830" s="6">
        <v>11241.626551915126</v>
      </c>
      <c r="C830" s="6">
        <v>-1331.2667019151249</v>
      </c>
      <c r="F830" s="6">
        <v>55.71748878923767</v>
      </c>
      <c r="G830" s="6">
        <v>10594.225700000001</v>
      </c>
    </row>
    <row r="831" spans="1:7" x14ac:dyDescent="0.2">
      <c r="A831" s="6">
        <v>747</v>
      </c>
      <c r="B831" s="6">
        <v>5812.4363971976309</v>
      </c>
      <c r="C831" s="6">
        <v>5925.4124428023697</v>
      </c>
      <c r="F831" s="6">
        <v>55.792227204783266</v>
      </c>
      <c r="G831" s="6">
        <v>10594.501550000001</v>
      </c>
    </row>
    <row r="832" spans="1:7" x14ac:dyDescent="0.2">
      <c r="A832" s="6">
        <v>748</v>
      </c>
      <c r="B832" s="6">
        <v>-163.39255347352264</v>
      </c>
      <c r="C832" s="6">
        <v>1790.6750034735226</v>
      </c>
      <c r="F832" s="6">
        <v>55.866965620328855</v>
      </c>
      <c r="G832" s="6">
        <v>10600.5483</v>
      </c>
    </row>
    <row r="833" spans="1:7" x14ac:dyDescent="0.2">
      <c r="A833" s="6">
        <v>749</v>
      </c>
      <c r="B833" s="6">
        <v>11860.123876926691</v>
      </c>
      <c r="C833" s="6">
        <v>-3303.2168769266918</v>
      </c>
      <c r="F833" s="6">
        <v>55.941704035874444</v>
      </c>
      <c r="G833" s="6">
        <v>10601.412</v>
      </c>
    </row>
    <row r="834" spans="1:7" x14ac:dyDescent="0.2">
      <c r="A834" s="6">
        <v>750</v>
      </c>
      <c r="B834" s="6">
        <v>5241.7589162934701</v>
      </c>
      <c r="C834" s="6">
        <v>-2179.2506662934702</v>
      </c>
      <c r="F834" s="6">
        <v>56.016442451420033</v>
      </c>
      <c r="G834" s="6">
        <v>10601.632250000001</v>
      </c>
    </row>
    <row r="835" spans="1:7" x14ac:dyDescent="0.2">
      <c r="A835" s="6">
        <v>751</v>
      </c>
      <c r="B835" s="6">
        <v>29333.366135565841</v>
      </c>
      <c r="C835" s="6">
        <v>-9794.1231355658419</v>
      </c>
      <c r="F835" s="6">
        <v>56.091180866965622</v>
      </c>
      <c r="G835" s="6">
        <v>10602.385</v>
      </c>
    </row>
    <row r="836" spans="1:7" x14ac:dyDescent="0.2">
      <c r="A836" s="6">
        <v>752</v>
      </c>
      <c r="B836" s="6">
        <v>2799.29688667144</v>
      </c>
      <c r="C836" s="6">
        <v>-892.93863667144001</v>
      </c>
      <c r="F836" s="6">
        <v>56.165919282511219</v>
      </c>
      <c r="G836" s="6">
        <v>10702.642400000001</v>
      </c>
    </row>
    <row r="837" spans="1:7" x14ac:dyDescent="0.2">
      <c r="A837" s="6">
        <v>753</v>
      </c>
      <c r="B837" s="6">
        <v>16873.117586522203</v>
      </c>
      <c r="C837" s="6">
        <v>-2662.5816365222036</v>
      </c>
      <c r="F837" s="6">
        <v>56.240657698056808</v>
      </c>
      <c r="G837" s="6">
        <v>10704.47</v>
      </c>
    </row>
    <row r="838" spans="1:7" x14ac:dyDescent="0.2">
      <c r="A838" s="6">
        <v>754</v>
      </c>
      <c r="B838" s="6">
        <v>9647.5427603299777</v>
      </c>
      <c r="C838" s="6">
        <v>2186.2395396700231</v>
      </c>
      <c r="F838" s="6">
        <v>56.315396113602397</v>
      </c>
      <c r="G838" s="6">
        <v>10713.644</v>
      </c>
    </row>
    <row r="839" spans="1:7" x14ac:dyDescent="0.2">
      <c r="A839" s="6">
        <v>755</v>
      </c>
      <c r="B839" s="6">
        <v>7403.7775508631166</v>
      </c>
      <c r="C839" s="6">
        <v>9724.6485291368845</v>
      </c>
      <c r="F839" s="6">
        <v>56.390134529147986</v>
      </c>
      <c r="G839" s="6">
        <v>10736.87075</v>
      </c>
    </row>
    <row r="840" spans="1:7" x14ac:dyDescent="0.2">
      <c r="A840" s="6">
        <v>756</v>
      </c>
      <c r="B840" s="6">
        <v>6220.6981084654062</v>
      </c>
      <c r="C840" s="6">
        <v>-1189.4285584654062</v>
      </c>
      <c r="F840" s="6">
        <v>56.464872944693575</v>
      </c>
      <c r="G840" s="6">
        <v>10791.96</v>
      </c>
    </row>
    <row r="841" spans="1:7" x14ac:dyDescent="0.2">
      <c r="A841" s="6">
        <v>757</v>
      </c>
      <c r="B841" s="6">
        <v>7238.9715505639106</v>
      </c>
      <c r="C841" s="6">
        <v>746.84344943608903</v>
      </c>
      <c r="F841" s="6">
        <v>56.539611360239171</v>
      </c>
      <c r="G841" s="6">
        <v>10795.937330000001</v>
      </c>
    </row>
    <row r="842" spans="1:7" x14ac:dyDescent="0.2">
      <c r="A842" s="6">
        <v>758</v>
      </c>
      <c r="B842" s="6">
        <v>32386.976299602822</v>
      </c>
      <c r="C842" s="6">
        <v>-9321.5555996028233</v>
      </c>
      <c r="F842" s="6">
        <v>56.61434977578476</v>
      </c>
      <c r="G842" s="6">
        <v>10796.35025</v>
      </c>
    </row>
    <row r="843" spans="1:7" x14ac:dyDescent="0.2">
      <c r="A843" s="6">
        <v>759</v>
      </c>
      <c r="B843" s="6">
        <v>9758.3502446592629</v>
      </c>
      <c r="C843" s="6">
        <v>-4329.6225446592625</v>
      </c>
      <c r="F843" s="6">
        <v>56.689088191330349</v>
      </c>
      <c r="G843" s="6">
        <v>10797.3362</v>
      </c>
    </row>
    <row r="844" spans="1:7" x14ac:dyDescent="0.2">
      <c r="A844" s="6">
        <v>760</v>
      </c>
      <c r="B844" s="6">
        <v>28314.088026960711</v>
      </c>
      <c r="C844" s="6">
        <v>7993.7102730392908</v>
      </c>
      <c r="F844" s="6">
        <v>56.763826606875938</v>
      </c>
      <c r="G844" s="6">
        <v>10806.839</v>
      </c>
    </row>
    <row r="845" spans="1:7" x14ac:dyDescent="0.2">
      <c r="A845" s="6">
        <v>761</v>
      </c>
      <c r="B845" s="6">
        <v>6392.6118958155585</v>
      </c>
      <c r="C845" s="6">
        <v>-2466.8536958155582</v>
      </c>
      <c r="F845" s="6">
        <v>56.838565022421527</v>
      </c>
      <c r="G845" s="6">
        <v>10807.4863</v>
      </c>
    </row>
    <row r="846" spans="1:7" x14ac:dyDescent="0.2">
      <c r="A846" s="6">
        <v>762</v>
      </c>
      <c r="B846" s="6">
        <v>5292.9022937465616</v>
      </c>
      <c r="C846" s="6">
        <v>-2875.9472937465616</v>
      </c>
      <c r="F846" s="6">
        <v>56.913303437967123</v>
      </c>
      <c r="G846" s="6">
        <v>10825.253699999999</v>
      </c>
    </row>
    <row r="847" spans="1:7" x14ac:dyDescent="0.2">
      <c r="A847" s="6">
        <v>763</v>
      </c>
      <c r="B847" s="6">
        <v>28962.533386785057</v>
      </c>
      <c r="C847" s="6">
        <v>-9921.6573867850566</v>
      </c>
      <c r="F847" s="6">
        <v>56.988041853512712</v>
      </c>
      <c r="G847" s="6">
        <v>10848.1343</v>
      </c>
    </row>
    <row r="848" spans="1:7" x14ac:dyDescent="0.2">
      <c r="A848" s="6">
        <v>764</v>
      </c>
      <c r="B848" s="6">
        <v>3694.4741804362448</v>
      </c>
      <c r="C848" s="6">
        <v>-623.66548043624471</v>
      </c>
      <c r="F848" s="6">
        <v>57.062780269058301</v>
      </c>
      <c r="G848" s="6">
        <v>10923.933199999999</v>
      </c>
    </row>
    <row r="849" spans="1:7" x14ac:dyDescent="0.2">
      <c r="A849" s="6">
        <v>765</v>
      </c>
      <c r="B849" s="6">
        <v>9110.1935729646102</v>
      </c>
      <c r="C849" s="6">
        <v>-15.12532296460995</v>
      </c>
      <c r="F849" s="6">
        <v>57.13751868460389</v>
      </c>
      <c r="G849" s="6">
        <v>10928.849</v>
      </c>
    </row>
    <row r="850" spans="1:7" x14ac:dyDescent="0.2">
      <c r="A850" s="6">
        <v>766</v>
      </c>
      <c r="B850" s="6">
        <v>13144.141280201968</v>
      </c>
      <c r="C850" s="6">
        <v>-1301.517530201967</v>
      </c>
      <c r="F850" s="6">
        <v>57.212257100149479</v>
      </c>
      <c r="G850" s="6">
        <v>10942.13205</v>
      </c>
    </row>
    <row r="851" spans="1:7" x14ac:dyDescent="0.2">
      <c r="A851" s="6">
        <v>767</v>
      </c>
      <c r="B851" s="6">
        <v>10473.793739171473</v>
      </c>
      <c r="C851" s="6">
        <v>-2411.029739171473</v>
      </c>
      <c r="F851" s="6">
        <v>57.286995515695075</v>
      </c>
      <c r="G851" s="6">
        <v>10959.33</v>
      </c>
    </row>
    <row r="852" spans="1:7" x14ac:dyDescent="0.2">
      <c r="A852" s="6">
        <v>768</v>
      </c>
      <c r="B852" s="6">
        <v>8201.4879389640701</v>
      </c>
      <c r="C852" s="6">
        <v>-1150.8459389640702</v>
      </c>
      <c r="F852" s="6">
        <v>57.361733931240664</v>
      </c>
      <c r="G852" s="6">
        <v>10959.6947</v>
      </c>
    </row>
    <row r="853" spans="1:7" x14ac:dyDescent="0.2">
      <c r="A853" s="6">
        <v>769</v>
      </c>
      <c r="B853" s="6">
        <v>17006.197103272585</v>
      </c>
      <c r="C853" s="6">
        <v>-2687.1661032725842</v>
      </c>
      <c r="F853" s="6">
        <v>57.436472346786253</v>
      </c>
      <c r="G853" s="6">
        <v>10965.446</v>
      </c>
    </row>
    <row r="854" spans="1:7" x14ac:dyDescent="0.2">
      <c r="A854" s="6">
        <v>770</v>
      </c>
      <c r="B854" s="6">
        <v>5025.8325201967464</v>
      </c>
      <c r="C854" s="6">
        <v>1907.4097298032539</v>
      </c>
      <c r="F854" s="6">
        <v>57.511210762331842</v>
      </c>
      <c r="G854" s="6">
        <v>10976.24575</v>
      </c>
    </row>
    <row r="855" spans="1:7" x14ac:dyDescent="0.2">
      <c r="A855" s="6">
        <v>771</v>
      </c>
      <c r="B855" s="6">
        <v>16309.718888713804</v>
      </c>
      <c r="C855" s="6">
        <v>11631.568691286197</v>
      </c>
      <c r="F855" s="6">
        <v>57.585949177877431</v>
      </c>
      <c r="G855" s="6">
        <v>10977.2063</v>
      </c>
    </row>
    <row r="856" spans="1:7" x14ac:dyDescent="0.2">
      <c r="A856" s="6">
        <v>772</v>
      </c>
      <c r="B856" s="6">
        <v>10722.263418719096</v>
      </c>
      <c r="C856" s="6">
        <v>428.51658128090457</v>
      </c>
      <c r="F856" s="6">
        <v>57.660687593423027</v>
      </c>
      <c r="G856" s="6">
        <v>10982.5013</v>
      </c>
    </row>
    <row r="857" spans="1:7" x14ac:dyDescent="0.2">
      <c r="A857" s="6">
        <v>773</v>
      </c>
      <c r="B857" s="6">
        <v>11736.918123199544</v>
      </c>
      <c r="C857" s="6">
        <v>1060.2914968004552</v>
      </c>
      <c r="F857" s="6">
        <v>57.735426008968616</v>
      </c>
      <c r="G857" s="6">
        <v>11013.7119</v>
      </c>
    </row>
    <row r="858" spans="1:7" x14ac:dyDescent="0.2">
      <c r="A858" s="6">
        <v>774</v>
      </c>
      <c r="B858" s="6">
        <v>26233.209704811641</v>
      </c>
      <c r="C858" s="6">
        <v>-8484.7035048116413</v>
      </c>
      <c r="F858" s="6">
        <v>57.810164424514205</v>
      </c>
      <c r="G858" s="6">
        <v>11015.1747</v>
      </c>
    </row>
    <row r="859" spans="1:7" x14ac:dyDescent="0.2">
      <c r="A859" s="6">
        <v>775</v>
      </c>
      <c r="B859" s="6">
        <v>10659.710822833302</v>
      </c>
      <c r="C859" s="6">
        <v>-3397.9698228333018</v>
      </c>
      <c r="F859" s="6">
        <v>57.884902840059794</v>
      </c>
      <c r="G859" s="6">
        <v>11033.661700000001</v>
      </c>
    </row>
    <row r="860" spans="1:7" x14ac:dyDescent="0.2">
      <c r="A860" s="6">
        <v>776</v>
      </c>
      <c r="B860" s="6">
        <v>12726.618438751304</v>
      </c>
      <c r="C860" s="6">
        <v>-2166.1267387513035</v>
      </c>
      <c r="F860" s="6">
        <v>57.959641255605383</v>
      </c>
      <c r="G860" s="6">
        <v>11070.535</v>
      </c>
    </row>
    <row r="861" spans="1:7" x14ac:dyDescent="0.2">
      <c r="A861" s="6">
        <v>777</v>
      </c>
      <c r="B861" s="6">
        <v>9758.3869084353555</v>
      </c>
      <c r="C861" s="6">
        <v>-2771.6899084353554</v>
      </c>
      <c r="F861" s="6">
        <v>58.03437967115098</v>
      </c>
      <c r="G861" s="6">
        <v>11073.175999999999</v>
      </c>
    </row>
    <row r="862" spans="1:7" x14ac:dyDescent="0.2">
      <c r="A862" s="6">
        <v>778</v>
      </c>
      <c r="B862" s="6">
        <v>12990.278349597827</v>
      </c>
      <c r="C862" s="6">
        <v>-5541.8743995978275</v>
      </c>
      <c r="F862" s="6">
        <v>58.109118086696569</v>
      </c>
      <c r="G862" s="6">
        <v>11082.5772</v>
      </c>
    </row>
    <row r="863" spans="1:7" x14ac:dyDescent="0.2">
      <c r="A863" s="6">
        <v>779</v>
      </c>
      <c r="B863" s="6">
        <v>8952.7183172284676</v>
      </c>
      <c r="C863" s="6">
        <v>-3018.3385172284679</v>
      </c>
      <c r="F863" s="6">
        <v>58.183856502242158</v>
      </c>
      <c r="G863" s="6">
        <v>11085.586799999999</v>
      </c>
    </row>
    <row r="864" spans="1:7" x14ac:dyDescent="0.2">
      <c r="A864" s="6">
        <v>780</v>
      </c>
      <c r="B864" s="6">
        <v>10986.476789773542</v>
      </c>
      <c r="C864" s="6">
        <v>-1116.666589773542</v>
      </c>
      <c r="F864" s="6">
        <v>58.258594917787747</v>
      </c>
      <c r="G864" s="6">
        <v>11090.7178</v>
      </c>
    </row>
    <row r="865" spans="1:7" x14ac:dyDescent="0.2">
      <c r="A865" s="6">
        <v>781</v>
      </c>
      <c r="B865" s="6">
        <v>28227.143094722007</v>
      </c>
      <c r="C865" s="6">
        <v>-9967.9270947220066</v>
      </c>
      <c r="F865" s="6">
        <v>58.333333333333336</v>
      </c>
      <c r="G865" s="6">
        <v>11093.6229</v>
      </c>
    </row>
    <row r="866" spans="1:7" x14ac:dyDescent="0.2">
      <c r="A866" s="6">
        <v>782</v>
      </c>
      <c r="B866" s="6">
        <v>5472.9580422720855</v>
      </c>
      <c r="C866" s="6">
        <v>-4326.1614422720859</v>
      </c>
      <c r="F866" s="6">
        <v>58.408071748878932</v>
      </c>
      <c r="G866" s="6">
        <v>11150.78</v>
      </c>
    </row>
    <row r="867" spans="1:7" x14ac:dyDescent="0.2">
      <c r="A867" s="6">
        <v>783</v>
      </c>
      <c r="B867" s="6">
        <v>12671.088065985656</v>
      </c>
      <c r="C867" s="6">
        <v>-3284.9267659856559</v>
      </c>
      <c r="F867" s="6">
        <v>58.482810164424521</v>
      </c>
      <c r="G867" s="6">
        <v>11163.567999999999</v>
      </c>
    </row>
    <row r="868" spans="1:7" x14ac:dyDescent="0.2">
      <c r="A868" s="6">
        <v>784</v>
      </c>
      <c r="B868" s="6">
        <v>33630.002466120503</v>
      </c>
      <c r="C868" s="6">
        <v>-9109.7384661205033</v>
      </c>
      <c r="F868" s="6">
        <v>58.55754857997011</v>
      </c>
      <c r="G868" s="6">
        <v>11165.417649999999</v>
      </c>
    </row>
    <row r="869" spans="1:7" x14ac:dyDescent="0.2">
      <c r="A869" s="6">
        <v>785</v>
      </c>
      <c r="B869" s="6">
        <v>5389.2873009050691</v>
      </c>
      <c r="C869" s="6">
        <v>-1038.772900905069</v>
      </c>
      <c r="F869" s="6">
        <v>58.632286995515699</v>
      </c>
      <c r="G869" s="6">
        <v>11187.6567</v>
      </c>
    </row>
    <row r="870" spans="1:7" x14ac:dyDescent="0.2">
      <c r="A870" s="6">
        <v>786</v>
      </c>
      <c r="B870" s="6">
        <v>6913.5430718068055</v>
      </c>
      <c r="C870" s="6">
        <v>-499.36507180680564</v>
      </c>
      <c r="F870" s="6">
        <v>58.707025411061288</v>
      </c>
      <c r="G870" s="6">
        <v>11244.376899999999</v>
      </c>
    </row>
    <row r="871" spans="1:7" x14ac:dyDescent="0.2">
      <c r="A871" s="6">
        <v>787</v>
      </c>
      <c r="B871" s="6">
        <v>15876.422294867154</v>
      </c>
      <c r="C871" s="6">
        <v>-3135.2548448671532</v>
      </c>
      <c r="F871" s="6">
        <v>58.781763826606884</v>
      </c>
      <c r="G871" s="6">
        <v>11253.421</v>
      </c>
    </row>
    <row r="872" spans="1:7" x14ac:dyDescent="0.2">
      <c r="A872" s="6">
        <v>788</v>
      </c>
      <c r="B872" s="6">
        <v>5473.8372683929119</v>
      </c>
      <c r="C872" s="6">
        <v>-3556.5188683929118</v>
      </c>
      <c r="F872" s="6">
        <v>58.856502242152473</v>
      </c>
      <c r="G872" s="6">
        <v>11264.540999999999</v>
      </c>
    </row>
    <row r="873" spans="1:7" x14ac:dyDescent="0.2">
      <c r="A873" s="6">
        <v>789</v>
      </c>
      <c r="B873" s="6">
        <v>4442.423531516235</v>
      </c>
      <c r="C873" s="6">
        <v>767.15531848376486</v>
      </c>
      <c r="F873" s="6">
        <v>58.931240657698062</v>
      </c>
      <c r="G873" s="6">
        <v>11272.331389999999</v>
      </c>
    </row>
    <row r="874" spans="1:7" x14ac:dyDescent="0.2">
      <c r="A874" s="6">
        <v>790</v>
      </c>
      <c r="B874" s="6">
        <v>13100.201363796878</v>
      </c>
      <c r="C874" s="6">
        <v>357.75943620312319</v>
      </c>
      <c r="F874" s="6">
        <v>59.005979073243651</v>
      </c>
      <c r="G874" s="6">
        <v>11286.538699999999</v>
      </c>
    </row>
    <row r="875" spans="1:7" x14ac:dyDescent="0.2">
      <c r="A875" s="6">
        <v>791</v>
      </c>
      <c r="B875" s="6">
        <v>11222.123484334652</v>
      </c>
      <c r="C875" s="6">
        <v>-5559.8984843346516</v>
      </c>
      <c r="F875" s="6">
        <v>59.08071748878924</v>
      </c>
      <c r="G875" s="6">
        <v>11289.10925</v>
      </c>
    </row>
    <row r="876" spans="1:7" x14ac:dyDescent="0.2">
      <c r="A876" s="6">
        <v>792</v>
      </c>
      <c r="B876" s="6">
        <v>1212.1060910056526</v>
      </c>
      <c r="C876" s="6">
        <v>40.30090899434731</v>
      </c>
      <c r="F876" s="6">
        <v>59.155455904334836</v>
      </c>
      <c r="G876" s="6">
        <v>11299.343000000001</v>
      </c>
    </row>
    <row r="877" spans="1:7" x14ac:dyDescent="0.2">
      <c r="A877" s="6">
        <v>793</v>
      </c>
      <c r="B877" s="6">
        <v>1574.8054343537169</v>
      </c>
      <c r="C877" s="6">
        <v>1157.1067656462833</v>
      </c>
      <c r="F877" s="6">
        <v>59.230194319880425</v>
      </c>
      <c r="G877" s="6">
        <v>11305.93455</v>
      </c>
    </row>
    <row r="878" spans="1:7" x14ac:dyDescent="0.2">
      <c r="A878" s="6">
        <v>794</v>
      </c>
      <c r="B878" s="6">
        <v>31446.189421908675</v>
      </c>
      <c r="C878" s="6">
        <v>-10250.371421908676</v>
      </c>
      <c r="F878" s="6">
        <v>59.304932735426014</v>
      </c>
      <c r="G878" s="6">
        <v>11326.71487</v>
      </c>
    </row>
    <row r="879" spans="1:7" x14ac:dyDescent="0.2">
      <c r="A879" s="6">
        <v>795</v>
      </c>
      <c r="B879" s="6">
        <v>9503.9514029209986</v>
      </c>
      <c r="C879" s="6">
        <v>-2294.4596029209988</v>
      </c>
      <c r="F879" s="6">
        <v>59.379671150971603</v>
      </c>
      <c r="G879" s="6">
        <v>11345.519</v>
      </c>
    </row>
    <row r="880" spans="1:7" x14ac:dyDescent="0.2">
      <c r="A880" s="6">
        <v>796</v>
      </c>
      <c r="B880" s="6">
        <v>28027.852653343198</v>
      </c>
      <c r="C880" s="6">
        <v>-9717.1106533431994</v>
      </c>
      <c r="F880" s="6">
        <v>59.454409566517192</v>
      </c>
      <c r="G880" s="6">
        <v>11353.2276</v>
      </c>
    </row>
    <row r="881" spans="1:7" x14ac:dyDescent="0.2">
      <c r="A881" s="6">
        <v>797</v>
      </c>
      <c r="B881" s="6">
        <v>10550.951200139913</v>
      </c>
      <c r="C881" s="6">
        <v>-6284.7854001399128</v>
      </c>
      <c r="F881" s="6">
        <v>59.529147982062788</v>
      </c>
      <c r="G881" s="6">
        <v>11356.660900000001</v>
      </c>
    </row>
    <row r="882" spans="1:7" x14ac:dyDescent="0.2">
      <c r="A882" s="6">
        <v>798</v>
      </c>
      <c r="B882" s="6">
        <v>4008.4866655225442</v>
      </c>
      <c r="C882" s="6">
        <v>711.03738447745582</v>
      </c>
      <c r="F882" s="6">
        <v>59.603886397608377</v>
      </c>
      <c r="G882" s="6">
        <v>11362.754999999999</v>
      </c>
    </row>
    <row r="883" spans="1:7" x14ac:dyDescent="0.2">
      <c r="A883" s="6">
        <v>799</v>
      </c>
      <c r="B883" s="6">
        <v>13226.382194216949</v>
      </c>
      <c r="C883" s="6">
        <v>-1378.2411942169492</v>
      </c>
      <c r="F883" s="6">
        <v>59.678624813153966</v>
      </c>
      <c r="G883" s="6">
        <v>11363.2832</v>
      </c>
    </row>
    <row r="884" spans="1:7" x14ac:dyDescent="0.2">
      <c r="A884" s="6">
        <v>800</v>
      </c>
      <c r="B884" s="6">
        <v>28665.242922363766</v>
      </c>
      <c r="C884" s="6">
        <v>-10760.715872363766</v>
      </c>
      <c r="F884" s="6">
        <v>59.753363228699556</v>
      </c>
      <c r="G884" s="6">
        <v>11365.951999999999</v>
      </c>
    </row>
    <row r="885" spans="1:7" x14ac:dyDescent="0.2">
      <c r="A885" s="6">
        <v>801</v>
      </c>
      <c r="B885" s="6">
        <v>7169.9913416945092</v>
      </c>
      <c r="C885" s="6">
        <v>-123.26914169450902</v>
      </c>
      <c r="F885" s="6">
        <v>59.828101644245145</v>
      </c>
      <c r="G885" s="6">
        <v>11381.3254</v>
      </c>
    </row>
    <row r="886" spans="1:7" x14ac:dyDescent="0.2">
      <c r="A886" s="6">
        <v>802</v>
      </c>
      <c r="B886" s="6">
        <v>15666.034463217155</v>
      </c>
      <c r="C886" s="6">
        <v>-1352.1881632171553</v>
      </c>
      <c r="F886" s="6">
        <v>59.902840059790741</v>
      </c>
      <c r="G886" s="6">
        <v>11394.065549999999</v>
      </c>
    </row>
    <row r="887" spans="1:7" x14ac:dyDescent="0.2">
      <c r="A887" s="6">
        <v>803</v>
      </c>
      <c r="B887" s="6">
        <v>403.59403709202775</v>
      </c>
      <c r="C887" s="6">
        <v>1699.4859629079722</v>
      </c>
      <c r="F887" s="6">
        <v>59.97757847533633</v>
      </c>
      <c r="G887" s="6">
        <v>11396.9002</v>
      </c>
    </row>
    <row r="888" spans="1:7" x14ac:dyDescent="0.2">
      <c r="A888" s="6">
        <v>804</v>
      </c>
      <c r="B888" s="6">
        <v>29825.919742551938</v>
      </c>
      <c r="C888" s="6">
        <v>8966.7658574480593</v>
      </c>
      <c r="F888" s="6">
        <v>60.052316890881919</v>
      </c>
      <c r="G888" s="6">
        <v>11411.684999999999</v>
      </c>
    </row>
    <row r="889" spans="1:7" x14ac:dyDescent="0.2">
      <c r="A889" s="6">
        <v>805</v>
      </c>
      <c r="B889" s="6">
        <v>1794.8395786322351</v>
      </c>
      <c r="C889" s="6">
        <v>21.036321367764913</v>
      </c>
      <c r="F889" s="6">
        <v>60.127055306427508</v>
      </c>
      <c r="G889" s="6">
        <v>11436.738149999999</v>
      </c>
    </row>
    <row r="890" spans="1:7" x14ac:dyDescent="0.2">
      <c r="A890" s="6">
        <v>806</v>
      </c>
      <c r="B890" s="6">
        <v>11415.246929661042</v>
      </c>
      <c r="C890" s="6">
        <v>-3683.3890796610413</v>
      </c>
      <c r="F890" s="6">
        <v>60.201793721973097</v>
      </c>
      <c r="G890" s="6">
        <v>11454.021500000001</v>
      </c>
    </row>
    <row r="891" spans="1:7" x14ac:dyDescent="0.2">
      <c r="A891" s="6">
        <v>807</v>
      </c>
      <c r="B891" s="6">
        <v>12507.645019612195</v>
      </c>
      <c r="C891" s="6">
        <v>15969.089970387806</v>
      </c>
      <c r="F891" s="6">
        <v>60.276532137518693</v>
      </c>
      <c r="G891" s="6">
        <v>11455.28</v>
      </c>
    </row>
    <row r="892" spans="1:7" x14ac:dyDescent="0.2">
      <c r="A892" s="6">
        <v>808</v>
      </c>
      <c r="B892" s="6">
        <v>4994.7687884342358</v>
      </c>
      <c r="C892" s="6">
        <v>-2857.8865384342357</v>
      </c>
      <c r="F892" s="6">
        <v>60.351270553064282</v>
      </c>
      <c r="G892" s="6">
        <v>11482.63485</v>
      </c>
    </row>
    <row r="893" spans="1:7" x14ac:dyDescent="0.2">
      <c r="A893" s="6">
        <v>809</v>
      </c>
      <c r="B893" s="6">
        <v>1741.8300525528437</v>
      </c>
      <c r="C893" s="6">
        <v>-610.32345255284372</v>
      </c>
      <c r="F893" s="6">
        <v>60.426008968609871</v>
      </c>
      <c r="G893" s="6">
        <v>11488.31695</v>
      </c>
    </row>
    <row r="894" spans="1:7" x14ac:dyDescent="0.2">
      <c r="A894" s="6">
        <v>810</v>
      </c>
      <c r="B894" s="6">
        <v>3591.8152643246212</v>
      </c>
      <c r="C894" s="6">
        <v>-282.02266432462102</v>
      </c>
      <c r="F894" s="6">
        <v>60.50074738415546</v>
      </c>
      <c r="G894" s="6">
        <v>11512.405000000001</v>
      </c>
    </row>
    <row r="895" spans="1:7" x14ac:dyDescent="0.2">
      <c r="A895" s="6">
        <v>811</v>
      </c>
      <c r="B895" s="6">
        <v>10790.462655911238</v>
      </c>
      <c r="C895" s="6">
        <v>-1375.5426559112384</v>
      </c>
      <c r="F895" s="6">
        <v>60.575485799701049</v>
      </c>
      <c r="G895" s="6">
        <v>11520.099850000001</v>
      </c>
    </row>
    <row r="896" spans="1:7" x14ac:dyDescent="0.2">
      <c r="A896" s="6">
        <v>812</v>
      </c>
      <c r="B896" s="6">
        <v>12176.225691637501</v>
      </c>
      <c r="C896" s="6">
        <v>-5815.2320916375011</v>
      </c>
      <c r="F896" s="6">
        <v>60.650224215246645</v>
      </c>
      <c r="G896" s="6">
        <v>11534.872649999999</v>
      </c>
    </row>
    <row r="897" spans="1:7" x14ac:dyDescent="0.2">
      <c r="A897" s="6">
        <v>813</v>
      </c>
      <c r="B897" s="6">
        <v>8842.8236027286657</v>
      </c>
      <c r="C897" s="6">
        <v>2170.8882972713345</v>
      </c>
      <c r="F897" s="6">
        <v>60.724962630792234</v>
      </c>
      <c r="G897" s="6">
        <v>11538.421</v>
      </c>
    </row>
    <row r="898" spans="1:7" x14ac:dyDescent="0.2">
      <c r="A898" s="6">
        <v>814</v>
      </c>
      <c r="B898" s="6">
        <v>3710.0666338297547</v>
      </c>
      <c r="C898" s="6">
        <v>718.82121617024541</v>
      </c>
      <c r="F898" s="6">
        <v>60.799701046337823</v>
      </c>
      <c r="G898" s="6">
        <v>11552.904</v>
      </c>
    </row>
    <row r="899" spans="1:7" x14ac:dyDescent="0.2">
      <c r="A899" s="6">
        <v>815</v>
      </c>
      <c r="B899" s="6">
        <v>8771.385404513876</v>
      </c>
      <c r="C899" s="6">
        <v>-3187.0797045138761</v>
      </c>
      <c r="F899" s="6">
        <v>60.874439461883412</v>
      </c>
      <c r="G899" s="6">
        <v>11554.223599999999</v>
      </c>
    </row>
    <row r="900" spans="1:7" x14ac:dyDescent="0.2">
      <c r="A900" s="6">
        <v>816</v>
      </c>
      <c r="B900" s="6">
        <v>2834.5924757889561</v>
      </c>
      <c r="C900" s="6">
        <v>-956.66307578895612</v>
      </c>
      <c r="F900" s="6">
        <v>60.949177877429001</v>
      </c>
      <c r="G900" s="6">
        <v>11566.30055</v>
      </c>
    </row>
    <row r="901" spans="1:7" x14ac:dyDescent="0.2">
      <c r="A901" s="6">
        <v>817</v>
      </c>
      <c r="B901" s="6">
        <v>2090.0113990271002</v>
      </c>
      <c r="C901" s="6">
        <v>752.74935097289972</v>
      </c>
      <c r="F901" s="6">
        <v>61.023916292974597</v>
      </c>
      <c r="G901" s="6">
        <v>11576.13</v>
      </c>
    </row>
    <row r="902" spans="1:7" x14ac:dyDescent="0.2">
      <c r="A902" s="6">
        <v>818</v>
      </c>
      <c r="B902" s="6">
        <v>6888.3709459054226</v>
      </c>
      <c r="C902" s="6">
        <v>-3290.7749459054226</v>
      </c>
      <c r="F902" s="6">
        <v>61.098654708520186</v>
      </c>
      <c r="G902" s="6">
        <v>11657.7189</v>
      </c>
    </row>
    <row r="903" spans="1:7" x14ac:dyDescent="0.2">
      <c r="A903" s="6">
        <v>819</v>
      </c>
      <c r="B903" s="6">
        <v>33319.174055733296</v>
      </c>
      <c r="C903" s="6">
        <v>-9917.8683057332964</v>
      </c>
      <c r="F903" s="6">
        <v>61.173393124065775</v>
      </c>
      <c r="G903" s="6">
        <v>11658.11505</v>
      </c>
    </row>
    <row r="904" spans="1:7" x14ac:dyDescent="0.2">
      <c r="A904" s="6">
        <v>820</v>
      </c>
      <c r="B904" s="6">
        <v>32084.8351068466</v>
      </c>
      <c r="C904" s="6">
        <v>23050.566983153403</v>
      </c>
      <c r="F904" s="6">
        <v>61.248131539611364</v>
      </c>
      <c r="G904" s="6">
        <v>11658.379150000001</v>
      </c>
    </row>
    <row r="905" spans="1:7" x14ac:dyDescent="0.2">
      <c r="A905" s="6">
        <v>821</v>
      </c>
      <c r="B905" s="6">
        <v>10434.951869151955</v>
      </c>
      <c r="C905" s="6">
        <v>-2989.0338691519555</v>
      </c>
      <c r="F905" s="6">
        <v>61.322869955156953</v>
      </c>
      <c r="G905" s="6">
        <v>11674.13</v>
      </c>
    </row>
    <row r="906" spans="1:7" x14ac:dyDescent="0.2">
      <c r="A906" s="6">
        <v>822</v>
      </c>
      <c r="B906" s="6">
        <v>248.9966562876325</v>
      </c>
      <c r="C906" s="6">
        <v>2431.9526437123677</v>
      </c>
      <c r="F906" s="6">
        <v>61.39760837070255</v>
      </c>
      <c r="G906" s="6">
        <v>11729.6795</v>
      </c>
    </row>
    <row r="907" spans="1:7" x14ac:dyDescent="0.2">
      <c r="A907" s="6">
        <v>823</v>
      </c>
      <c r="B907" s="6">
        <v>2208.945931022683</v>
      </c>
      <c r="C907" s="6">
        <v>-587.06323102268288</v>
      </c>
      <c r="F907" s="6">
        <v>61.472346786248139</v>
      </c>
      <c r="G907" s="6">
        <v>11735.87905</v>
      </c>
    </row>
    <row r="908" spans="1:7" x14ac:dyDescent="0.2">
      <c r="A908" s="6">
        <v>824</v>
      </c>
      <c r="B908" s="6">
        <v>9390.4768285256851</v>
      </c>
      <c r="C908" s="6">
        <v>-1171.2729285256846</v>
      </c>
      <c r="F908" s="6">
        <v>61.547085201793728</v>
      </c>
      <c r="G908" s="6">
        <v>11737.848840000001</v>
      </c>
    </row>
    <row r="909" spans="1:7" x14ac:dyDescent="0.2">
      <c r="A909" s="6">
        <v>825</v>
      </c>
      <c r="B909" s="6">
        <v>11237.749109069548</v>
      </c>
      <c r="C909" s="6">
        <v>1285.8556909304516</v>
      </c>
      <c r="F909" s="6">
        <v>61.621823617339317</v>
      </c>
      <c r="G909" s="6">
        <v>11741.726000000001</v>
      </c>
    </row>
    <row r="910" spans="1:7" x14ac:dyDescent="0.2">
      <c r="A910" s="6">
        <v>826</v>
      </c>
      <c r="B910" s="6">
        <v>16246.100737686309</v>
      </c>
      <c r="C910" s="6">
        <v>-177.01598768630902</v>
      </c>
      <c r="F910" s="6">
        <v>61.696562032884906</v>
      </c>
      <c r="G910" s="6">
        <v>11743.299000000001</v>
      </c>
    </row>
    <row r="911" spans="1:7" x14ac:dyDescent="0.2">
      <c r="A911" s="6">
        <v>827</v>
      </c>
      <c r="B911" s="6">
        <v>36861.576279641034</v>
      </c>
      <c r="C911" s="6">
        <v>6952.2898203589648</v>
      </c>
      <c r="F911" s="6">
        <v>61.771300448430502</v>
      </c>
      <c r="G911" s="6">
        <v>11743.9341</v>
      </c>
    </row>
    <row r="912" spans="1:7" x14ac:dyDescent="0.2">
      <c r="A912" s="6">
        <v>828</v>
      </c>
      <c r="B912" s="6">
        <v>31006.907380287954</v>
      </c>
      <c r="C912" s="6">
        <v>-10233.279630287954</v>
      </c>
      <c r="F912" s="6">
        <v>61.846038863976091</v>
      </c>
      <c r="G912" s="6">
        <v>11763.000899999999</v>
      </c>
    </row>
    <row r="913" spans="1:7" x14ac:dyDescent="0.2">
      <c r="A913" s="6">
        <v>829</v>
      </c>
      <c r="B913" s="6">
        <v>34176.668197970823</v>
      </c>
      <c r="C913" s="6">
        <v>5420.7390020291787</v>
      </c>
      <c r="F913" s="6">
        <v>61.92077727952168</v>
      </c>
      <c r="G913" s="6">
        <v>11830.6072</v>
      </c>
    </row>
    <row r="914" spans="1:7" x14ac:dyDescent="0.2">
      <c r="A914" s="6">
        <v>830</v>
      </c>
      <c r="B914" s="6">
        <v>5481.458420515597</v>
      </c>
      <c r="C914" s="6">
        <v>636.03607948440276</v>
      </c>
      <c r="F914" s="6">
        <v>61.995515695067269</v>
      </c>
      <c r="G914" s="6">
        <v>11833.782300000001</v>
      </c>
    </row>
    <row r="915" spans="1:7" x14ac:dyDescent="0.2">
      <c r="A915" s="6">
        <v>831</v>
      </c>
      <c r="B915" s="6">
        <v>14379.349597508581</v>
      </c>
      <c r="C915" s="6">
        <v>-985.5935975085813</v>
      </c>
      <c r="F915" s="6">
        <v>62.070254110612858</v>
      </c>
      <c r="G915" s="6">
        <v>11837.16</v>
      </c>
    </row>
    <row r="916" spans="1:7" x14ac:dyDescent="0.2">
      <c r="A916" s="6">
        <v>832</v>
      </c>
      <c r="B916" s="6">
        <v>5720.0850570567818</v>
      </c>
      <c r="C916" s="6">
        <v>-453.71945705678172</v>
      </c>
      <c r="F916" s="6">
        <v>62.144992526158454</v>
      </c>
      <c r="G916" s="6">
        <v>11840.77505</v>
      </c>
    </row>
    <row r="917" spans="1:7" x14ac:dyDescent="0.2">
      <c r="A917" s="6">
        <v>833</v>
      </c>
      <c r="B917" s="6">
        <v>3939.5443871026368</v>
      </c>
      <c r="C917" s="6">
        <v>780.19216289736278</v>
      </c>
      <c r="F917" s="6">
        <v>62.219730941704043</v>
      </c>
      <c r="G917" s="6">
        <v>11842.441999999999</v>
      </c>
    </row>
    <row r="918" spans="1:7" x14ac:dyDescent="0.2">
      <c r="A918" s="6">
        <v>834</v>
      </c>
      <c r="B918" s="6">
        <v>14139.714481856012</v>
      </c>
      <c r="C918" s="6">
        <v>-2395.7803818560114</v>
      </c>
      <c r="F918" s="6">
        <v>62.294469357249632</v>
      </c>
      <c r="G918" s="6">
        <v>11842.623750000001</v>
      </c>
    </row>
    <row r="919" spans="1:7" x14ac:dyDescent="0.2">
      <c r="A919" s="6">
        <v>835</v>
      </c>
      <c r="B919" s="6">
        <v>8771.0350026253091</v>
      </c>
      <c r="C919" s="6">
        <v>-3393.5772026253089</v>
      </c>
      <c r="F919" s="6">
        <v>62.369207772795221</v>
      </c>
      <c r="G919" s="6">
        <v>11848.141</v>
      </c>
    </row>
    <row r="920" spans="1:7" x14ac:dyDescent="0.2">
      <c r="A920" s="6">
        <v>836</v>
      </c>
      <c r="B920" s="6">
        <v>10834.881438298657</v>
      </c>
      <c r="C920" s="6">
        <v>-3674.551138298657</v>
      </c>
      <c r="F920" s="6">
        <v>62.44394618834081</v>
      </c>
      <c r="G920" s="6">
        <v>11856.4115</v>
      </c>
    </row>
    <row r="921" spans="1:7" x14ac:dyDescent="0.2">
      <c r="A921" s="6">
        <v>837</v>
      </c>
      <c r="B921" s="6">
        <v>6901.5185532228425</v>
      </c>
      <c r="C921" s="6">
        <v>-2499.2855532228423</v>
      </c>
      <c r="F921" s="6">
        <v>62.518684603886406</v>
      </c>
      <c r="G921" s="6">
        <v>11879.10405</v>
      </c>
    </row>
    <row r="922" spans="1:7" x14ac:dyDescent="0.2">
      <c r="A922" s="6">
        <v>838</v>
      </c>
      <c r="B922" s="6">
        <v>12047.983837647158</v>
      </c>
      <c r="C922" s="6">
        <v>-390.26493764715815</v>
      </c>
      <c r="F922" s="6">
        <v>62.593423019431995</v>
      </c>
      <c r="G922" s="6">
        <v>11881.358</v>
      </c>
    </row>
    <row r="923" spans="1:7" x14ac:dyDescent="0.2">
      <c r="A923" s="6">
        <v>839</v>
      </c>
      <c r="B923" s="6">
        <v>5961.6092419165943</v>
      </c>
      <c r="C923" s="6">
        <v>440.68210808340609</v>
      </c>
      <c r="F923" s="6">
        <v>62.668161434977584</v>
      </c>
      <c r="G923" s="6">
        <v>11881.9696</v>
      </c>
    </row>
    <row r="924" spans="1:7" x14ac:dyDescent="0.2">
      <c r="A924" s="6">
        <v>840</v>
      </c>
      <c r="B924" s="6">
        <v>13496.737094811513</v>
      </c>
      <c r="C924" s="6">
        <v>-874.5575948115129</v>
      </c>
      <c r="F924" s="6">
        <v>62.742899850523173</v>
      </c>
      <c r="G924" s="6">
        <v>11884.048580000001</v>
      </c>
    </row>
    <row r="925" spans="1:7" x14ac:dyDescent="0.2">
      <c r="A925" s="6">
        <v>841</v>
      </c>
      <c r="B925" s="6">
        <v>2912.995883718288</v>
      </c>
      <c r="C925" s="6">
        <v>-1386.6838837182881</v>
      </c>
      <c r="F925" s="6">
        <v>62.817638266068762</v>
      </c>
      <c r="G925" s="6">
        <v>11931.125249999999</v>
      </c>
    </row>
    <row r="926" spans="1:7" x14ac:dyDescent="0.2">
      <c r="A926" s="6">
        <v>842</v>
      </c>
      <c r="B926" s="6">
        <v>11462.750168328959</v>
      </c>
      <c r="C926" s="6">
        <v>861.18583167104043</v>
      </c>
      <c r="F926" s="6">
        <v>62.892376681614358</v>
      </c>
      <c r="G926" s="6">
        <v>11938.255950000001</v>
      </c>
    </row>
    <row r="927" spans="1:7" x14ac:dyDescent="0.2">
      <c r="A927" s="6">
        <v>843</v>
      </c>
      <c r="B927" s="6">
        <v>28852.432524378393</v>
      </c>
      <c r="C927" s="6">
        <v>7168.5786756216075</v>
      </c>
      <c r="F927" s="6">
        <v>62.967115097159947</v>
      </c>
      <c r="G927" s="6">
        <v>11944.594349999999</v>
      </c>
    </row>
    <row r="928" spans="1:7" x14ac:dyDescent="0.2">
      <c r="A928" s="6">
        <v>844</v>
      </c>
      <c r="B928" s="6">
        <v>35627.142863125766</v>
      </c>
      <c r="C928" s="6">
        <v>-8093.2299631257665</v>
      </c>
      <c r="F928" s="6">
        <v>63.041853512705536</v>
      </c>
      <c r="G928" s="6">
        <v>11945.1327</v>
      </c>
    </row>
    <row r="929" spans="1:7" x14ac:dyDescent="0.2">
      <c r="A929" s="6">
        <v>845</v>
      </c>
      <c r="B929" s="6">
        <v>11887.23811677969</v>
      </c>
      <c r="C929" s="6">
        <v>-1815.1830667796894</v>
      </c>
      <c r="F929" s="6">
        <v>63.116591928251125</v>
      </c>
      <c r="G929" s="6">
        <v>11946.625899999999</v>
      </c>
    </row>
    <row r="930" spans="1:7" x14ac:dyDescent="0.2">
      <c r="A930" s="6">
        <v>846</v>
      </c>
      <c r="B930" s="6">
        <v>37293.182638270431</v>
      </c>
      <c r="C930" s="6">
        <v>7715.7728617295652</v>
      </c>
      <c r="F930" s="6">
        <v>63.191330343796714</v>
      </c>
      <c r="G930" s="6">
        <v>11987.1682</v>
      </c>
    </row>
    <row r="931" spans="1:7" x14ac:dyDescent="0.2">
      <c r="A931" s="6">
        <v>847</v>
      </c>
      <c r="B931" s="6">
        <v>12277.001070576571</v>
      </c>
      <c r="C931" s="6">
        <v>-2404.3000705765717</v>
      </c>
      <c r="F931" s="6">
        <v>63.266068759342311</v>
      </c>
      <c r="G931" s="6">
        <v>12029.286700000001</v>
      </c>
    </row>
    <row r="932" spans="1:7" x14ac:dyDescent="0.2">
      <c r="A932" s="6">
        <v>848</v>
      </c>
      <c r="B932" s="6">
        <v>10366.887861472122</v>
      </c>
      <c r="C932" s="6">
        <v>-7928.8326614721218</v>
      </c>
      <c r="F932" s="6">
        <v>63.3408071748879</v>
      </c>
      <c r="G932" s="6">
        <v>12032.325999999999</v>
      </c>
    </row>
    <row r="933" spans="1:7" x14ac:dyDescent="0.2">
      <c r="A933" s="6">
        <v>849</v>
      </c>
      <c r="B933" s="6">
        <v>2211.0941830616025</v>
      </c>
      <c r="C933" s="6">
        <v>763.0318169383977</v>
      </c>
      <c r="F933" s="6">
        <v>63.415545590433489</v>
      </c>
      <c r="G933" s="6">
        <v>12044.342000000001</v>
      </c>
    </row>
    <row r="934" spans="1:7" x14ac:dyDescent="0.2">
      <c r="A934" s="6">
        <v>850</v>
      </c>
      <c r="B934" s="6">
        <v>12821.34799666246</v>
      </c>
      <c r="C934" s="6">
        <v>-2219.7157466624594</v>
      </c>
      <c r="F934" s="6">
        <v>63.490284005979078</v>
      </c>
      <c r="G934" s="6">
        <v>12094.477999999999</v>
      </c>
    </row>
    <row r="935" spans="1:7" x14ac:dyDescent="0.2">
      <c r="A935" s="6">
        <v>851</v>
      </c>
      <c r="B935" s="6">
        <v>31854.05551176914</v>
      </c>
      <c r="C935" s="6">
        <v>5416.0956882308601</v>
      </c>
      <c r="F935" s="6">
        <v>63.565022421524667</v>
      </c>
      <c r="G935" s="6">
        <v>12096.6512</v>
      </c>
    </row>
    <row r="936" spans="1:7" x14ac:dyDescent="0.2">
      <c r="A936" s="6">
        <v>852</v>
      </c>
      <c r="B936" s="6">
        <v>15152.370311719664</v>
      </c>
      <c r="C936" s="6">
        <v>-1032.7503117196629</v>
      </c>
      <c r="F936" s="6">
        <v>63.639760837070263</v>
      </c>
      <c r="G936" s="6">
        <v>12105.32</v>
      </c>
    </row>
    <row r="937" spans="1:7" x14ac:dyDescent="0.2">
      <c r="A937" s="6">
        <v>853</v>
      </c>
      <c r="B937" s="6">
        <v>35776.931589256761</v>
      </c>
      <c r="C937" s="6">
        <v>6334.7331107432401</v>
      </c>
      <c r="F937" s="6">
        <v>63.714499252615852</v>
      </c>
      <c r="G937" s="6">
        <v>12124.992399999999</v>
      </c>
    </row>
    <row r="938" spans="1:7" x14ac:dyDescent="0.2">
      <c r="A938" s="6">
        <v>854</v>
      </c>
      <c r="B938" s="6">
        <v>10681.693721867947</v>
      </c>
      <c r="C938" s="6">
        <v>1047.9857781320534</v>
      </c>
      <c r="F938" s="6">
        <v>63.789237668161441</v>
      </c>
      <c r="G938" s="6">
        <v>12129.614149999999</v>
      </c>
    </row>
    <row r="939" spans="1:7" x14ac:dyDescent="0.2">
      <c r="A939" s="6">
        <v>855</v>
      </c>
      <c r="B939" s="6">
        <v>34010.526776873536</v>
      </c>
      <c r="C939" s="6">
        <v>-9903.6142268735348</v>
      </c>
      <c r="F939" s="6">
        <v>63.86397608370703</v>
      </c>
      <c r="G939" s="6">
        <v>12142.578600000001</v>
      </c>
    </row>
    <row r="940" spans="1:7" x14ac:dyDescent="0.2">
      <c r="A940" s="6">
        <v>856</v>
      </c>
      <c r="B940" s="6">
        <v>2278.6637101597876</v>
      </c>
      <c r="C940" s="6">
        <v>-403.31971015978752</v>
      </c>
      <c r="F940" s="6">
        <v>63.938714499252619</v>
      </c>
      <c r="G940" s="6">
        <v>12146.971</v>
      </c>
    </row>
    <row r="941" spans="1:7" x14ac:dyDescent="0.2">
      <c r="A941" s="6">
        <v>857</v>
      </c>
      <c r="B941" s="6">
        <v>34434.774087205406</v>
      </c>
      <c r="C941" s="6">
        <v>6539.3908127945979</v>
      </c>
      <c r="F941" s="6">
        <v>64.013452914798208</v>
      </c>
      <c r="G941" s="6">
        <v>12222.898300000001</v>
      </c>
    </row>
    <row r="942" spans="1:7" x14ac:dyDescent="0.2">
      <c r="A942" s="6">
        <v>858</v>
      </c>
      <c r="B942" s="6">
        <v>26031.86455598913</v>
      </c>
      <c r="C942" s="6">
        <v>-10213.878855989131</v>
      </c>
      <c r="F942" s="6">
        <v>64.088191330343804</v>
      </c>
      <c r="G942" s="6">
        <v>12224.350850000001</v>
      </c>
    </row>
    <row r="943" spans="1:7" x14ac:dyDescent="0.2">
      <c r="A943" s="6">
        <v>859</v>
      </c>
      <c r="B943" s="6">
        <v>4855.5537429051737</v>
      </c>
      <c r="C943" s="6">
        <v>13362.607647094828</v>
      </c>
      <c r="F943" s="6">
        <v>64.162929745889386</v>
      </c>
      <c r="G943" s="6">
        <v>12231.613600000001</v>
      </c>
    </row>
    <row r="944" spans="1:7" x14ac:dyDescent="0.2">
      <c r="A944" s="6">
        <v>860</v>
      </c>
      <c r="B944" s="6">
        <v>11142.244214230293</v>
      </c>
      <c r="C944" s="6">
        <v>-176.79821423029352</v>
      </c>
      <c r="F944" s="6">
        <v>64.237668161434982</v>
      </c>
      <c r="G944" s="6">
        <v>12233.828</v>
      </c>
    </row>
    <row r="945" spans="1:7" x14ac:dyDescent="0.2">
      <c r="A945" s="6">
        <v>861</v>
      </c>
      <c r="B945" s="6">
        <v>37550.239500500909</v>
      </c>
      <c r="C945" s="6">
        <v>8563.2714994990893</v>
      </c>
      <c r="F945" s="6">
        <v>64.312406576980578</v>
      </c>
      <c r="G945" s="6">
        <v>12235.8392</v>
      </c>
    </row>
    <row r="946" spans="1:7" x14ac:dyDescent="0.2">
      <c r="A946" s="6">
        <v>862</v>
      </c>
      <c r="B946" s="6">
        <v>7785.8701655021032</v>
      </c>
      <c r="C946" s="6">
        <v>-634.77816550210355</v>
      </c>
      <c r="F946" s="6">
        <v>64.38714499252616</v>
      </c>
      <c r="G946" s="6">
        <v>12244.531000000001</v>
      </c>
    </row>
    <row r="947" spans="1:7" x14ac:dyDescent="0.2">
      <c r="A947" s="6">
        <v>863</v>
      </c>
      <c r="B947" s="6">
        <v>14161.450471100072</v>
      </c>
      <c r="C947" s="6">
        <v>-1891.7618211000718</v>
      </c>
      <c r="F947" s="6">
        <v>64.461883408071756</v>
      </c>
      <c r="G947" s="6">
        <v>12265.5069</v>
      </c>
    </row>
    <row r="948" spans="1:7" x14ac:dyDescent="0.2">
      <c r="A948" s="6">
        <v>864</v>
      </c>
      <c r="B948" s="6">
        <v>4042.9761366205448</v>
      </c>
      <c r="C948" s="6">
        <v>1415.070313379455</v>
      </c>
      <c r="F948" s="6">
        <v>64.536621823617338</v>
      </c>
      <c r="G948" s="6">
        <v>12268.632250000001</v>
      </c>
    </row>
    <row r="949" spans="1:7" x14ac:dyDescent="0.2">
      <c r="A949" s="6">
        <v>865</v>
      </c>
      <c r="B949" s="6">
        <v>8685.2837742569372</v>
      </c>
      <c r="C949" s="6">
        <v>97.185225743061892</v>
      </c>
      <c r="F949" s="6">
        <v>64.611360239162934</v>
      </c>
      <c r="G949" s="6">
        <v>12269.68865</v>
      </c>
    </row>
    <row r="950" spans="1:7" x14ac:dyDescent="0.2">
      <c r="A950" s="6">
        <v>866</v>
      </c>
      <c r="B950" s="6">
        <v>8337.2355278931536</v>
      </c>
      <c r="C950" s="6">
        <v>-1736.8745278931538</v>
      </c>
      <c r="F950" s="6">
        <v>64.68609865470853</v>
      </c>
      <c r="G950" s="6">
        <v>12323.936</v>
      </c>
    </row>
    <row r="951" spans="1:7" x14ac:dyDescent="0.2">
      <c r="A951" s="6">
        <v>867</v>
      </c>
      <c r="B951" s="6">
        <v>4167.0632458703503</v>
      </c>
      <c r="C951" s="6">
        <v>-3025.6181458703504</v>
      </c>
      <c r="F951" s="6">
        <v>64.760837070254112</v>
      </c>
      <c r="G951" s="6">
        <v>12333.828</v>
      </c>
    </row>
    <row r="952" spans="1:7" x14ac:dyDescent="0.2">
      <c r="A952" s="6">
        <v>868</v>
      </c>
      <c r="B952" s="6">
        <v>16909.162635708533</v>
      </c>
      <c r="C952" s="6">
        <v>-5333.0326357085341</v>
      </c>
      <c r="F952" s="6">
        <v>64.835575485799708</v>
      </c>
      <c r="G952" s="6">
        <v>12347.172</v>
      </c>
    </row>
    <row r="953" spans="1:7" x14ac:dyDescent="0.2">
      <c r="A953" s="6">
        <v>869</v>
      </c>
      <c r="B953" s="6">
        <v>11622.00571438033</v>
      </c>
      <c r="C953" s="6">
        <v>1507.5977356196709</v>
      </c>
      <c r="F953" s="6">
        <v>64.91031390134529</v>
      </c>
      <c r="G953" s="6">
        <v>12363.547</v>
      </c>
    </row>
    <row r="954" spans="1:7" x14ac:dyDescent="0.2">
      <c r="A954" s="6">
        <v>870</v>
      </c>
      <c r="B954" s="6">
        <v>3191.721804156472</v>
      </c>
      <c r="C954" s="6">
        <v>1199.9301958435281</v>
      </c>
      <c r="F954" s="6">
        <v>64.985052316890886</v>
      </c>
      <c r="G954" s="6">
        <v>12404.8791</v>
      </c>
    </row>
    <row r="955" spans="1:7" x14ac:dyDescent="0.2">
      <c r="A955" s="6">
        <v>871</v>
      </c>
      <c r="B955" s="6">
        <v>12091.716720716662</v>
      </c>
      <c r="C955" s="6">
        <v>-3633.8987207166629</v>
      </c>
      <c r="F955" s="6">
        <v>65.059790732436483</v>
      </c>
      <c r="G955" s="6">
        <v>12430.95335</v>
      </c>
    </row>
    <row r="956" spans="1:7" x14ac:dyDescent="0.2">
      <c r="A956" s="6">
        <v>872</v>
      </c>
      <c r="B956" s="6">
        <v>4179.6280980127131</v>
      </c>
      <c r="C956" s="6">
        <v>-787.26289801271287</v>
      </c>
      <c r="F956" s="6">
        <v>65.134529147982065</v>
      </c>
      <c r="G956" s="6">
        <v>12475.3513</v>
      </c>
    </row>
    <row r="957" spans="1:7" x14ac:dyDescent="0.2">
      <c r="A957" s="6">
        <v>873</v>
      </c>
      <c r="B957" s="6">
        <v>6115.4410783839594</v>
      </c>
      <c r="C957" s="6">
        <v>-148.55367838395978</v>
      </c>
      <c r="F957" s="6">
        <v>65.209267563527661</v>
      </c>
      <c r="G957" s="6">
        <v>12479.70895</v>
      </c>
    </row>
    <row r="958" spans="1:7" x14ac:dyDescent="0.2">
      <c r="A958" s="6">
        <v>874</v>
      </c>
      <c r="B958" s="6">
        <v>8700.1427310782346</v>
      </c>
      <c r="C958" s="6">
        <v>-1851.1167310782348</v>
      </c>
      <c r="F958" s="6">
        <v>65.284005979073243</v>
      </c>
      <c r="G958" s="6">
        <v>12485.8009</v>
      </c>
    </row>
    <row r="959" spans="1:7" x14ac:dyDescent="0.2">
      <c r="A959" s="6">
        <v>875</v>
      </c>
      <c r="B959" s="6">
        <v>8069.7051729252435</v>
      </c>
      <c r="C959" s="6">
        <v>821.43432707475586</v>
      </c>
      <c r="F959" s="6">
        <v>65.358744394618839</v>
      </c>
      <c r="G959" s="6">
        <v>12495.290849999999</v>
      </c>
    </row>
    <row r="960" spans="1:7" x14ac:dyDescent="0.2">
      <c r="A960" s="6">
        <v>876</v>
      </c>
      <c r="B960" s="6">
        <v>3154.3135483039732</v>
      </c>
      <c r="C960" s="6">
        <v>-464.19974830397314</v>
      </c>
      <c r="F960" s="6">
        <v>65.433482810164435</v>
      </c>
      <c r="G960" s="6">
        <v>12523.604799999999</v>
      </c>
    </row>
    <row r="961" spans="1:7" x14ac:dyDescent="0.2">
      <c r="A961" s="6">
        <v>877</v>
      </c>
      <c r="B961" s="6">
        <v>9355.0148448649088</v>
      </c>
      <c r="C961" s="6">
        <v>16785.345455135091</v>
      </c>
      <c r="F961" s="6">
        <v>65.508221225710017</v>
      </c>
      <c r="G961" s="6">
        <v>12557.605299999999</v>
      </c>
    </row>
    <row r="962" spans="1:7" x14ac:dyDescent="0.2">
      <c r="A962" s="6">
        <v>878</v>
      </c>
      <c r="B962" s="6">
        <v>9091.5164632744982</v>
      </c>
      <c r="C962" s="6">
        <v>-2437.7278632744983</v>
      </c>
      <c r="F962" s="6">
        <v>65.582959641255613</v>
      </c>
      <c r="G962" s="6">
        <v>12574.049000000001</v>
      </c>
    </row>
    <row r="963" spans="1:7" x14ac:dyDescent="0.2">
      <c r="A963" s="6">
        <v>879</v>
      </c>
      <c r="B963" s="6">
        <v>7745.4785363094452</v>
      </c>
      <c r="C963" s="6">
        <v>-1463.2435363094455</v>
      </c>
      <c r="F963" s="6">
        <v>65.657698056801195</v>
      </c>
      <c r="G963" s="6">
        <v>12592.5345</v>
      </c>
    </row>
    <row r="964" spans="1:7" x14ac:dyDescent="0.2">
      <c r="A964" s="6">
        <v>880</v>
      </c>
      <c r="B964" s="6">
        <v>7562.3034482318835</v>
      </c>
      <c r="C964" s="6">
        <v>-1250.3514482318833</v>
      </c>
      <c r="F964" s="6">
        <v>65.732436472346791</v>
      </c>
      <c r="G964" s="6">
        <v>12609.88702</v>
      </c>
    </row>
    <row r="965" spans="1:7" x14ac:dyDescent="0.2">
      <c r="A965" s="6">
        <v>881</v>
      </c>
      <c r="B965" s="6">
        <v>5851.3696500631413</v>
      </c>
      <c r="C965" s="6">
        <v>-2408.3056500631415</v>
      </c>
      <c r="F965" s="6">
        <v>65.807174887892387</v>
      </c>
      <c r="G965" s="6">
        <v>12622.1795</v>
      </c>
    </row>
    <row r="966" spans="1:7" x14ac:dyDescent="0.2">
      <c r="A966" s="6">
        <v>882</v>
      </c>
      <c r="B966" s="6">
        <v>3240.7127093137597</v>
      </c>
      <c r="C966" s="6">
        <v>-451.65530931375952</v>
      </c>
      <c r="F966" s="6">
        <v>65.881913303437969</v>
      </c>
      <c r="G966" s="6">
        <v>12629.1656</v>
      </c>
    </row>
    <row r="967" spans="1:7" x14ac:dyDescent="0.2">
      <c r="A967" s="6">
        <v>883</v>
      </c>
      <c r="B967" s="6">
        <v>963.49192279304225</v>
      </c>
      <c r="C967" s="6">
        <v>1622.3587272069576</v>
      </c>
      <c r="F967" s="6">
        <v>65.956651718983565</v>
      </c>
      <c r="G967" s="6">
        <v>12629.896699999999</v>
      </c>
    </row>
    <row r="968" spans="1:7" x14ac:dyDescent="0.2">
      <c r="A968" s="6">
        <v>884</v>
      </c>
      <c r="B968" s="6">
        <v>39003.289036879381</v>
      </c>
      <c r="C968" s="6">
        <v>7251.8234631206215</v>
      </c>
      <c r="F968" s="6">
        <v>66.031390134529147</v>
      </c>
      <c r="G968" s="6">
        <v>12638.195</v>
      </c>
    </row>
    <row r="969" spans="1:7" x14ac:dyDescent="0.2">
      <c r="A969" s="6">
        <v>885</v>
      </c>
      <c r="B969" s="6">
        <v>4955.3634031846459</v>
      </c>
      <c r="C969" s="6">
        <v>-77.382353184645581</v>
      </c>
      <c r="F969" s="6">
        <v>66.106128550074743</v>
      </c>
      <c r="G969" s="6">
        <v>12643.3778</v>
      </c>
    </row>
    <row r="970" spans="1:7" x14ac:dyDescent="0.2">
      <c r="A970" s="6">
        <v>886</v>
      </c>
      <c r="B970" s="6">
        <v>29251.429996268551</v>
      </c>
      <c r="C970" s="6">
        <v>-9531.7352962685509</v>
      </c>
      <c r="F970" s="6">
        <v>66.180866965620339</v>
      </c>
      <c r="G970" s="6">
        <v>12644.589</v>
      </c>
    </row>
    <row r="971" spans="1:7" x14ac:dyDescent="0.2">
      <c r="A971" s="6">
        <v>887</v>
      </c>
      <c r="B971" s="6">
        <v>36247.624019353425</v>
      </c>
      <c r="C971" s="6">
        <v>-9029.1867693534259</v>
      </c>
      <c r="F971" s="6">
        <v>66.255605381165921</v>
      </c>
      <c r="G971" s="6">
        <v>12646.207</v>
      </c>
    </row>
    <row r="972" spans="1:7" x14ac:dyDescent="0.2">
      <c r="A972" s="6">
        <v>888</v>
      </c>
      <c r="B972" s="6">
        <v>7137.9136931500925</v>
      </c>
      <c r="C972" s="6">
        <v>-1865.7378931500925</v>
      </c>
      <c r="F972" s="6">
        <v>66.330343796711517</v>
      </c>
      <c r="G972" s="6">
        <v>12648.7034</v>
      </c>
    </row>
    <row r="973" spans="1:7" x14ac:dyDescent="0.2">
      <c r="A973" s="6">
        <v>889</v>
      </c>
      <c r="B973" s="6">
        <v>6019.0772465866921</v>
      </c>
      <c r="C973" s="6">
        <v>-4336.4802465866924</v>
      </c>
      <c r="F973" s="6">
        <v>66.405082212257099</v>
      </c>
      <c r="G973" s="6">
        <v>12730.999599999999</v>
      </c>
    </row>
    <row r="974" spans="1:7" x14ac:dyDescent="0.2">
      <c r="A974" s="6">
        <v>890</v>
      </c>
      <c r="B974" s="6">
        <v>14100.571649723559</v>
      </c>
      <c r="C974" s="6">
        <v>-2155.4389497235588</v>
      </c>
      <c r="F974" s="6">
        <v>66.479820627802695</v>
      </c>
      <c r="G974" s="6">
        <v>12741.167450000001</v>
      </c>
    </row>
    <row r="975" spans="1:7" x14ac:dyDescent="0.2">
      <c r="A975" s="6">
        <v>891</v>
      </c>
      <c r="B975" s="6">
        <v>37115.05462903867</v>
      </c>
      <c r="C975" s="6">
        <v>-7784.0714790386701</v>
      </c>
      <c r="F975" s="6">
        <v>66.554559043348291</v>
      </c>
      <c r="G975" s="6">
        <v>12797.20962</v>
      </c>
    </row>
    <row r="976" spans="1:7" x14ac:dyDescent="0.2">
      <c r="A976" s="6">
        <v>892</v>
      </c>
      <c r="B976" s="6">
        <v>8025.4481392448197</v>
      </c>
      <c r="C976" s="6">
        <v>-781.63453924481928</v>
      </c>
      <c r="F976" s="6">
        <v>66.629297458893873</v>
      </c>
      <c r="G976" s="6">
        <v>12815.444949999999</v>
      </c>
    </row>
    <row r="977" spans="1:7" x14ac:dyDescent="0.2">
      <c r="A977" s="6">
        <v>893</v>
      </c>
      <c r="B977" s="6">
        <v>9952.9047589910115</v>
      </c>
      <c r="C977" s="6">
        <v>470.01189100898773</v>
      </c>
      <c r="F977" s="6">
        <v>66.704035874439469</v>
      </c>
      <c r="G977" s="6">
        <v>12829.455099999999</v>
      </c>
    </row>
    <row r="978" spans="1:7" x14ac:dyDescent="0.2">
      <c r="A978" s="6">
        <v>894</v>
      </c>
      <c r="B978" s="6">
        <v>36975.102300122409</v>
      </c>
      <c r="C978" s="6">
        <v>7227.5512998775885</v>
      </c>
      <c r="F978" s="6">
        <v>66.778774289985051</v>
      </c>
      <c r="G978" s="6">
        <v>12890.057650000001</v>
      </c>
    </row>
    <row r="979" spans="1:7" x14ac:dyDescent="0.2">
      <c r="A979" s="6">
        <v>895</v>
      </c>
      <c r="B979" s="6">
        <v>14746.742717197329</v>
      </c>
      <c r="C979" s="6">
        <v>-1191.7378171973287</v>
      </c>
      <c r="F979" s="6">
        <v>66.853512705530648</v>
      </c>
      <c r="G979" s="6">
        <v>12913.992399999999</v>
      </c>
    </row>
    <row r="980" spans="1:7" x14ac:dyDescent="0.2">
      <c r="A980" s="6">
        <v>896</v>
      </c>
      <c r="B980" s="6">
        <v>17694.15989618715</v>
      </c>
      <c r="C980" s="6">
        <v>-4630.2768961871498</v>
      </c>
      <c r="F980" s="6">
        <v>66.928251121076244</v>
      </c>
      <c r="G980" s="6">
        <v>12925.886</v>
      </c>
    </row>
    <row r="981" spans="1:7" x14ac:dyDescent="0.2">
      <c r="A981" s="6">
        <v>897</v>
      </c>
      <c r="B981" s="6">
        <v>30704.952992779126</v>
      </c>
      <c r="C981" s="6">
        <v>-10906.898442779126</v>
      </c>
      <c r="F981" s="6">
        <v>67.002989536621826</v>
      </c>
      <c r="G981" s="6">
        <v>12928.7911</v>
      </c>
    </row>
    <row r="982" spans="1:7" x14ac:dyDescent="0.2">
      <c r="A982" s="6">
        <v>898</v>
      </c>
      <c r="B982" s="6">
        <v>1601.0431153968032</v>
      </c>
      <c r="C982" s="6">
        <v>620.52133460319669</v>
      </c>
      <c r="F982" s="6">
        <v>67.077727952167422</v>
      </c>
      <c r="G982" s="6">
        <v>12949.1554</v>
      </c>
    </row>
    <row r="983" spans="1:7" x14ac:dyDescent="0.2">
      <c r="A983" s="6">
        <v>899</v>
      </c>
      <c r="B983" s="6">
        <v>5305.7821624896533</v>
      </c>
      <c r="C983" s="6">
        <v>-3671.2087624896531</v>
      </c>
      <c r="F983" s="6">
        <v>67.152466367713004</v>
      </c>
      <c r="G983" s="6">
        <v>12950.0712</v>
      </c>
    </row>
    <row r="984" spans="1:7" x14ac:dyDescent="0.2">
      <c r="A984" s="6">
        <v>900</v>
      </c>
      <c r="B984" s="6">
        <v>225.70883066582337</v>
      </c>
      <c r="C984" s="6">
        <v>1891.6300193341767</v>
      </c>
      <c r="F984" s="6">
        <v>67.2272047832586</v>
      </c>
      <c r="G984" s="6">
        <v>12957.118</v>
      </c>
    </row>
    <row r="985" spans="1:7" x14ac:dyDescent="0.2">
      <c r="A985" s="6">
        <v>901</v>
      </c>
      <c r="B985" s="6">
        <v>8153.0489468157957</v>
      </c>
      <c r="C985" s="6">
        <v>535.80990318420481</v>
      </c>
      <c r="F985" s="6">
        <v>67.301943198804196</v>
      </c>
      <c r="G985" s="6">
        <v>12979.358</v>
      </c>
    </row>
    <row r="986" spans="1:7" x14ac:dyDescent="0.2">
      <c r="A986" s="6">
        <v>902</v>
      </c>
      <c r="B986" s="6">
        <v>40034.836830959131</v>
      </c>
      <c r="C986" s="6">
        <v>8638.7219690408674</v>
      </c>
      <c r="F986" s="6">
        <v>67.376681614349778</v>
      </c>
      <c r="G986" s="6">
        <v>12981.3457</v>
      </c>
    </row>
    <row r="987" spans="1:7" x14ac:dyDescent="0.2">
      <c r="A987" s="6">
        <v>903</v>
      </c>
      <c r="B987" s="6">
        <v>5283.0233785556811</v>
      </c>
      <c r="C987" s="6">
        <v>-621.73702855568081</v>
      </c>
      <c r="F987" s="6">
        <v>67.451420029895374</v>
      </c>
      <c r="G987" s="6">
        <v>12982.8747</v>
      </c>
    </row>
    <row r="988" spans="1:7" x14ac:dyDescent="0.2">
      <c r="A988" s="6">
        <v>904</v>
      </c>
      <c r="B988" s="6">
        <v>11980.365054939368</v>
      </c>
      <c r="C988" s="6">
        <v>-3854.5805549393681</v>
      </c>
      <c r="F988" s="6">
        <v>67.526158445440956</v>
      </c>
      <c r="G988" s="6">
        <v>13012.20865</v>
      </c>
    </row>
    <row r="989" spans="1:7" x14ac:dyDescent="0.2">
      <c r="A989" s="6">
        <v>905</v>
      </c>
      <c r="B989" s="6">
        <v>14418.481806513326</v>
      </c>
      <c r="C989" s="6">
        <v>-1773.8928065133259</v>
      </c>
      <c r="F989" s="6">
        <v>67.600896860986552</v>
      </c>
      <c r="G989" s="6">
        <v>13019.161050000001</v>
      </c>
    </row>
    <row r="990" spans="1:7" x14ac:dyDescent="0.2">
      <c r="A990" s="6">
        <v>906</v>
      </c>
      <c r="B990" s="6">
        <v>5647.7515108483121</v>
      </c>
      <c r="C990" s="6">
        <v>-1083.5600608483119</v>
      </c>
      <c r="F990" s="6">
        <v>67.675635276532148</v>
      </c>
      <c r="G990" s="6">
        <v>13041.921</v>
      </c>
    </row>
    <row r="991" spans="1:7" x14ac:dyDescent="0.2">
      <c r="A991" s="6">
        <v>907</v>
      </c>
      <c r="B991" s="6">
        <v>7344.3889043026993</v>
      </c>
      <c r="C991" s="6">
        <v>-2497.4687543026994</v>
      </c>
      <c r="F991" s="6">
        <v>67.75037369207773</v>
      </c>
      <c r="G991" s="6">
        <v>13047.332350000001</v>
      </c>
    </row>
    <row r="992" spans="1:7" x14ac:dyDescent="0.2">
      <c r="A992" s="6">
        <v>908</v>
      </c>
      <c r="B992" s="6">
        <v>9773.1357210119804</v>
      </c>
      <c r="C992" s="6">
        <v>-2139.4151210119808</v>
      </c>
      <c r="F992" s="6">
        <v>67.825112107623326</v>
      </c>
      <c r="G992" s="6">
        <v>13063.883</v>
      </c>
    </row>
    <row r="993" spans="1:7" x14ac:dyDescent="0.2">
      <c r="A993" s="6">
        <v>909</v>
      </c>
      <c r="B993" s="6">
        <v>18078.447372148607</v>
      </c>
      <c r="C993" s="6">
        <v>-2908.378372148607</v>
      </c>
      <c r="F993" s="6">
        <v>67.899850523168908</v>
      </c>
      <c r="G993" s="6">
        <v>13112.604799999999</v>
      </c>
    </row>
    <row r="994" spans="1:7" x14ac:dyDescent="0.2">
      <c r="A994" s="6">
        <v>910</v>
      </c>
      <c r="B994" s="6">
        <v>27513.507214466583</v>
      </c>
      <c r="C994" s="6">
        <v>-10017.201214466582</v>
      </c>
      <c r="F994" s="6">
        <v>67.974588938714504</v>
      </c>
      <c r="G994" s="6">
        <v>13126.677449999999</v>
      </c>
    </row>
    <row r="995" spans="1:7" x14ac:dyDescent="0.2">
      <c r="A995" s="6">
        <v>911</v>
      </c>
      <c r="B995" s="6">
        <v>3306.0901377067103</v>
      </c>
      <c r="C995" s="6">
        <v>-667.04723770671035</v>
      </c>
      <c r="F995" s="6">
        <v>68.0493273542601</v>
      </c>
      <c r="G995" s="6">
        <v>13129.603450000001</v>
      </c>
    </row>
    <row r="996" spans="1:7" x14ac:dyDescent="0.2">
      <c r="A996" s="6">
        <v>912</v>
      </c>
      <c r="B996" s="6">
        <v>27164.704235094723</v>
      </c>
      <c r="C996" s="6">
        <v>6567.9824649052753</v>
      </c>
      <c r="F996" s="6">
        <v>68.124065769805682</v>
      </c>
      <c r="G996" s="6">
        <v>13143.336649999999</v>
      </c>
    </row>
    <row r="997" spans="1:7" x14ac:dyDescent="0.2">
      <c r="A997" s="6">
        <v>913</v>
      </c>
      <c r="B997" s="6">
        <v>13344.29320370045</v>
      </c>
      <c r="C997" s="6">
        <v>1038.4158462995492</v>
      </c>
      <c r="F997" s="6">
        <v>68.198804185351278</v>
      </c>
      <c r="G997" s="6">
        <v>13143.86485</v>
      </c>
    </row>
    <row r="998" spans="1:7" x14ac:dyDescent="0.2">
      <c r="A998" s="6">
        <v>914</v>
      </c>
      <c r="B998" s="6">
        <v>8206.4104636225056</v>
      </c>
      <c r="C998" s="6">
        <v>-579.41746362250524</v>
      </c>
      <c r="F998" s="6">
        <v>68.27354260089686</v>
      </c>
      <c r="G998" s="6">
        <v>13204.28565</v>
      </c>
    </row>
    <row r="999" spans="1:7" x14ac:dyDescent="0.2">
      <c r="A999" s="6">
        <v>915</v>
      </c>
      <c r="B999" s="6">
        <v>5350.2988151385071</v>
      </c>
      <c r="C999" s="6">
        <v>-92.790865138506888</v>
      </c>
      <c r="F999" s="6">
        <v>68.348281016442456</v>
      </c>
      <c r="G999" s="6">
        <v>13217.094499999999</v>
      </c>
    </row>
    <row r="1000" spans="1:7" x14ac:dyDescent="0.2">
      <c r="A1000" s="6">
        <v>916</v>
      </c>
      <c r="B1000" s="6">
        <v>4720.1773235737746</v>
      </c>
      <c r="C1000" s="6">
        <v>-2246.8432235737746</v>
      </c>
      <c r="F1000" s="6">
        <v>68.423019431988052</v>
      </c>
      <c r="G1000" s="6">
        <v>13224.057049999999</v>
      </c>
    </row>
    <row r="1001" spans="1:7" x14ac:dyDescent="0.2">
      <c r="A1001" s="6">
        <v>917</v>
      </c>
      <c r="B1001" s="6">
        <v>31721.071225754367</v>
      </c>
      <c r="C1001" s="6">
        <v>-9946.7490757543674</v>
      </c>
      <c r="F1001" s="6">
        <v>68.497757847533634</v>
      </c>
      <c r="G1001" s="6">
        <v>13224.692999999999</v>
      </c>
    </row>
    <row r="1002" spans="1:7" x14ac:dyDescent="0.2">
      <c r="A1002" s="6">
        <v>918</v>
      </c>
      <c r="B1002" s="6">
        <v>31103.051590951345</v>
      </c>
      <c r="C1002" s="6">
        <v>3966.3229290486524</v>
      </c>
      <c r="F1002" s="6">
        <v>68.572496263079231</v>
      </c>
      <c r="G1002" s="6">
        <v>13228.846949999999</v>
      </c>
    </row>
    <row r="1003" spans="1:7" x14ac:dyDescent="0.2">
      <c r="A1003" s="6">
        <v>919</v>
      </c>
      <c r="B1003" s="6">
        <v>12334.903329135877</v>
      </c>
      <c r="C1003" s="6">
        <v>707.01767086412292</v>
      </c>
      <c r="F1003" s="6">
        <v>68.647234678624812</v>
      </c>
      <c r="G1003" s="6">
        <v>13352.0998</v>
      </c>
    </row>
    <row r="1004" spans="1:7" x14ac:dyDescent="0.2">
      <c r="A1004" s="6">
        <v>920</v>
      </c>
      <c r="B1004" s="6">
        <v>8095.7203064281184</v>
      </c>
      <c r="C1004" s="6">
        <v>-2850.4934064281188</v>
      </c>
      <c r="F1004" s="6">
        <v>68.721973094170409</v>
      </c>
      <c r="G1004" s="6">
        <v>13390.558999999999</v>
      </c>
    </row>
    <row r="1005" spans="1:7" x14ac:dyDescent="0.2">
      <c r="A1005" s="6">
        <v>921</v>
      </c>
      <c r="B1005" s="6">
        <v>11506.340630118535</v>
      </c>
      <c r="C1005" s="6">
        <v>1944.7813698814643</v>
      </c>
      <c r="F1005" s="6">
        <v>68.796711509716005</v>
      </c>
      <c r="G1005" s="6">
        <v>13393.755999999999</v>
      </c>
    </row>
    <row r="1006" spans="1:7" x14ac:dyDescent="0.2">
      <c r="A1006" s="6">
        <v>922</v>
      </c>
      <c r="B1006" s="6">
        <v>14287.726949727425</v>
      </c>
      <c r="C1006" s="6">
        <v>-825.20694972742422</v>
      </c>
      <c r="F1006" s="6">
        <v>68.871449925261587</v>
      </c>
      <c r="G1006" s="6">
        <v>13405.390299999999</v>
      </c>
    </row>
    <row r="1007" spans="1:7" x14ac:dyDescent="0.2">
      <c r="A1007" s="6">
        <v>923</v>
      </c>
      <c r="B1007" s="6">
        <v>7721.1350766412506</v>
      </c>
      <c r="C1007" s="6">
        <v>-2232.8730766412509</v>
      </c>
      <c r="F1007" s="6">
        <v>68.946188340807183</v>
      </c>
      <c r="G1007" s="6">
        <v>13415.0381</v>
      </c>
    </row>
    <row r="1008" spans="1:7" x14ac:dyDescent="0.2">
      <c r="A1008" s="6">
        <v>924</v>
      </c>
      <c r="B1008" s="6">
        <v>8458.512692355107</v>
      </c>
      <c r="C1008" s="6">
        <v>-4138.1018423551068</v>
      </c>
      <c r="F1008" s="6">
        <v>69.020926756352765</v>
      </c>
      <c r="G1008" s="6">
        <v>13429.035400000001</v>
      </c>
    </row>
    <row r="1009" spans="1:7" x14ac:dyDescent="0.2">
      <c r="A1009" s="6">
        <v>925</v>
      </c>
      <c r="B1009" s="6">
        <v>5884.2073560143053</v>
      </c>
      <c r="C1009" s="6">
        <v>366.22764398569507</v>
      </c>
      <c r="F1009" s="6">
        <v>69.095665171898361</v>
      </c>
      <c r="G1009" s="6">
        <v>13430.264999999999</v>
      </c>
    </row>
    <row r="1010" spans="1:7" x14ac:dyDescent="0.2">
      <c r="A1010" s="6">
        <v>926</v>
      </c>
      <c r="B1010" s="6">
        <v>12615.467577047419</v>
      </c>
      <c r="C1010" s="6">
        <v>12717.86526295258</v>
      </c>
      <c r="F1010" s="6">
        <v>69.170403587443957</v>
      </c>
      <c r="G1010" s="6">
        <v>13451.121999999999</v>
      </c>
    </row>
    <row r="1011" spans="1:7" x14ac:dyDescent="0.2">
      <c r="A1011" s="6">
        <v>927</v>
      </c>
      <c r="B1011" s="6">
        <v>869.80903553349526</v>
      </c>
      <c r="C1011" s="6">
        <v>2043.7599644665047</v>
      </c>
      <c r="F1011" s="6">
        <v>69.245142002989539</v>
      </c>
      <c r="G1011" s="6">
        <v>13457.960800000001</v>
      </c>
    </row>
    <row r="1012" spans="1:7" x14ac:dyDescent="0.2">
      <c r="A1012" s="6">
        <v>928</v>
      </c>
      <c r="B1012" s="6">
        <v>9035.5114898878146</v>
      </c>
      <c r="C1012" s="6">
        <v>2996.8145101121845</v>
      </c>
      <c r="F1012" s="6">
        <v>69.319880418535135</v>
      </c>
      <c r="G1012" s="6">
        <v>13462.52</v>
      </c>
    </row>
    <row r="1013" spans="1:7" x14ac:dyDescent="0.2">
      <c r="A1013" s="6">
        <v>929</v>
      </c>
      <c r="B1013" s="6">
        <v>16234.348875161037</v>
      </c>
      <c r="C1013" s="6">
        <v>-2763.5444751610357</v>
      </c>
      <c r="F1013" s="6">
        <v>69.394618834080717</v>
      </c>
      <c r="G1013" s="6">
        <v>13470.804400000001</v>
      </c>
    </row>
    <row r="1014" spans="1:7" x14ac:dyDescent="0.2">
      <c r="A1014" s="6">
        <v>930</v>
      </c>
      <c r="B1014" s="6">
        <v>9505.5440622570986</v>
      </c>
      <c r="C1014" s="6">
        <v>-3215.7891622570987</v>
      </c>
      <c r="F1014" s="6">
        <v>69.469357249626313</v>
      </c>
      <c r="G1014" s="6">
        <v>13470.86</v>
      </c>
    </row>
    <row r="1015" spans="1:7" x14ac:dyDescent="0.2">
      <c r="A1015" s="6">
        <v>931</v>
      </c>
      <c r="B1015" s="6">
        <v>9831.5621226824314</v>
      </c>
      <c r="C1015" s="6">
        <v>-6904.4974226824315</v>
      </c>
      <c r="F1015" s="6">
        <v>69.544095665171909</v>
      </c>
      <c r="G1015" s="6">
        <v>13555.0049</v>
      </c>
    </row>
    <row r="1016" spans="1:7" x14ac:dyDescent="0.2">
      <c r="A1016" s="6">
        <v>932</v>
      </c>
      <c r="B1016" s="6">
        <v>8618.0959689899646</v>
      </c>
      <c r="C1016" s="6">
        <v>-2379.7979689899648</v>
      </c>
      <c r="F1016" s="6">
        <v>69.618834080717491</v>
      </c>
      <c r="G1016" s="6">
        <v>13607.36875</v>
      </c>
    </row>
    <row r="1017" spans="1:7" x14ac:dyDescent="0.2">
      <c r="A1017" s="6">
        <v>933</v>
      </c>
      <c r="B1017" s="6">
        <v>9914.1821187601981</v>
      </c>
      <c r="C1017" s="6">
        <v>182.78788123980121</v>
      </c>
      <c r="F1017" s="6">
        <v>69.693572496263087</v>
      </c>
      <c r="G1017" s="6">
        <v>13616.3586</v>
      </c>
    </row>
    <row r="1018" spans="1:7" x14ac:dyDescent="0.2">
      <c r="A1018" s="6">
        <v>934</v>
      </c>
      <c r="B1018" s="6">
        <v>10633.475209175273</v>
      </c>
      <c r="C1018" s="6">
        <v>-3285.3332091752727</v>
      </c>
      <c r="F1018" s="6">
        <v>69.768310911808669</v>
      </c>
      <c r="G1018" s="6">
        <v>13635.6379</v>
      </c>
    </row>
    <row r="1019" spans="1:7" x14ac:dyDescent="0.2">
      <c r="A1019" s="6">
        <v>935</v>
      </c>
      <c r="B1019" s="6">
        <v>8676.7419917942952</v>
      </c>
      <c r="C1019" s="6">
        <v>-4003.349791794295</v>
      </c>
      <c r="F1019" s="6">
        <v>69.843049327354265</v>
      </c>
      <c r="G1019" s="6">
        <v>13725.47184</v>
      </c>
    </row>
    <row r="1020" spans="1:7" x14ac:dyDescent="0.2">
      <c r="A1020" s="6">
        <v>936</v>
      </c>
      <c r="B1020" s="6">
        <v>11583.755206533593</v>
      </c>
      <c r="C1020" s="6">
        <v>650.07279346640644</v>
      </c>
      <c r="F1020" s="6">
        <v>69.917787742899861</v>
      </c>
      <c r="G1020" s="6">
        <v>13747.87235</v>
      </c>
    </row>
    <row r="1021" spans="1:7" x14ac:dyDescent="0.2">
      <c r="A1021" s="6">
        <v>937</v>
      </c>
      <c r="B1021" s="6">
        <v>10268.745009497585</v>
      </c>
      <c r="C1021" s="6">
        <v>21839.917810502418</v>
      </c>
      <c r="F1021" s="6">
        <v>69.992526158445443</v>
      </c>
      <c r="G1021" s="6">
        <v>13770.097900000001</v>
      </c>
    </row>
    <row r="1022" spans="1:7" x14ac:dyDescent="0.2">
      <c r="A1022" s="6">
        <v>938</v>
      </c>
      <c r="B1022" s="6">
        <v>8320.3594128329823</v>
      </c>
      <c r="C1022" s="6">
        <v>645.43633716701697</v>
      </c>
      <c r="F1022" s="6">
        <v>70.067264573991039</v>
      </c>
      <c r="G1022" s="6">
        <v>13822.803</v>
      </c>
    </row>
    <row r="1023" spans="1:7" x14ac:dyDescent="0.2">
      <c r="A1023" s="6">
        <v>939</v>
      </c>
      <c r="B1023" s="6">
        <v>1349.6250665521832</v>
      </c>
      <c r="C1023" s="6">
        <v>954.37713344781673</v>
      </c>
      <c r="F1023" s="6">
        <v>70.142002989536621</v>
      </c>
      <c r="G1023" s="6">
        <v>13831.1152</v>
      </c>
    </row>
    <row r="1024" spans="1:7" x14ac:dyDescent="0.2">
      <c r="A1024" s="6">
        <v>940</v>
      </c>
      <c r="B1024" s="6">
        <v>10507.934711976866</v>
      </c>
      <c r="C1024" s="6">
        <v>-1020.2905119768657</v>
      </c>
      <c r="F1024" s="6">
        <v>70.216741405082217</v>
      </c>
      <c r="G1024" s="6">
        <v>13844.505999999999</v>
      </c>
    </row>
    <row r="1025" spans="1:7" x14ac:dyDescent="0.2">
      <c r="A1025" s="6">
        <v>941</v>
      </c>
      <c r="B1025" s="6">
        <v>-608.78058097027701</v>
      </c>
      <c r="C1025" s="6">
        <v>1730.6544809702771</v>
      </c>
      <c r="F1025" s="6">
        <v>70.291479820627814</v>
      </c>
      <c r="G1025" s="6">
        <v>13844.797200000001</v>
      </c>
    </row>
    <row r="1026" spans="1:7" x14ac:dyDescent="0.2">
      <c r="A1026" s="6">
        <v>942</v>
      </c>
      <c r="B1026" s="6">
        <v>15978.183823385121</v>
      </c>
      <c r="C1026" s="6">
        <v>-6428.6187233851215</v>
      </c>
      <c r="F1026" s="6">
        <v>70.366218236173395</v>
      </c>
      <c r="G1026" s="6">
        <v>13880.949000000001</v>
      </c>
    </row>
    <row r="1027" spans="1:7" x14ac:dyDescent="0.2">
      <c r="A1027" s="6">
        <v>943</v>
      </c>
      <c r="B1027" s="6">
        <v>6315.3647028566611</v>
      </c>
      <c r="C1027" s="6">
        <v>-4097.8955528566612</v>
      </c>
      <c r="F1027" s="6">
        <v>70.440956651718992</v>
      </c>
      <c r="G1027" s="6">
        <v>13887.204</v>
      </c>
    </row>
    <row r="1028" spans="1:7" x14ac:dyDescent="0.2">
      <c r="A1028" s="6">
        <v>944</v>
      </c>
      <c r="B1028" s="6">
        <v>126.61784936374534</v>
      </c>
      <c r="C1028" s="6">
        <v>1501.8530506362547</v>
      </c>
      <c r="F1028" s="6">
        <v>70.515695067264573</v>
      </c>
      <c r="G1028" s="6">
        <v>13887.968500000001</v>
      </c>
    </row>
    <row r="1029" spans="1:7" x14ac:dyDescent="0.2">
      <c r="A1029" s="6">
        <v>945</v>
      </c>
      <c r="B1029" s="6">
        <v>16364.213475046277</v>
      </c>
      <c r="C1029" s="6">
        <v>-3381.3387750462771</v>
      </c>
      <c r="F1029" s="6">
        <v>70.59043348281017</v>
      </c>
      <c r="G1029" s="6">
        <v>13919.822899999999</v>
      </c>
    </row>
    <row r="1030" spans="1:7" x14ac:dyDescent="0.2">
      <c r="A1030" s="6">
        <v>946</v>
      </c>
      <c r="B1030" s="6">
        <v>14103.992359040654</v>
      </c>
      <c r="C1030" s="6">
        <v>-2429.8623590406551</v>
      </c>
      <c r="F1030" s="6">
        <v>70.665171898355766</v>
      </c>
      <c r="G1030" s="6">
        <v>13937.666499999999</v>
      </c>
    </row>
    <row r="1031" spans="1:7" x14ac:dyDescent="0.2">
      <c r="A1031" s="6">
        <v>947</v>
      </c>
      <c r="B1031" s="6">
        <v>10852.189609271807</v>
      </c>
      <c r="C1031" s="6">
        <v>-3692.095609271807</v>
      </c>
      <c r="F1031" s="6">
        <v>70.739910313901348</v>
      </c>
      <c r="G1031" s="6">
        <v>13974.455550000001</v>
      </c>
    </row>
    <row r="1032" spans="1:7" x14ac:dyDescent="0.2">
      <c r="A1032" s="6">
        <v>948</v>
      </c>
      <c r="B1032" s="6">
        <v>33358.28330887224</v>
      </c>
      <c r="C1032" s="6">
        <v>5689.0016911277635</v>
      </c>
      <c r="F1032" s="6">
        <v>70.814648729446944</v>
      </c>
      <c r="G1032" s="6">
        <v>13981.850350000001</v>
      </c>
    </row>
    <row r="1033" spans="1:7" x14ac:dyDescent="0.2">
      <c r="A1033" s="6">
        <v>949</v>
      </c>
      <c r="B1033" s="6">
        <v>8966.641364188461</v>
      </c>
      <c r="C1033" s="6">
        <v>-2607.8649141884607</v>
      </c>
      <c r="F1033" s="6">
        <v>70.889387144992526</v>
      </c>
      <c r="G1033" s="6">
        <v>14001.1338</v>
      </c>
    </row>
    <row r="1034" spans="1:7" x14ac:dyDescent="0.2">
      <c r="A1034" s="6">
        <v>950</v>
      </c>
      <c r="B1034" s="6">
        <v>28740.58663617272</v>
      </c>
      <c r="C1034" s="6">
        <v>-8807.1286361727216</v>
      </c>
      <c r="F1034" s="6">
        <v>70.964125560538122</v>
      </c>
      <c r="G1034" s="6">
        <v>14001.286700000001</v>
      </c>
    </row>
    <row r="1035" spans="1:7" x14ac:dyDescent="0.2">
      <c r="A1035" s="6">
        <v>951</v>
      </c>
      <c r="B1035" s="6">
        <v>8790.0711310212682</v>
      </c>
      <c r="C1035" s="6">
        <v>2744.8015189787311</v>
      </c>
      <c r="F1035" s="6">
        <v>71.038863976083718</v>
      </c>
      <c r="G1035" s="6">
        <v>14007.222</v>
      </c>
    </row>
    <row r="1036" spans="1:7" x14ac:dyDescent="0.2">
      <c r="A1036" s="6">
        <v>952</v>
      </c>
      <c r="B1036" s="6">
        <v>39345.73378657073</v>
      </c>
      <c r="C1036" s="6">
        <v>8117.1602134292698</v>
      </c>
      <c r="F1036" s="6">
        <v>71.1136023916293</v>
      </c>
      <c r="G1036" s="6">
        <v>14043.476699999999</v>
      </c>
    </row>
    <row r="1037" spans="1:7" x14ac:dyDescent="0.2">
      <c r="A1037" s="6">
        <v>953</v>
      </c>
      <c r="B1037" s="6">
        <v>5524.4786954936308</v>
      </c>
      <c r="C1037" s="6">
        <v>-997.29574549363042</v>
      </c>
      <c r="F1037" s="6">
        <v>71.188340807174896</v>
      </c>
      <c r="G1037" s="6">
        <v>14119.62</v>
      </c>
    </row>
    <row r="1038" spans="1:7" x14ac:dyDescent="0.2">
      <c r="A1038" s="6">
        <v>954</v>
      </c>
      <c r="B1038" s="6">
        <v>33314.953516038622</v>
      </c>
      <c r="C1038" s="6">
        <v>5683.5924839613799</v>
      </c>
      <c r="F1038" s="6">
        <v>71.263079222720478</v>
      </c>
      <c r="G1038" s="6">
        <v>14133.03775</v>
      </c>
    </row>
    <row r="1039" spans="1:7" x14ac:dyDescent="0.2">
      <c r="A1039" s="6">
        <v>955</v>
      </c>
      <c r="B1039" s="6">
        <v>30075.784019602557</v>
      </c>
      <c r="C1039" s="6">
        <v>-10066.150369602557</v>
      </c>
      <c r="F1039" s="6">
        <v>71.337817638266074</v>
      </c>
      <c r="G1039" s="6">
        <v>14210.53595</v>
      </c>
    </row>
    <row r="1040" spans="1:7" x14ac:dyDescent="0.2">
      <c r="A1040" s="6">
        <v>956</v>
      </c>
      <c r="B1040" s="6">
        <v>8727.9219719488574</v>
      </c>
      <c r="C1040" s="6">
        <v>-4852.1878719488577</v>
      </c>
      <c r="F1040" s="6">
        <v>71.41255605381167</v>
      </c>
      <c r="G1040" s="6">
        <v>14235.072</v>
      </c>
    </row>
    <row r="1041" spans="1:7" x14ac:dyDescent="0.2">
      <c r="A1041" s="6">
        <v>957</v>
      </c>
      <c r="B1041" s="6">
        <v>35536.561510342479</v>
      </c>
      <c r="C1041" s="6">
        <v>6462.9584896575179</v>
      </c>
      <c r="F1041" s="6">
        <v>71.487294469357252</v>
      </c>
      <c r="G1041" s="6">
        <v>14254.608200000001</v>
      </c>
    </row>
    <row r="1042" spans="1:7" x14ac:dyDescent="0.2">
      <c r="A1042" s="6">
        <v>958</v>
      </c>
      <c r="B1042" s="6">
        <v>3304.2287932929294</v>
      </c>
      <c r="C1042" s="6">
        <v>9305.6582267070698</v>
      </c>
      <c r="F1042" s="6">
        <v>71.562032884902848</v>
      </c>
      <c r="G1042" s="6">
        <v>14256.192800000001</v>
      </c>
    </row>
    <row r="1043" spans="1:7" x14ac:dyDescent="0.2">
      <c r="A1043" s="6">
        <v>959</v>
      </c>
      <c r="B1043" s="6">
        <v>35157.208448840567</v>
      </c>
      <c r="C1043" s="6">
        <v>5877.012951159435</v>
      </c>
      <c r="F1043" s="6">
        <v>71.63677130044843</v>
      </c>
      <c r="G1043" s="6">
        <v>14283.4594</v>
      </c>
    </row>
    <row r="1044" spans="1:7" x14ac:dyDescent="0.2">
      <c r="A1044" s="6">
        <v>960</v>
      </c>
      <c r="B1044" s="6">
        <v>12820.012575864381</v>
      </c>
      <c r="C1044" s="6">
        <v>15648.906434135621</v>
      </c>
      <c r="F1044" s="6">
        <v>71.711509715994026</v>
      </c>
      <c r="G1044" s="6">
        <v>14313.846299999999</v>
      </c>
    </row>
    <row r="1045" spans="1:7" x14ac:dyDescent="0.2">
      <c r="A1045" s="6">
        <v>961</v>
      </c>
      <c r="B1045" s="6">
        <v>6501.4174325603217</v>
      </c>
      <c r="C1045" s="6">
        <v>-3771.3095825603218</v>
      </c>
      <c r="F1045" s="6">
        <v>71.786248131539622</v>
      </c>
      <c r="G1045" s="6">
        <v>14319.031000000001</v>
      </c>
    </row>
    <row r="1046" spans="1:7" x14ac:dyDescent="0.2">
      <c r="A1046" s="6">
        <v>962</v>
      </c>
      <c r="B1046" s="6">
        <v>3335.3551046358093</v>
      </c>
      <c r="C1046" s="6">
        <v>17.928895364190794</v>
      </c>
      <c r="F1046" s="6">
        <v>71.860986547085204</v>
      </c>
      <c r="G1046" s="6">
        <v>14349.8544</v>
      </c>
    </row>
    <row r="1047" spans="1:7" x14ac:dyDescent="0.2">
      <c r="A1047" s="6">
        <v>963</v>
      </c>
      <c r="B1047" s="6">
        <v>15623.499696548593</v>
      </c>
      <c r="C1047" s="6">
        <v>-1148.8246965485941</v>
      </c>
      <c r="F1047" s="6">
        <v>71.9357249626308</v>
      </c>
      <c r="G1047" s="6">
        <v>14358.364369999999</v>
      </c>
    </row>
    <row r="1048" spans="1:7" x14ac:dyDescent="0.2">
      <c r="A1048" s="6">
        <v>964</v>
      </c>
      <c r="B1048" s="6">
        <v>9582.3425988838662</v>
      </c>
      <c r="C1048" s="6">
        <v>-81.769548883865355</v>
      </c>
      <c r="F1048" s="6">
        <v>72.010463378176382</v>
      </c>
      <c r="G1048" s="6">
        <v>14382.709049999999</v>
      </c>
    </row>
    <row r="1049" spans="1:7" x14ac:dyDescent="0.2">
      <c r="A1049" s="6">
        <v>965</v>
      </c>
      <c r="B1049" s="6">
        <v>14355.161909255934</v>
      </c>
      <c r="C1049" s="6">
        <v>12111.935460744065</v>
      </c>
      <c r="F1049" s="6">
        <v>72.085201793721978</v>
      </c>
      <c r="G1049" s="6">
        <v>14394.398150000001</v>
      </c>
    </row>
    <row r="1050" spans="1:7" x14ac:dyDescent="0.2">
      <c r="A1050" s="6">
        <v>966</v>
      </c>
      <c r="B1050" s="6">
        <v>5627.7115499469292</v>
      </c>
      <c r="C1050" s="6">
        <v>-881.3675499469291</v>
      </c>
      <c r="F1050" s="6">
        <v>72.159940209267575</v>
      </c>
      <c r="G1050" s="6">
        <v>14394.5579</v>
      </c>
    </row>
    <row r="1051" spans="1:7" x14ac:dyDescent="0.2">
      <c r="A1051" s="6">
        <v>967</v>
      </c>
      <c r="B1051" s="6">
        <v>33886.694458909653</v>
      </c>
      <c r="C1051" s="6">
        <v>-9919.3114089096525</v>
      </c>
      <c r="F1051" s="6">
        <v>72.234678624813156</v>
      </c>
      <c r="G1051" s="6">
        <v>14410.9321</v>
      </c>
    </row>
    <row r="1052" spans="1:7" x14ac:dyDescent="0.2">
      <c r="A1052" s="6">
        <v>968</v>
      </c>
      <c r="B1052" s="6">
        <v>7958.0051726444399</v>
      </c>
      <c r="C1052" s="6">
        <v>-439.97982264443999</v>
      </c>
      <c r="F1052" s="6">
        <v>72.309417040358753</v>
      </c>
      <c r="G1052" s="6">
        <v>14418.2804</v>
      </c>
    </row>
    <row r="1053" spans="1:7" x14ac:dyDescent="0.2">
      <c r="A1053" s="6">
        <v>969</v>
      </c>
      <c r="B1053" s="6">
        <v>3007.6670212313334</v>
      </c>
      <c r="C1053" s="6">
        <v>272.20152876866678</v>
      </c>
      <c r="F1053" s="6">
        <v>72.384155455904335</v>
      </c>
      <c r="G1053" s="6">
        <v>14426.073850000001</v>
      </c>
    </row>
    <row r="1054" spans="1:7" x14ac:dyDescent="0.2">
      <c r="A1054" s="6">
        <v>970</v>
      </c>
      <c r="B1054" s="6">
        <v>11062.459177071234</v>
      </c>
      <c r="C1054" s="6">
        <v>-2465.631377071235</v>
      </c>
      <c r="F1054" s="6">
        <v>72.458893871449931</v>
      </c>
      <c r="G1054" s="6">
        <v>14449.8544</v>
      </c>
    </row>
    <row r="1055" spans="1:7" x14ac:dyDescent="0.2">
      <c r="A1055" s="6">
        <v>971</v>
      </c>
      <c r="B1055" s="6">
        <v>10847.446290441021</v>
      </c>
      <c r="C1055" s="6">
        <v>-144.80389044102049</v>
      </c>
      <c r="F1055" s="6">
        <v>72.533632286995527</v>
      </c>
      <c r="G1055" s="6">
        <v>14451.835150000001</v>
      </c>
    </row>
    <row r="1056" spans="1:7" x14ac:dyDescent="0.2">
      <c r="A1056" s="6">
        <v>972</v>
      </c>
      <c r="B1056" s="6">
        <v>4785.9751771740121</v>
      </c>
      <c r="C1056" s="6">
        <v>206.40122282598804</v>
      </c>
      <c r="F1056" s="6">
        <v>72.608370702541109</v>
      </c>
      <c r="G1056" s="6">
        <v>14455.644050000001</v>
      </c>
    </row>
    <row r="1057" spans="1:7" x14ac:dyDescent="0.2">
      <c r="A1057" s="6">
        <v>973</v>
      </c>
      <c r="B1057" s="6">
        <v>222.91681404515111</v>
      </c>
      <c r="C1057" s="6">
        <v>2304.901835954849</v>
      </c>
      <c r="F1057" s="6">
        <v>72.683109118086705</v>
      </c>
      <c r="G1057" s="6">
        <v>14474.674999999999</v>
      </c>
    </row>
    <row r="1058" spans="1:7" x14ac:dyDescent="0.2">
      <c r="A1058" s="6">
        <v>974</v>
      </c>
      <c r="B1058" s="6">
        <v>5719.0160019805953</v>
      </c>
      <c r="C1058" s="6">
        <v>-3959.6780019805956</v>
      </c>
      <c r="F1058" s="6">
        <v>72.757847533632287</v>
      </c>
      <c r="G1058" s="6">
        <v>14478.33015</v>
      </c>
    </row>
    <row r="1059" spans="1:7" x14ac:dyDescent="0.2">
      <c r="A1059" s="6">
        <v>975</v>
      </c>
      <c r="B1059" s="6">
        <v>5587.6223079168649</v>
      </c>
      <c r="C1059" s="6">
        <v>-3265.000507916865</v>
      </c>
      <c r="F1059" s="6">
        <v>72.832585949177883</v>
      </c>
      <c r="G1059" s="6">
        <v>14571.890799999999</v>
      </c>
    </row>
    <row r="1060" spans="1:7" x14ac:dyDescent="0.2">
      <c r="A1060" s="6">
        <v>976</v>
      </c>
      <c r="B1060" s="6">
        <v>26993.349950353775</v>
      </c>
      <c r="C1060" s="6">
        <v>-10854.587900353776</v>
      </c>
      <c r="F1060" s="6">
        <v>72.907324364723479</v>
      </c>
      <c r="G1060" s="6">
        <v>14590.63205</v>
      </c>
    </row>
    <row r="1061" spans="1:7" x14ac:dyDescent="0.2">
      <c r="A1061" s="6">
        <v>977</v>
      </c>
      <c r="B1061" s="6">
        <v>12842.847099317793</v>
      </c>
      <c r="C1061" s="6">
        <v>-5038.6865993177926</v>
      </c>
      <c r="F1061" s="6">
        <v>72.982062780269061</v>
      </c>
      <c r="G1061" s="6">
        <v>14692.66935</v>
      </c>
    </row>
    <row r="1062" spans="1:7" x14ac:dyDescent="0.2">
      <c r="A1062" s="6">
        <v>978</v>
      </c>
      <c r="B1062" s="6">
        <v>3936.3798989260285</v>
      </c>
      <c r="C1062" s="6">
        <v>-1033.4733989260285</v>
      </c>
      <c r="F1062" s="6">
        <v>73.056801195814657</v>
      </c>
      <c r="G1062" s="6">
        <v>14711.7438</v>
      </c>
    </row>
    <row r="1063" spans="1:7" x14ac:dyDescent="0.2">
      <c r="A1063" s="6">
        <v>979</v>
      </c>
      <c r="B1063" s="6">
        <v>14612.541100626393</v>
      </c>
      <c r="C1063" s="6">
        <v>-4907.8730506263928</v>
      </c>
      <c r="F1063" s="6">
        <v>73.131539611360239</v>
      </c>
      <c r="G1063" s="6">
        <v>14901.5167</v>
      </c>
    </row>
    <row r="1064" spans="1:7" x14ac:dyDescent="0.2">
      <c r="A1064" s="6">
        <v>980</v>
      </c>
      <c r="B1064" s="6">
        <v>6421.9361978258312</v>
      </c>
      <c r="C1064" s="6">
        <v>-1532.8993978258313</v>
      </c>
      <c r="F1064" s="6">
        <v>73.206278026905835</v>
      </c>
      <c r="G1064" s="6">
        <v>14988.432000000001</v>
      </c>
    </row>
    <row r="1065" spans="1:7" x14ac:dyDescent="0.2">
      <c r="A1065" s="6">
        <v>981</v>
      </c>
      <c r="B1065" s="6">
        <v>10911.755975535592</v>
      </c>
      <c r="C1065" s="6">
        <v>14605.357654464407</v>
      </c>
      <c r="F1065" s="6">
        <v>73.281016442451431</v>
      </c>
      <c r="G1065" s="6">
        <v>15006.579449999999</v>
      </c>
    </row>
    <row r="1066" spans="1:7" x14ac:dyDescent="0.2">
      <c r="A1066" s="6">
        <v>982</v>
      </c>
      <c r="B1066" s="6">
        <v>3913.523121639219</v>
      </c>
      <c r="C1066" s="6">
        <v>586.81612836078102</v>
      </c>
      <c r="F1066" s="6">
        <v>73.355754857997013</v>
      </c>
      <c r="G1066" s="6">
        <v>15019.760050000001</v>
      </c>
    </row>
    <row r="1067" spans="1:7" x14ac:dyDescent="0.2">
      <c r="A1067" s="6">
        <v>983</v>
      </c>
      <c r="B1067" s="6">
        <v>28992.789627675615</v>
      </c>
      <c r="C1067" s="6">
        <v>-9792.8456276756151</v>
      </c>
      <c r="F1067" s="6">
        <v>73.430493273542609</v>
      </c>
      <c r="G1067" s="6">
        <v>15161.5344</v>
      </c>
    </row>
    <row r="1068" spans="1:7" x14ac:dyDescent="0.2">
      <c r="A1068" s="6">
        <v>984</v>
      </c>
      <c r="B1068" s="6">
        <v>5848.0112334459136</v>
      </c>
      <c r="C1068" s="6">
        <v>10948.400706554088</v>
      </c>
      <c r="F1068" s="6">
        <v>73.505231689088191</v>
      </c>
      <c r="G1068" s="6">
        <v>15170.069</v>
      </c>
    </row>
    <row r="1069" spans="1:7" x14ac:dyDescent="0.2">
      <c r="A1069" s="6">
        <v>985</v>
      </c>
      <c r="B1069" s="6">
        <v>5659.5876964207519</v>
      </c>
      <c r="C1069" s="6">
        <v>-744.52784642075221</v>
      </c>
      <c r="F1069" s="6">
        <v>73.579970104633787</v>
      </c>
      <c r="G1069" s="6">
        <v>15230.324049999999</v>
      </c>
    </row>
    <row r="1070" spans="1:7" x14ac:dyDescent="0.2">
      <c r="A1070" s="6">
        <v>986</v>
      </c>
      <c r="B1070" s="6">
        <v>7629.7815924840779</v>
      </c>
      <c r="C1070" s="6">
        <v>-5.1515924840778098</v>
      </c>
      <c r="F1070" s="6">
        <v>73.654708520179383</v>
      </c>
      <c r="G1070" s="6">
        <v>15359.104499999999</v>
      </c>
    </row>
    <row r="1071" spans="1:7" x14ac:dyDescent="0.2">
      <c r="A1071" s="6">
        <v>987</v>
      </c>
      <c r="B1071" s="6">
        <v>10263.318815056848</v>
      </c>
      <c r="C1071" s="6">
        <v>-1853.271965056847</v>
      </c>
      <c r="F1071" s="6">
        <v>73.729446935724965</v>
      </c>
      <c r="G1071" s="6">
        <v>15518.180249999999</v>
      </c>
    </row>
    <row r="1072" spans="1:7" x14ac:dyDescent="0.2">
      <c r="A1072" s="6">
        <v>988</v>
      </c>
      <c r="B1072" s="6">
        <v>9119.536958809611</v>
      </c>
      <c r="C1072" s="6">
        <v>19220.651891190388</v>
      </c>
      <c r="F1072" s="6">
        <v>73.804185351270561</v>
      </c>
      <c r="G1072" s="6">
        <v>15555.188749999999</v>
      </c>
    </row>
    <row r="1073" spans="1:7" x14ac:dyDescent="0.2">
      <c r="A1073" s="6">
        <v>989</v>
      </c>
      <c r="B1073" s="6">
        <v>8424.7960546633913</v>
      </c>
      <c r="C1073" s="6">
        <v>-3905.9698046633912</v>
      </c>
      <c r="F1073" s="6">
        <v>73.878923766816143</v>
      </c>
      <c r="G1073" s="6">
        <v>15612.19335</v>
      </c>
    </row>
    <row r="1074" spans="1:7" x14ac:dyDescent="0.2">
      <c r="A1074" s="6">
        <v>990</v>
      </c>
      <c r="B1074" s="6">
        <v>25034.798094736398</v>
      </c>
      <c r="C1074" s="6">
        <v>-10462.907294736398</v>
      </c>
      <c r="F1074" s="6">
        <v>73.953662182361739</v>
      </c>
      <c r="G1074" s="6">
        <v>15817.985699999999</v>
      </c>
    </row>
    <row r="1075" spans="1:7" x14ac:dyDescent="0.2">
      <c r="A1075" s="6">
        <v>991</v>
      </c>
      <c r="B1075" s="6">
        <v>971.20652514677454</v>
      </c>
      <c r="C1075" s="6">
        <v>2407.7034748532251</v>
      </c>
      <c r="F1075" s="6">
        <v>74.028400597907336</v>
      </c>
      <c r="G1075" s="6">
        <v>15820.699000000001</v>
      </c>
    </row>
    <row r="1076" spans="1:7" x14ac:dyDescent="0.2">
      <c r="A1076" s="6">
        <v>992</v>
      </c>
      <c r="B1076" s="6">
        <v>8214.4536918080103</v>
      </c>
      <c r="C1076" s="6">
        <v>-1069.5910418080102</v>
      </c>
      <c r="F1076" s="6">
        <v>74.103139013452918</v>
      </c>
      <c r="G1076" s="6">
        <v>15828.82173</v>
      </c>
    </row>
    <row r="1077" spans="1:7" x14ac:dyDescent="0.2">
      <c r="A1077" s="6">
        <v>993</v>
      </c>
      <c r="B1077" s="6">
        <v>11613.742283800171</v>
      </c>
      <c r="C1077" s="6">
        <v>-1495.3182838001703</v>
      </c>
      <c r="F1077" s="6">
        <v>74.177877428998514</v>
      </c>
      <c r="G1077" s="6">
        <v>16069.08475</v>
      </c>
    </row>
    <row r="1078" spans="1:7" x14ac:dyDescent="0.2">
      <c r="A1078" s="6">
        <v>994</v>
      </c>
      <c r="B1078" s="6">
        <v>6720.1658901966639</v>
      </c>
      <c r="C1078" s="6">
        <v>-1235.6985901966636</v>
      </c>
      <c r="F1078" s="6">
        <v>74.252615844544096</v>
      </c>
      <c r="G1078" s="6">
        <v>16085.127500000001</v>
      </c>
    </row>
    <row r="1079" spans="1:7" x14ac:dyDescent="0.2">
      <c r="A1079" s="6">
        <v>995</v>
      </c>
      <c r="B1079" s="6">
        <v>26717.787997906049</v>
      </c>
      <c r="C1079" s="6">
        <v>-10297.29344790605</v>
      </c>
      <c r="F1079" s="6">
        <v>74.327354260089692</v>
      </c>
      <c r="G1079" s="6">
        <v>16115.3045</v>
      </c>
    </row>
    <row r="1080" spans="1:7" x14ac:dyDescent="0.2">
      <c r="A1080" s="6">
        <v>996</v>
      </c>
      <c r="B1080" s="6">
        <v>7400.0884410290582</v>
      </c>
      <c r="C1080" s="6">
        <v>586.38680897094218</v>
      </c>
      <c r="F1080" s="6">
        <v>74.402092675635288</v>
      </c>
      <c r="G1080" s="6">
        <v>16138.762049999999</v>
      </c>
    </row>
    <row r="1081" spans="1:7" x14ac:dyDescent="0.2">
      <c r="A1081" s="6">
        <v>997</v>
      </c>
      <c r="B1081" s="6">
        <v>10111.806585065575</v>
      </c>
      <c r="C1081" s="6">
        <v>-2693.2845850655749</v>
      </c>
      <c r="F1081" s="6">
        <v>74.47683109118087</v>
      </c>
      <c r="G1081" s="6">
        <v>16232.847</v>
      </c>
    </row>
    <row r="1082" spans="1:7" x14ac:dyDescent="0.2">
      <c r="A1082" s="6">
        <v>998</v>
      </c>
      <c r="B1082" s="6">
        <v>15707.668349857349</v>
      </c>
      <c r="C1082" s="6">
        <v>-1819.6998498573485</v>
      </c>
      <c r="F1082" s="6">
        <v>74.551569506726466</v>
      </c>
      <c r="G1082" s="6">
        <v>16297.846</v>
      </c>
    </row>
    <row r="1083" spans="1:7" x14ac:dyDescent="0.2">
      <c r="A1083" s="6">
        <v>999</v>
      </c>
      <c r="B1083" s="6">
        <v>10273.553124550055</v>
      </c>
      <c r="C1083" s="6">
        <v>-3721.8030245500549</v>
      </c>
      <c r="F1083" s="6">
        <v>74.626307922272048</v>
      </c>
      <c r="G1083" s="6">
        <v>16420.494549999999</v>
      </c>
    </row>
    <row r="1084" spans="1:7" x14ac:dyDescent="0.2">
      <c r="A1084" s="6">
        <v>1000</v>
      </c>
      <c r="B1084" s="6">
        <v>6074.5422160801099</v>
      </c>
      <c r="C1084" s="6">
        <v>-806.72406608010988</v>
      </c>
      <c r="F1084" s="6">
        <v>74.701046337817644</v>
      </c>
      <c r="G1084" s="6">
        <v>16450.894700000001</v>
      </c>
    </row>
    <row r="1085" spans="1:7" x14ac:dyDescent="0.2">
      <c r="A1085" s="6">
        <v>1001</v>
      </c>
      <c r="B1085" s="6">
        <v>27880.466871857778</v>
      </c>
      <c r="C1085" s="6">
        <v>-10518.700771857777</v>
      </c>
      <c r="F1085" s="6">
        <v>74.77578475336324</v>
      </c>
      <c r="G1085" s="6">
        <v>16455.707849999999</v>
      </c>
    </row>
    <row r="1086" spans="1:7" x14ac:dyDescent="0.2">
      <c r="A1086" s="6">
        <v>1002</v>
      </c>
      <c r="B1086" s="6">
        <v>28074.809009020497</v>
      </c>
      <c r="C1086" s="6">
        <v>6398.0319909795035</v>
      </c>
      <c r="F1086" s="6">
        <v>74.850523168908822</v>
      </c>
      <c r="G1086" s="6">
        <v>16577.779500000001</v>
      </c>
    </row>
    <row r="1087" spans="1:7" x14ac:dyDescent="0.2">
      <c r="A1087" s="6">
        <v>1003</v>
      </c>
      <c r="B1087" s="6">
        <v>1885.8396371928807</v>
      </c>
      <c r="C1087" s="6">
        <v>87.110362807119373</v>
      </c>
      <c r="F1087" s="6">
        <v>74.925261584454418</v>
      </c>
      <c r="G1087" s="6">
        <v>16586.49771</v>
      </c>
    </row>
    <row r="1088" spans="1:7" x14ac:dyDescent="0.2">
      <c r="A1088" s="6">
        <v>1004</v>
      </c>
      <c r="B1088" s="6">
        <v>9339.327221810423</v>
      </c>
      <c r="C1088" s="6">
        <v>11892.855038189578</v>
      </c>
      <c r="F1088" s="6">
        <v>75</v>
      </c>
      <c r="G1088" s="6">
        <v>16657.71745</v>
      </c>
    </row>
    <row r="1089" spans="1:7" x14ac:dyDescent="0.2">
      <c r="A1089" s="6">
        <v>1005</v>
      </c>
      <c r="B1089" s="6">
        <v>6987.0185536341905</v>
      </c>
      <c r="C1089" s="6">
        <v>1640.5225463658098</v>
      </c>
      <c r="F1089" s="6">
        <v>75.074738415545596</v>
      </c>
      <c r="G1089" s="6">
        <v>16776.304049999999</v>
      </c>
    </row>
    <row r="1090" spans="1:7" x14ac:dyDescent="0.2">
      <c r="A1090" s="6">
        <v>1006</v>
      </c>
      <c r="B1090" s="6">
        <v>6739.6267619663522</v>
      </c>
      <c r="C1090" s="6">
        <v>-2306.239061966352</v>
      </c>
      <c r="F1090" s="6">
        <v>75.149476831091192</v>
      </c>
      <c r="G1090" s="6">
        <v>16796.411940000002</v>
      </c>
    </row>
    <row r="1091" spans="1:7" x14ac:dyDescent="0.2">
      <c r="A1091" s="6">
        <v>1007</v>
      </c>
      <c r="B1091" s="6">
        <v>5997.9264784348716</v>
      </c>
      <c r="C1091" s="6">
        <v>-1559.6630784348717</v>
      </c>
      <c r="F1091" s="6">
        <v>75.224215246636774</v>
      </c>
      <c r="G1091" s="6">
        <v>16884.923999999999</v>
      </c>
    </row>
    <row r="1092" spans="1:7" x14ac:dyDescent="0.2">
      <c r="A1092" s="6">
        <v>1008</v>
      </c>
      <c r="B1092" s="6">
        <v>34494.811205258462</v>
      </c>
      <c r="C1092" s="6">
        <v>-9579.5903552584605</v>
      </c>
      <c r="F1092" s="6">
        <v>75.29895366218237</v>
      </c>
      <c r="G1092" s="6">
        <v>17043.341400000001</v>
      </c>
    </row>
    <row r="1093" spans="1:7" x14ac:dyDescent="0.2">
      <c r="A1093" s="6">
        <v>1009</v>
      </c>
      <c r="B1093" s="6">
        <v>3777.3054066364843</v>
      </c>
      <c r="C1093" s="6">
        <v>19464.169123363514</v>
      </c>
      <c r="F1093" s="6">
        <v>75.373692077727952</v>
      </c>
      <c r="G1093" s="6">
        <v>17081.080000000002</v>
      </c>
    </row>
    <row r="1094" spans="1:7" x14ac:dyDescent="0.2">
      <c r="A1094" s="6">
        <v>1010</v>
      </c>
      <c r="B1094" s="6">
        <v>10914.547992156264</v>
      </c>
      <c r="C1094" s="6">
        <v>-956.82639215626295</v>
      </c>
      <c r="F1094" s="6">
        <v>75.448430493273548</v>
      </c>
      <c r="G1094" s="6">
        <v>17085.267599999999</v>
      </c>
    </row>
    <row r="1095" spans="1:7" x14ac:dyDescent="0.2">
      <c r="A1095" s="6">
        <v>1011</v>
      </c>
      <c r="B1095" s="6">
        <v>7164.1260966518184</v>
      </c>
      <c r="C1095" s="6">
        <v>1104.9179033481814</v>
      </c>
      <c r="F1095" s="6">
        <v>75.523168908819144</v>
      </c>
      <c r="G1095" s="6">
        <v>17128.426080000001</v>
      </c>
    </row>
    <row r="1096" spans="1:7" x14ac:dyDescent="0.2">
      <c r="A1096" s="6">
        <v>1012</v>
      </c>
      <c r="B1096" s="6">
        <v>29567.448027553117</v>
      </c>
      <c r="C1096" s="6">
        <v>-10799.710327553115</v>
      </c>
      <c r="F1096" s="6">
        <v>75.597907324364726</v>
      </c>
      <c r="G1096" s="6">
        <v>17178.682400000002</v>
      </c>
    </row>
    <row r="1097" spans="1:7" x14ac:dyDescent="0.2">
      <c r="A1097" s="6">
        <v>1013</v>
      </c>
      <c r="B1097" s="6">
        <v>15901.996868669024</v>
      </c>
      <c r="C1097" s="6">
        <v>20678.285291330976</v>
      </c>
      <c r="F1097" s="6">
        <v>75.672645739910323</v>
      </c>
      <c r="G1097" s="6">
        <v>17179.522000000001</v>
      </c>
    </row>
    <row r="1098" spans="1:7" x14ac:dyDescent="0.2">
      <c r="A1098" s="6">
        <v>1014</v>
      </c>
      <c r="B1098" s="6">
        <v>11337.737183585008</v>
      </c>
      <c r="C1098" s="6">
        <v>-2572.4881835850083</v>
      </c>
      <c r="F1098" s="6">
        <v>75.747384155455904</v>
      </c>
      <c r="G1098" s="6">
        <v>17352.6803</v>
      </c>
    </row>
    <row r="1099" spans="1:7" x14ac:dyDescent="0.2">
      <c r="A1099" s="6">
        <v>1015</v>
      </c>
      <c r="B1099" s="6">
        <v>6223.6911486103709</v>
      </c>
      <c r="C1099" s="6">
        <v>-840.15514861037082</v>
      </c>
      <c r="F1099" s="6">
        <v>75.822122571001501</v>
      </c>
      <c r="G1099" s="6">
        <v>17361.766100000001</v>
      </c>
    </row>
    <row r="1100" spans="1:7" x14ac:dyDescent="0.2">
      <c r="A1100" s="6">
        <v>1016</v>
      </c>
      <c r="B1100" s="6">
        <v>11367.573293648558</v>
      </c>
      <c r="C1100" s="6">
        <v>757.41910635144086</v>
      </c>
      <c r="F1100" s="6">
        <v>75.896860986547097</v>
      </c>
      <c r="G1100" s="6">
        <v>17468.983899999999</v>
      </c>
    </row>
    <row r="1101" spans="1:7" x14ac:dyDescent="0.2">
      <c r="A1101" s="6">
        <v>1017</v>
      </c>
      <c r="B1101" s="6">
        <v>1410.1236938616114</v>
      </c>
      <c r="C1101" s="6">
        <v>1299.1202561383886</v>
      </c>
      <c r="F1101" s="6">
        <v>75.971599402092679</v>
      </c>
      <c r="G1101" s="6">
        <v>17496.306</v>
      </c>
    </row>
    <row r="1102" spans="1:7" x14ac:dyDescent="0.2">
      <c r="A1102" s="6">
        <v>1018</v>
      </c>
      <c r="B1102" s="6">
        <v>6331.0928022920052</v>
      </c>
      <c r="C1102" s="6">
        <v>-2343.1668022920053</v>
      </c>
      <c r="F1102" s="6">
        <v>76.046337817638275</v>
      </c>
      <c r="G1102" s="6">
        <v>17560.37975</v>
      </c>
    </row>
    <row r="1103" spans="1:7" x14ac:dyDescent="0.2">
      <c r="A1103" s="6">
        <v>1019</v>
      </c>
      <c r="B1103" s="6">
        <v>15153.455737944571</v>
      </c>
      <c r="C1103" s="6">
        <v>-2658.1648879445711</v>
      </c>
      <c r="F1103" s="6">
        <v>76.121076233183857</v>
      </c>
      <c r="G1103" s="6">
        <v>17626.239509999999</v>
      </c>
    </row>
    <row r="1104" spans="1:7" x14ac:dyDescent="0.2">
      <c r="A1104" s="6">
        <v>1020</v>
      </c>
      <c r="B1104" s="6">
        <v>5138.3240819929733</v>
      </c>
      <c r="C1104" s="6">
        <v>20880.626438007024</v>
      </c>
      <c r="F1104" s="6">
        <v>76.195814648729453</v>
      </c>
      <c r="G1104" s="6">
        <v>17663.144199999999</v>
      </c>
    </row>
    <row r="1105" spans="1:7" x14ac:dyDescent="0.2">
      <c r="A1105" s="6">
        <v>1021</v>
      </c>
      <c r="B1105" s="6">
        <v>12619.927836142682</v>
      </c>
      <c r="C1105" s="6">
        <v>-3821.3348361426815</v>
      </c>
      <c r="F1105" s="6">
        <v>76.270553064275049</v>
      </c>
      <c r="G1105" s="6">
        <v>17748.5062</v>
      </c>
    </row>
    <row r="1106" spans="1:7" x14ac:dyDescent="0.2">
      <c r="A1106" s="6">
        <v>1022</v>
      </c>
      <c r="B1106" s="6">
        <v>28474.096238635098</v>
      </c>
      <c r="C1106" s="6">
        <v>7121.4935613649031</v>
      </c>
      <c r="F1106" s="6">
        <v>76.345291479820631</v>
      </c>
      <c r="G1106" s="6">
        <v>17878.900679999999</v>
      </c>
    </row>
    <row r="1107" spans="1:7" x14ac:dyDescent="0.2">
      <c r="A1107" s="6">
        <v>1023</v>
      </c>
      <c r="B1107" s="6">
        <v>35529.508477646275</v>
      </c>
      <c r="C1107" s="6">
        <v>6681.6297223537258</v>
      </c>
      <c r="F1107" s="6">
        <v>76.420029895366227</v>
      </c>
      <c r="G1107" s="6">
        <v>17904.527050000001</v>
      </c>
    </row>
    <row r="1108" spans="1:7" x14ac:dyDescent="0.2">
      <c r="A1108" s="6">
        <v>1024</v>
      </c>
      <c r="B1108" s="6">
        <v>-95.968755923952813</v>
      </c>
      <c r="C1108" s="6">
        <v>1806.9955559239529</v>
      </c>
      <c r="F1108" s="6">
        <v>76.494768310911809</v>
      </c>
      <c r="G1108" s="6">
        <v>17929.303370000001</v>
      </c>
    </row>
    <row r="1109" spans="1:7" x14ac:dyDescent="0.2">
      <c r="A1109" s="6">
        <v>1025</v>
      </c>
      <c r="B1109" s="6">
        <v>14946.435806492729</v>
      </c>
      <c r="C1109" s="6">
        <v>-6376.5740064927286</v>
      </c>
      <c r="F1109" s="6">
        <v>76.569506726457405</v>
      </c>
      <c r="G1109" s="6">
        <v>17942.106</v>
      </c>
    </row>
    <row r="1110" spans="1:7" x14ac:dyDescent="0.2">
      <c r="A1110" s="6">
        <v>1026</v>
      </c>
      <c r="B1110" s="6">
        <v>4231.4873307513371</v>
      </c>
      <c r="C1110" s="6">
        <v>-2211.3103307513375</v>
      </c>
      <c r="F1110" s="6">
        <v>76.644245142003001</v>
      </c>
      <c r="G1110" s="6">
        <v>18033.9679</v>
      </c>
    </row>
    <row r="1111" spans="1:7" x14ac:dyDescent="0.2">
      <c r="A1111" s="6">
        <v>1027</v>
      </c>
      <c r="B1111" s="6">
        <v>25610.694547774772</v>
      </c>
      <c r="C1111" s="6">
        <v>-9159.7998477747715</v>
      </c>
      <c r="F1111" s="6">
        <v>76.718983557548583</v>
      </c>
      <c r="G1111" s="6">
        <v>18157.876</v>
      </c>
    </row>
    <row r="1112" spans="1:7" x14ac:dyDescent="0.2">
      <c r="A1112" s="6">
        <v>1028</v>
      </c>
      <c r="B1112" s="6">
        <v>-167.11524230108444</v>
      </c>
      <c r="C1112" s="6">
        <v>21762.497532301088</v>
      </c>
      <c r="F1112" s="6">
        <v>76.793721973094179</v>
      </c>
      <c r="G1112" s="6">
        <v>18218.161390000001</v>
      </c>
    </row>
    <row r="1113" spans="1:7" x14ac:dyDescent="0.2">
      <c r="A1113" s="6">
        <v>1029</v>
      </c>
      <c r="B1113" s="6">
        <v>11558.85224425619</v>
      </c>
      <c r="C1113" s="6">
        <v>-1708.4202442561891</v>
      </c>
      <c r="F1113" s="6">
        <v>76.868460388639761</v>
      </c>
      <c r="G1113" s="6">
        <v>18223.4512</v>
      </c>
    </row>
    <row r="1114" spans="1:7" x14ac:dyDescent="0.2">
      <c r="A1114" s="6">
        <v>1030</v>
      </c>
      <c r="B1114" s="6">
        <v>4380.8023709443532</v>
      </c>
      <c r="C1114" s="6">
        <v>2497.1777290556465</v>
      </c>
      <c r="F1114" s="6">
        <v>76.943198804185357</v>
      </c>
      <c r="G1114" s="6">
        <v>18246.495500000001</v>
      </c>
    </row>
    <row r="1115" spans="1:7" x14ac:dyDescent="0.2">
      <c r="A1115" s="6">
        <v>1031</v>
      </c>
      <c r="B1115" s="6">
        <v>31871.545973352528</v>
      </c>
      <c r="C1115" s="6">
        <v>-10194.262523352529</v>
      </c>
      <c r="F1115" s="6">
        <v>77.017937219730953</v>
      </c>
      <c r="G1115" s="6">
        <v>18259.216</v>
      </c>
    </row>
    <row r="1116" spans="1:7" x14ac:dyDescent="0.2">
      <c r="A1116" s="6">
        <v>1032</v>
      </c>
      <c r="B1116" s="6">
        <v>36941.682873013495</v>
      </c>
      <c r="C1116" s="6">
        <v>7482.1201269865051</v>
      </c>
      <c r="F1116" s="6">
        <v>77.092675635276535</v>
      </c>
      <c r="G1116" s="6">
        <v>18310.741999999998</v>
      </c>
    </row>
    <row r="1117" spans="1:7" x14ac:dyDescent="0.2">
      <c r="A1117" s="6">
        <v>1033</v>
      </c>
      <c r="B1117" s="6">
        <v>5240.8251593039904</v>
      </c>
      <c r="C1117" s="6">
        <v>-1103.30245930399</v>
      </c>
      <c r="F1117" s="6">
        <v>77.167414050822131</v>
      </c>
      <c r="G1117" s="6">
        <v>18328.238099999999</v>
      </c>
    </row>
    <row r="1118" spans="1:7" x14ac:dyDescent="0.2">
      <c r="A1118" s="6">
        <v>1034</v>
      </c>
      <c r="B1118" s="6">
        <v>23716.802779140533</v>
      </c>
      <c r="C1118" s="6">
        <v>-9968.9304291405333</v>
      </c>
      <c r="F1118" s="6">
        <v>77.242152466367713</v>
      </c>
      <c r="G1118" s="6">
        <v>18608.261999999999</v>
      </c>
    </row>
    <row r="1119" spans="1:7" x14ac:dyDescent="0.2">
      <c r="A1119" s="6">
        <v>1035</v>
      </c>
      <c r="B1119" s="6">
        <v>16263.665419375309</v>
      </c>
      <c r="C1119" s="6">
        <v>-3313.594219375309</v>
      </c>
      <c r="F1119" s="6">
        <v>77.316890881913309</v>
      </c>
      <c r="G1119" s="6">
        <v>18648.421699999999</v>
      </c>
    </row>
    <row r="1120" spans="1:7" x14ac:dyDescent="0.2">
      <c r="A1120" s="6">
        <v>1036</v>
      </c>
      <c r="B1120" s="6">
        <v>10199.604538045469</v>
      </c>
      <c r="C1120" s="6">
        <v>1894.8734619545303</v>
      </c>
      <c r="F1120" s="6">
        <v>77.391629297458906</v>
      </c>
      <c r="G1120" s="6">
        <v>18765.87545</v>
      </c>
    </row>
    <row r="1121" spans="1:7" x14ac:dyDescent="0.2">
      <c r="A1121" s="6">
        <v>1037</v>
      </c>
      <c r="B1121" s="6">
        <v>29919.401728436442</v>
      </c>
      <c r="C1121" s="6">
        <v>7565.0475715635584</v>
      </c>
      <c r="F1121" s="6">
        <v>77.466367713004487</v>
      </c>
      <c r="G1121" s="6">
        <v>18767.737700000001</v>
      </c>
    </row>
    <row r="1122" spans="1:7" x14ac:dyDescent="0.2">
      <c r="A1122" s="6">
        <v>1038</v>
      </c>
      <c r="B1122" s="6">
        <v>33934.772843513325</v>
      </c>
      <c r="C1122" s="6">
        <v>5790.7452064866739</v>
      </c>
      <c r="F1122" s="6">
        <v>77.541106128550084</v>
      </c>
      <c r="G1122" s="6">
        <v>18804.752400000001</v>
      </c>
    </row>
    <row r="1123" spans="1:7" x14ac:dyDescent="0.2">
      <c r="A1123" s="6">
        <v>1039</v>
      </c>
      <c r="B1123" s="6">
        <v>3376.893760540398</v>
      </c>
      <c r="C1123" s="6">
        <v>-1126.058560540398</v>
      </c>
      <c r="F1123" s="6">
        <v>77.615844544095665</v>
      </c>
      <c r="G1123" s="6">
        <v>18806.145469999999</v>
      </c>
    </row>
    <row r="1124" spans="1:7" x14ac:dyDescent="0.2">
      <c r="A1124" s="6">
        <v>1040</v>
      </c>
      <c r="B1124" s="6">
        <v>2656.5644662204718</v>
      </c>
      <c r="C1124" s="6">
        <v>19837.095173779529</v>
      </c>
      <c r="F1124" s="6">
        <v>77.690582959641262</v>
      </c>
      <c r="G1124" s="6">
        <v>18838.703659999999</v>
      </c>
    </row>
    <row r="1125" spans="1:7" x14ac:dyDescent="0.2">
      <c r="A1125" s="6">
        <v>1041</v>
      </c>
      <c r="B1125" s="6">
        <v>30052.900942571941</v>
      </c>
      <c r="C1125" s="6">
        <v>-9818.0461925719428</v>
      </c>
      <c r="F1125" s="6">
        <v>77.765321375186858</v>
      </c>
      <c r="G1125" s="6">
        <v>18903.491409999999</v>
      </c>
    </row>
    <row r="1126" spans="1:7" x14ac:dyDescent="0.2">
      <c r="A1126" s="6">
        <v>1042</v>
      </c>
      <c r="B1126" s="6">
        <v>383.84228671618803</v>
      </c>
      <c r="C1126" s="6">
        <v>1320.8578632838119</v>
      </c>
      <c r="F1126" s="6">
        <v>77.84005979073244</v>
      </c>
      <c r="G1126" s="6">
        <v>18955.220170000001</v>
      </c>
    </row>
    <row r="1127" spans="1:7" x14ac:dyDescent="0.2">
      <c r="A1127" s="6">
        <v>1043</v>
      </c>
      <c r="B1127" s="6">
        <v>27323.959781146088</v>
      </c>
      <c r="C1127" s="6">
        <v>6151.8573688539145</v>
      </c>
      <c r="F1127" s="6">
        <v>77.914798206278036</v>
      </c>
      <c r="G1127" s="6">
        <v>18963.171920000001</v>
      </c>
    </row>
    <row r="1128" spans="1:7" x14ac:dyDescent="0.2">
      <c r="A1128" s="6">
        <v>1044</v>
      </c>
      <c r="B1128" s="6">
        <v>3044.5794067373795</v>
      </c>
      <c r="C1128" s="6">
        <v>116.87459326262069</v>
      </c>
      <c r="F1128" s="6">
        <v>77.989536621823618</v>
      </c>
      <c r="G1128" s="6">
        <v>18972.494999999999</v>
      </c>
    </row>
    <row r="1129" spans="1:7" x14ac:dyDescent="0.2">
      <c r="A1129" s="6">
        <v>1045</v>
      </c>
      <c r="B1129" s="6">
        <v>14487.620271655009</v>
      </c>
      <c r="C1129" s="6">
        <v>-3093.5547216550094</v>
      </c>
      <c r="F1129" s="6">
        <v>78.064275037369214</v>
      </c>
      <c r="G1129" s="6">
        <v>19023.259999999998</v>
      </c>
    </row>
    <row r="1130" spans="1:7" x14ac:dyDescent="0.2">
      <c r="A1130" s="6">
        <v>1046</v>
      </c>
      <c r="B1130" s="6">
        <v>31930.934619912943</v>
      </c>
      <c r="C1130" s="6">
        <v>-10050.114619912943</v>
      </c>
      <c r="F1130" s="6">
        <v>78.13901345291481</v>
      </c>
      <c r="G1130" s="6">
        <v>19040.876</v>
      </c>
    </row>
    <row r="1131" spans="1:7" x14ac:dyDescent="0.2">
      <c r="A1131" s="6">
        <v>1047</v>
      </c>
      <c r="B1131" s="6">
        <v>7613.2563994986212</v>
      </c>
      <c r="C1131" s="6">
        <v>-288.20819949862107</v>
      </c>
      <c r="F1131" s="6">
        <v>78.213751868460392</v>
      </c>
      <c r="G1131" s="6">
        <v>19107.779600000002</v>
      </c>
    </row>
    <row r="1132" spans="1:7" x14ac:dyDescent="0.2">
      <c r="A1132" s="6">
        <v>1048</v>
      </c>
      <c r="B1132" s="6">
        <v>34704.791648791441</v>
      </c>
      <c r="C1132" s="6">
        <v>9796.6065512085625</v>
      </c>
      <c r="F1132" s="6">
        <v>78.288490284005988</v>
      </c>
      <c r="G1132" s="6">
        <v>19144.576519999999</v>
      </c>
    </row>
    <row r="1133" spans="1:7" x14ac:dyDescent="0.2">
      <c r="A1133" s="6">
        <v>1049</v>
      </c>
      <c r="B1133" s="6">
        <v>2242.3474910390432</v>
      </c>
      <c r="C1133" s="6">
        <v>1351.8233589609567</v>
      </c>
      <c r="F1133" s="6">
        <v>78.36322869955157</v>
      </c>
      <c r="G1133" s="6">
        <v>19199.944</v>
      </c>
    </row>
    <row r="1134" spans="1:7" x14ac:dyDescent="0.2">
      <c r="A1134" s="6">
        <v>1050</v>
      </c>
      <c r="B1134" s="6">
        <v>33885.669605954681</v>
      </c>
      <c r="C1134" s="6">
        <v>5841.9443940453202</v>
      </c>
      <c r="F1134" s="6">
        <v>78.437967115097166</v>
      </c>
      <c r="G1134" s="6">
        <v>19214.705529999999</v>
      </c>
    </row>
    <row r="1135" spans="1:7" x14ac:dyDescent="0.2">
      <c r="A1135" s="6">
        <v>1051</v>
      </c>
      <c r="B1135" s="6">
        <v>12020.571659389185</v>
      </c>
      <c r="C1135" s="6">
        <v>-3997.436209389185</v>
      </c>
      <c r="F1135" s="6">
        <v>78.512705530642762</v>
      </c>
      <c r="G1135" s="6">
        <v>19350.368900000001</v>
      </c>
    </row>
    <row r="1136" spans="1:7" x14ac:dyDescent="0.2">
      <c r="A1136" s="6">
        <v>1052</v>
      </c>
      <c r="B1136" s="6">
        <v>13327.052736690237</v>
      </c>
      <c r="C1136" s="6">
        <v>1067.5051633097628</v>
      </c>
      <c r="F1136" s="6">
        <v>78.587443946188344</v>
      </c>
      <c r="G1136" s="6">
        <v>19361.998800000001</v>
      </c>
    </row>
    <row r="1137" spans="1:7" x14ac:dyDescent="0.2">
      <c r="A1137" s="6">
        <v>1053</v>
      </c>
      <c r="B1137" s="6">
        <v>11109.749605128221</v>
      </c>
      <c r="C1137" s="6">
        <v>-1821.7229051282211</v>
      </c>
      <c r="F1137" s="6">
        <v>78.66218236173394</v>
      </c>
      <c r="G1137" s="6">
        <v>19442.353500000001</v>
      </c>
    </row>
    <row r="1138" spans="1:7" x14ac:dyDescent="0.2">
      <c r="A1138" s="6">
        <v>1054</v>
      </c>
      <c r="B1138" s="6">
        <v>34425.345737355463</v>
      </c>
      <c r="C1138" s="6">
        <v>-9115.8567373554615</v>
      </c>
      <c r="F1138" s="6">
        <v>78.736920777279522</v>
      </c>
      <c r="G1138" s="6">
        <v>19444.265800000001</v>
      </c>
    </row>
    <row r="1139" spans="1:7" x14ac:dyDescent="0.2">
      <c r="A1139" s="6">
        <v>1055</v>
      </c>
      <c r="B1139" s="6">
        <v>1926.1024919412785</v>
      </c>
      <c r="C1139" s="6">
        <v>1427.3678080587215</v>
      </c>
      <c r="F1139" s="6">
        <v>78.811659192825118</v>
      </c>
      <c r="G1139" s="6">
        <v>19496.71917</v>
      </c>
    </row>
    <row r="1140" spans="1:7" x14ac:dyDescent="0.2">
      <c r="A1140" s="6">
        <v>1056</v>
      </c>
      <c r="B1140" s="6">
        <v>11081.28557963885</v>
      </c>
      <c r="C1140" s="6">
        <v>-486.78402963884946</v>
      </c>
      <c r="F1140" s="6">
        <v>78.886397608370714</v>
      </c>
      <c r="G1140" s="6">
        <v>19515.5416</v>
      </c>
    </row>
    <row r="1141" spans="1:7" x14ac:dyDescent="0.2">
      <c r="A1141" s="6">
        <v>1057</v>
      </c>
      <c r="B1141" s="6">
        <v>9233.2061636779417</v>
      </c>
      <c r="C1141" s="6">
        <v>-955.6831636779425</v>
      </c>
      <c r="F1141" s="6">
        <v>78.961136023916296</v>
      </c>
      <c r="G1141" s="6">
        <v>19521.968199999999</v>
      </c>
    </row>
    <row r="1142" spans="1:7" x14ac:dyDescent="0.2">
      <c r="A1142" s="6">
        <v>1058</v>
      </c>
      <c r="B1142" s="6">
        <v>9367.9351289142323</v>
      </c>
      <c r="C1142" s="6">
        <v>8561.3682410857691</v>
      </c>
      <c r="F1142" s="6">
        <v>79.035874439461892</v>
      </c>
      <c r="G1142" s="6">
        <v>19539.242999999999</v>
      </c>
    </row>
    <row r="1143" spans="1:7" x14ac:dyDescent="0.2">
      <c r="A1143" s="6">
        <v>1059</v>
      </c>
      <c r="B1143" s="6">
        <v>6585.7413184333964</v>
      </c>
      <c r="C1143" s="6">
        <v>-4104.7622184333959</v>
      </c>
      <c r="F1143" s="6">
        <v>79.110612855007474</v>
      </c>
      <c r="G1143" s="6">
        <v>19594.809649999999</v>
      </c>
    </row>
    <row r="1144" spans="1:7" x14ac:dyDescent="0.2">
      <c r="A1144" s="6">
        <v>1060</v>
      </c>
      <c r="B1144" s="6">
        <v>7743.6095924759184</v>
      </c>
      <c r="C1144" s="6">
        <v>-3280.8877924759181</v>
      </c>
      <c r="F1144" s="6">
        <v>79.18535127055307</v>
      </c>
      <c r="G1144" s="6">
        <v>19673.335729999999</v>
      </c>
    </row>
    <row r="1145" spans="1:7" x14ac:dyDescent="0.2">
      <c r="A1145" s="6">
        <v>1061</v>
      </c>
      <c r="B1145" s="6">
        <v>3917.2599260292036</v>
      </c>
      <c r="C1145" s="6">
        <v>-1935.6780260292037</v>
      </c>
      <c r="F1145" s="6">
        <v>79.260089686098667</v>
      </c>
      <c r="G1145" s="6">
        <v>19719.6947</v>
      </c>
    </row>
    <row r="1146" spans="1:7" x14ac:dyDescent="0.2">
      <c r="A1146" s="6">
        <v>1062</v>
      </c>
      <c r="B1146" s="6">
        <v>11488.5027487147</v>
      </c>
      <c r="C1146" s="6">
        <v>65.720851285299432</v>
      </c>
      <c r="F1146" s="6">
        <v>79.334828101644248</v>
      </c>
      <c r="G1146" s="6">
        <v>19749.383379999999</v>
      </c>
    </row>
    <row r="1147" spans="1:7" x14ac:dyDescent="0.2">
      <c r="A1147" s="6">
        <v>1063</v>
      </c>
      <c r="B1147" s="6">
        <v>40328.1035833653</v>
      </c>
      <c r="C1147" s="6">
        <v>8642.144016634702</v>
      </c>
      <c r="F1147" s="6">
        <v>79.409566517189845</v>
      </c>
      <c r="G1147" s="6">
        <v>19798.054550000001</v>
      </c>
    </row>
    <row r="1148" spans="1:7" x14ac:dyDescent="0.2">
      <c r="A1148" s="6">
        <v>1064</v>
      </c>
      <c r="B1148" s="6">
        <v>7949.7502978069351</v>
      </c>
      <c r="C1148" s="6">
        <v>-1401.5552478069349</v>
      </c>
      <c r="F1148" s="6">
        <v>79.484304932735427</v>
      </c>
      <c r="G1148" s="6">
        <v>19933.457999999999</v>
      </c>
    </row>
    <row r="1149" spans="1:7" x14ac:dyDescent="0.2">
      <c r="A1149" s="6">
        <v>1065</v>
      </c>
      <c r="B1149" s="6">
        <v>5135.5992491490888</v>
      </c>
      <c r="C1149" s="6">
        <v>573.2677508509114</v>
      </c>
      <c r="F1149" s="6">
        <v>79.559043348281023</v>
      </c>
      <c r="G1149" s="6">
        <v>19964.746299999999</v>
      </c>
    </row>
    <row r="1150" spans="1:7" x14ac:dyDescent="0.2">
      <c r="A1150" s="6">
        <v>1066</v>
      </c>
      <c r="B1150" s="6">
        <v>6946.472160603962</v>
      </c>
      <c r="C1150" s="6">
        <v>99.026839396037758</v>
      </c>
      <c r="F1150" s="6">
        <v>79.633781763826619</v>
      </c>
      <c r="G1150" s="6">
        <v>20009.63365</v>
      </c>
    </row>
    <row r="1151" spans="1:7" x14ac:dyDescent="0.2">
      <c r="A1151" s="6">
        <v>1067</v>
      </c>
      <c r="B1151" s="6">
        <v>12823.754912289054</v>
      </c>
      <c r="C1151" s="6">
        <v>-3845.5698122890535</v>
      </c>
      <c r="F1151" s="6">
        <v>79.708520179372201</v>
      </c>
      <c r="G1151" s="6">
        <v>20149.322899999999</v>
      </c>
    </row>
    <row r="1152" spans="1:7" x14ac:dyDescent="0.2">
      <c r="A1152" s="6">
        <v>1068</v>
      </c>
      <c r="B1152" s="6">
        <v>12415.841577164634</v>
      </c>
      <c r="C1152" s="6">
        <v>-6658.4281271646341</v>
      </c>
      <c r="F1152" s="6">
        <v>79.783258594917797</v>
      </c>
      <c r="G1152" s="6">
        <v>20167.336029999999</v>
      </c>
    </row>
    <row r="1153" spans="1:7" x14ac:dyDescent="0.2">
      <c r="A1153" s="6">
        <v>1069</v>
      </c>
      <c r="B1153" s="6">
        <v>11581.56412522589</v>
      </c>
      <c r="C1153" s="6">
        <v>2768.29027477411</v>
      </c>
      <c r="F1153" s="6">
        <v>79.857997010463379</v>
      </c>
      <c r="G1153" s="6">
        <v>20177.671129999999</v>
      </c>
    </row>
    <row r="1154" spans="1:7" x14ac:dyDescent="0.2">
      <c r="A1154" s="6">
        <v>1070</v>
      </c>
      <c r="B1154" s="6">
        <v>12192.454126796689</v>
      </c>
      <c r="C1154" s="6">
        <v>-1263.6051267966886</v>
      </c>
      <c r="F1154" s="6">
        <v>79.932735426008975</v>
      </c>
      <c r="G1154" s="6">
        <v>20234.854749999999</v>
      </c>
    </row>
    <row r="1155" spans="1:7" x14ac:dyDescent="0.2">
      <c r="A1155" s="6">
        <v>1071</v>
      </c>
      <c r="B1155" s="6">
        <v>33296.746471347527</v>
      </c>
      <c r="C1155" s="6">
        <v>6574.9578286524702</v>
      </c>
      <c r="F1155" s="6">
        <v>80.007473841554571</v>
      </c>
      <c r="G1155" s="6">
        <v>20277.807509999999</v>
      </c>
    </row>
    <row r="1156" spans="1:7" x14ac:dyDescent="0.2">
      <c r="A1156" s="6">
        <v>1072</v>
      </c>
      <c r="B1156" s="6">
        <v>14778.035423083469</v>
      </c>
      <c r="C1156" s="6">
        <v>-803.57987308346856</v>
      </c>
      <c r="F1156" s="6">
        <v>80.082212257100153</v>
      </c>
      <c r="G1156" s="6">
        <v>20296.863450000001</v>
      </c>
    </row>
    <row r="1157" spans="1:7" x14ac:dyDescent="0.2">
      <c r="A1157" s="6">
        <v>1073</v>
      </c>
      <c r="B1157" s="6">
        <v>3572.6579609041546</v>
      </c>
      <c r="C1157" s="6">
        <v>-1663.1305109041546</v>
      </c>
      <c r="F1157" s="6">
        <v>80.156950672645749</v>
      </c>
      <c r="G1157" s="6">
        <v>20420.604650000001</v>
      </c>
    </row>
    <row r="1158" spans="1:7" x14ac:dyDescent="0.2">
      <c r="A1158" s="6">
        <v>1074</v>
      </c>
      <c r="B1158" s="6">
        <v>12678.612491428905</v>
      </c>
      <c r="C1158" s="6">
        <v>-581.96129142890459</v>
      </c>
      <c r="F1158" s="6">
        <v>80.231689088191331</v>
      </c>
      <c r="G1158" s="6">
        <v>20462.997660000001</v>
      </c>
    </row>
    <row r="1159" spans="1:7" x14ac:dyDescent="0.2">
      <c r="A1159" s="6">
        <v>1075</v>
      </c>
      <c r="B1159" s="6">
        <v>9691.9545480284196</v>
      </c>
      <c r="C1159" s="6">
        <v>3512.3311019715802</v>
      </c>
      <c r="F1159" s="6">
        <v>80.306427503736927</v>
      </c>
      <c r="G1159" s="6">
        <v>20630.283510000001</v>
      </c>
    </row>
    <row r="1160" spans="1:7" x14ac:dyDescent="0.2">
      <c r="A1160" s="6">
        <v>1076</v>
      </c>
      <c r="B1160" s="6">
        <v>5758.0774931339929</v>
      </c>
      <c r="C1160" s="6">
        <v>-1195.2353931339931</v>
      </c>
      <c r="F1160" s="6">
        <v>80.381165919282523</v>
      </c>
      <c r="G1160" s="6">
        <v>20709.020339999999</v>
      </c>
    </row>
    <row r="1161" spans="1:7" x14ac:dyDescent="0.2">
      <c r="A1161" s="6">
        <v>1077</v>
      </c>
      <c r="B1161" s="6">
        <v>10503.35006248333</v>
      </c>
      <c r="C1161" s="6">
        <v>-1952.0030624833307</v>
      </c>
      <c r="F1161" s="6">
        <v>80.455904334828105</v>
      </c>
      <c r="G1161" s="6">
        <v>20745.989099999999</v>
      </c>
    </row>
    <row r="1162" spans="1:7" x14ac:dyDescent="0.2">
      <c r="A1162" s="6">
        <v>1078</v>
      </c>
      <c r="B1162" s="6">
        <v>2153.3360652121573</v>
      </c>
      <c r="C1162" s="6">
        <v>-51.071365212157161</v>
      </c>
      <c r="F1162" s="6">
        <v>80.530642750373701</v>
      </c>
      <c r="G1162" s="6">
        <v>20773.62775</v>
      </c>
    </row>
    <row r="1163" spans="1:7" x14ac:dyDescent="0.2">
      <c r="A1163" s="6">
        <v>1079</v>
      </c>
      <c r="B1163" s="6">
        <v>28681.286038399838</v>
      </c>
      <c r="C1163" s="6">
        <v>5990.8611616001617</v>
      </c>
      <c r="F1163" s="6">
        <v>80.605381165919283</v>
      </c>
      <c r="G1163" s="6">
        <v>20781.48892</v>
      </c>
    </row>
    <row r="1164" spans="1:7" x14ac:dyDescent="0.2">
      <c r="A1164" s="6">
        <v>1080</v>
      </c>
      <c r="B1164" s="6">
        <v>15920.828508891054</v>
      </c>
      <c r="C1164" s="6">
        <v>-759.29410889105384</v>
      </c>
      <c r="F1164" s="6">
        <v>80.680119581464879</v>
      </c>
      <c r="G1164" s="6">
        <v>20878.78443</v>
      </c>
    </row>
    <row r="1165" spans="1:7" x14ac:dyDescent="0.2">
      <c r="A1165" s="6">
        <v>1081</v>
      </c>
      <c r="B1165" s="6">
        <v>-142.82612933551343</v>
      </c>
      <c r="C1165" s="6">
        <v>12026.874709335514</v>
      </c>
      <c r="F1165" s="6">
        <v>80.754857997010475</v>
      </c>
      <c r="G1165" s="6">
        <v>20984.0936</v>
      </c>
    </row>
    <row r="1166" spans="1:7" x14ac:dyDescent="0.2">
      <c r="A1166" s="6">
        <v>1082</v>
      </c>
      <c r="B1166" s="6">
        <v>5713.5367726150407</v>
      </c>
      <c r="C1166" s="6">
        <v>-1259.1341226150407</v>
      </c>
      <c r="F1166" s="6">
        <v>80.829596412556057</v>
      </c>
      <c r="G1166" s="6">
        <v>21082.16</v>
      </c>
    </row>
    <row r="1167" spans="1:7" x14ac:dyDescent="0.2">
      <c r="A1167" s="6">
        <v>1083</v>
      </c>
      <c r="B1167" s="6">
        <v>4580.1345061176544</v>
      </c>
      <c r="C1167" s="6">
        <v>1275.7679938823458</v>
      </c>
      <c r="F1167" s="6">
        <v>80.904334828101653</v>
      </c>
      <c r="G1167" s="6">
        <v>21098.554049999999</v>
      </c>
    </row>
    <row r="1168" spans="1:7" x14ac:dyDescent="0.2">
      <c r="A1168" s="6">
        <v>1084</v>
      </c>
      <c r="B1168" s="6">
        <v>6349.5936882225851</v>
      </c>
      <c r="C1168" s="6">
        <v>-2273.0966882225853</v>
      </c>
      <c r="F1168" s="6">
        <v>80.979073243647235</v>
      </c>
      <c r="G1168" s="6">
        <v>21195.817999999999</v>
      </c>
    </row>
    <row r="1169" spans="1:7" x14ac:dyDescent="0.2">
      <c r="A1169" s="6">
        <v>1085</v>
      </c>
      <c r="B1169" s="6">
        <v>14928.296839884553</v>
      </c>
      <c r="C1169" s="6">
        <v>91.463210115447509</v>
      </c>
      <c r="F1169" s="6">
        <v>81.053811659192831</v>
      </c>
      <c r="G1169" s="6">
        <v>21223.675800000001</v>
      </c>
    </row>
    <row r="1170" spans="1:7" x14ac:dyDescent="0.2">
      <c r="A1170" s="6">
        <v>1086</v>
      </c>
      <c r="B1170" s="6">
        <v>29552.085650225388</v>
      </c>
      <c r="C1170" s="6">
        <v>-10528.82565022539</v>
      </c>
      <c r="F1170" s="6">
        <v>81.128550074738428</v>
      </c>
      <c r="G1170" s="6">
        <v>21232.182260000001</v>
      </c>
    </row>
    <row r="1171" spans="1:7" x14ac:dyDescent="0.2">
      <c r="A1171" s="6">
        <v>1087</v>
      </c>
      <c r="B1171" s="6">
        <v>11885.376772365911</v>
      </c>
      <c r="C1171" s="6">
        <v>-1089.0265223659117</v>
      </c>
      <c r="F1171" s="6">
        <v>81.20328849028401</v>
      </c>
      <c r="G1171" s="6">
        <v>21259.377949999998</v>
      </c>
    </row>
    <row r="1172" spans="1:7" x14ac:dyDescent="0.2">
      <c r="A1172" s="6">
        <v>1088</v>
      </c>
      <c r="B1172" s="6">
        <v>12916.15678652777</v>
      </c>
      <c r="C1172" s="6">
        <v>-1562.9291865277701</v>
      </c>
      <c r="F1172" s="6">
        <v>81.278026905829606</v>
      </c>
      <c r="G1172" s="6">
        <v>21344.846699999998</v>
      </c>
    </row>
    <row r="1173" spans="1:7" x14ac:dyDescent="0.2">
      <c r="A1173" s="6">
        <v>1089</v>
      </c>
      <c r="B1173" s="6">
        <v>16920.251367522596</v>
      </c>
      <c r="C1173" s="6">
        <v>-7171.3407675225972</v>
      </c>
      <c r="F1173" s="6">
        <v>81.352765321375188</v>
      </c>
      <c r="G1173" s="6">
        <v>21348.705999999998</v>
      </c>
    </row>
    <row r="1174" spans="1:7" x14ac:dyDescent="0.2">
      <c r="A1174" s="6">
        <v>1090</v>
      </c>
      <c r="B1174" s="6">
        <v>8850.227140027906</v>
      </c>
      <c r="C1174" s="6">
        <v>1726.8598599720935</v>
      </c>
      <c r="F1174" s="6">
        <v>81.427503736920784</v>
      </c>
      <c r="G1174" s="6">
        <v>21472.478800000001</v>
      </c>
    </row>
    <row r="1175" spans="1:7" x14ac:dyDescent="0.2">
      <c r="A1175" s="6">
        <v>1091</v>
      </c>
      <c r="B1175" s="6">
        <v>35091.319212394337</v>
      </c>
      <c r="C1175" s="6">
        <v>6584.7618876056658</v>
      </c>
      <c r="F1175" s="6">
        <v>81.50224215246638</v>
      </c>
      <c r="G1175" s="6">
        <v>21595.382290000001</v>
      </c>
    </row>
    <row r="1176" spans="1:7" x14ac:dyDescent="0.2">
      <c r="A1176" s="6">
        <v>1092</v>
      </c>
      <c r="B1176" s="6">
        <v>12306.701534598285</v>
      </c>
      <c r="C1176" s="6">
        <v>-1020.1628345982863</v>
      </c>
      <c r="F1176" s="6">
        <v>81.576980568011962</v>
      </c>
      <c r="G1176" s="6">
        <v>21659.930100000001</v>
      </c>
    </row>
    <row r="1177" spans="1:7" x14ac:dyDescent="0.2">
      <c r="A1177" s="6">
        <v>1093</v>
      </c>
      <c r="B1177" s="6">
        <v>5395.919750017727</v>
      </c>
      <c r="C1177" s="6">
        <v>-1804.439750017727</v>
      </c>
      <c r="F1177" s="6">
        <v>81.651718983557558</v>
      </c>
      <c r="G1177" s="6">
        <v>21677.283449999999</v>
      </c>
    </row>
    <row r="1178" spans="1:7" x14ac:dyDescent="0.2">
      <c r="A1178" s="6">
        <v>1094</v>
      </c>
      <c r="B1178" s="6">
        <v>27519.352811912162</v>
      </c>
      <c r="C1178" s="6">
        <v>6388.1951880878405</v>
      </c>
      <c r="F1178" s="6">
        <v>81.72645739910314</v>
      </c>
      <c r="G1178" s="6">
        <v>21771.3423</v>
      </c>
    </row>
    <row r="1179" spans="1:7" x14ac:dyDescent="0.2">
      <c r="A1179" s="6">
        <v>1095</v>
      </c>
      <c r="B1179" s="6">
        <v>13277.049626681201</v>
      </c>
      <c r="C1179" s="6">
        <v>-1977.7066266811999</v>
      </c>
      <c r="F1179" s="6">
        <v>81.801195814648736</v>
      </c>
      <c r="G1179" s="6">
        <v>21774.32215</v>
      </c>
    </row>
    <row r="1180" spans="1:7" x14ac:dyDescent="0.2">
      <c r="A1180" s="6">
        <v>1096</v>
      </c>
      <c r="B1180" s="6">
        <v>5220.5927208014191</v>
      </c>
      <c r="C1180" s="6">
        <v>-659.40422080141889</v>
      </c>
      <c r="F1180" s="6">
        <v>81.875934230194332</v>
      </c>
      <c r="G1180" s="6">
        <v>21797.000400000001</v>
      </c>
    </row>
    <row r="1181" spans="1:7" x14ac:dyDescent="0.2">
      <c r="A1181" s="6">
        <v>1097</v>
      </c>
      <c r="B1181" s="6">
        <v>37818.874173683587</v>
      </c>
      <c r="C1181" s="6">
        <v>6822.32322631641</v>
      </c>
      <c r="F1181" s="6">
        <v>81.950672645739914</v>
      </c>
      <c r="G1181" s="6">
        <v>21880.82</v>
      </c>
    </row>
    <row r="1182" spans="1:7" x14ac:dyDescent="0.2">
      <c r="A1182" s="6">
        <v>1098</v>
      </c>
      <c r="B1182" s="6">
        <v>4000.5276993095858</v>
      </c>
      <c r="C1182" s="6">
        <v>-2325.8953993095856</v>
      </c>
      <c r="F1182" s="6">
        <v>82.02541106128551</v>
      </c>
      <c r="G1182" s="6">
        <v>21978.676899999999</v>
      </c>
    </row>
    <row r="1183" spans="1:7" x14ac:dyDescent="0.2">
      <c r="A1183" s="6">
        <v>1099</v>
      </c>
      <c r="B1183" s="6">
        <v>11890.58963600957</v>
      </c>
      <c r="C1183" s="6">
        <v>11154.976523990428</v>
      </c>
      <c r="F1183" s="6">
        <v>82.100149476831092</v>
      </c>
      <c r="G1183" s="6">
        <v>21984.47061</v>
      </c>
    </row>
    <row r="1184" spans="1:7" x14ac:dyDescent="0.2">
      <c r="A1184" s="6">
        <v>1100</v>
      </c>
      <c r="B1184" s="6">
        <v>5452.5342212602545</v>
      </c>
      <c r="C1184" s="6">
        <v>-2225.4131212602547</v>
      </c>
      <c r="F1184" s="6">
        <v>82.174887892376688</v>
      </c>
      <c r="G1184" s="6">
        <v>22144.031999999999</v>
      </c>
    </row>
    <row r="1185" spans="1:7" x14ac:dyDescent="0.2">
      <c r="A1185" s="6">
        <v>1101</v>
      </c>
      <c r="B1185" s="6">
        <v>27814.155686475347</v>
      </c>
      <c r="C1185" s="6">
        <v>-11037.851636475349</v>
      </c>
      <c r="F1185" s="6">
        <v>82.249626307922284</v>
      </c>
      <c r="G1185" s="6">
        <v>22192.437109999999</v>
      </c>
    </row>
    <row r="1186" spans="1:7" x14ac:dyDescent="0.2">
      <c r="A1186" s="6">
        <v>1102</v>
      </c>
      <c r="B1186" s="6">
        <v>11710.917166333718</v>
      </c>
      <c r="C1186" s="6">
        <v>-457.49616633371807</v>
      </c>
      <c r="F1186" s="6">
        <v>82.324364723467866</v>
      </c>
      <c r="G1186" s="6">
        <v>22218.1149</v>
      </c>
    </row>
    <row r="1187" spans="1:7" x14ac:dyDescent="0.2">
      <c r="A1187" s="6">
        <v>1103</v>
      </c>
      <c r="B1187" s="6">
        <v>8027.6528673881967</v>
      </c>
      <c r="C1187" s="6">
        <v>-4556.2432673881967</v>
      </c>
      <c r="F1187" s="6">
        <v>82.399103139013462</v>
      </c>
      <c r="G1187" s="6">
        <v>22331.566800000001</v>
      </c>
    </row>
    <row r="1188" spans="1:7" x14ac:dyDescent="0.2">
      <c r="A1188" s="6">
        <v>1104</v>
      </c>
      <c r="B1188" s="6">
        <v>14030.893268495151</v>
      </c>
      <c r="C1188" s="6">
        <v>-2667.6100684951507</v>
      </c>
      <c r="F1188" s="6">
        <v>82.473841554559044</v>
      </c>
      <c r="G1188" s="6">
        <v>22395.74424</v>
      </c>
    </row>
    <row r="1189" spans="1:7" x14ac:dyDescent="0.2">
      <c r="A1189" s="6">
        <v>1105</v>
      </c>
      <c r="B1189" s="6">
        <v>6581.7460346217613</v>
      </c>
      <c r="C1189" s="6">
        <v>13838.85861537824</v>
      </c>
      <c r="F1189" s="6">
        <v>82.54857997010464</v>
      </c>
      <c r="G1189" s="6">
        <v>22412.648499999999</v>
      </c>
    </row>
    <row r="1190" spans="1:7" x14ac:dyDescent="0.2">
      <c r="A1190" s="6">
        <v>1106</v>
      </c>
      <c r="B1190" s="6">
        <v>11493.085902264402</v>
      </c>
      <c r="C1190" s="6">
        <v>-1154.1543022644018</v>
      </c>
      <c r="F1190" s="6">
        <v>82.623318385650236</v>
      </c>
      <c r="G1190" s="6">
        <v>22462.043750000001</v>
      </c>
    </row>
    <row r="1191" spans="1:7" x14ac:dyDescent="0.2">
      <c r="A1191" s="6">
        <v>1107</v>
      </c>
      <c r="B1191" s="6">
        <v>10444.822898042587</v>
      </c>
      <c r="C1191" s="6">
        <v>-1456.664148042586</v>
      </c>
      <c r="F1191" s="6">
        <v>82.698056801195818</v>
      </c>
      <c r="G1191" s="6">
        <v>22478.6</v>
      </c>
    </row>
    <row r="1192" spans="1:7" x14ac:dyDescent="0.2">
      <c r="A1192" s="6">
        <v>1108</v>
      </c>
      <c r="B1192" s="6">
        <v>10395.968595250037</v>
      </c>
      <c r="C1192" s="6">
        <v>97.977204749962766</v>
      </c>
      <c r="F1192" s="6">
        <v>82.772795216741414</v>
      </c>
      <c r="G1192" s="6">
        <v>22493.659640000002</v>
      </c>
    </row>
    <row r="1193" spans="1:7" x14ac:dyDescent="0.2">
      <c r="A1193" s="6">
        <v>1109</v>
      </c>
      <c r="B1193" s="6">
        <v>4299.6653925822357</v>
      </c>
      <c r="C1193" s="6">
        <v>-1395.5773925822355</v>
      </c>
      <c r="F1193" s="6">
        <v>82.847533632286996</v>
      </c>
      <c r="G1193" s="6">
        <v>23045.566159999998</v>
      </c>
    </row>
    <row r="1194" spans="1:7" x14ac:dyDescent="0.2">
      <c r="A1194" s="6">
        <v>1110</v>
      </c>
      <c r="B1194" s="6">
        <v>6782.7492956585138</v>
      </c>
      <c r="C1194" s="6">
        <v>1822.6122043414871</v>
      </c>
      <c r="F1194" s="6">
        <v>82.922272047832593</v>
      </c>
      <c r="G1194" s="6">
        <v>23065.420699999999</v>
      </c>
    </row>
    <row r="1195" spans="1:7" x14ac:dyDescent="0.2">
      <c r="A1195" s="6">
        <v>1111</v>
      </c>
      <c r="B1195" s="6">
        <v>13363.153557628844</v>
      </c>
      <c r="C1195" s="6">
        <v>-1850.7485576288436</v>
      </c>
      <c r="F1195" s="6">
        <v>82.997010463378189</v>
      </c>
      <c r="G1195" s="6">
        <v>23082.955330000001</v>
      </c>
    </row>
    <row r="1196" spans="1:7" x14ac:dyDescent="0.2">
      <c r="A1196" s="6">
        <v>1112</v>
      </c>
      <c r="B1196" s="6">
        <v>34952.339272949452</v>
      </c>
      <c r="C1196" s="6">
        <v>6996.9048270505518</v>
      </c>
      <c r="F1196" s="6">
        <v>83.071748878923771</v>
      </c>
      <c r="G1196" s="6">
        <v>23241.47453</v>
      </c>
    </row>
    <row r="1197" spans="1:7" x14ac:dyDescent="0.2">
      <c r="A1197" s="6">
        <v>1113</v>
      </c>
      <c r="B1197" s="6">
        <v>33398.731249438104</v>
      </c>
      <c r="C1197" s="6">
        <v>-9217.7977494381048</v>
      </c>
      <c r="F1197" s="6">
        <v>83.146487294469367</v>
      </c>
      <c r="G1197" s="6">
        <v>23244.790199999999</v>
      </c>
    </row>
    <row r="1198" spans="1:7" x14ac:dyDescent="0.2">
      <c r="A1198" s="6">
        <v>1114</v>
      </c>
      <c r="B1198" s="6">
        <v>5252.8527626705454</v>
      </c>
      <c r="C1198" s="6">
        <v>59.317087329454807</v>
      </c>
      <c r="F1198" s="6">
        <v>83.221225710014949</v>
      </c>
      <c r="G1198" s="6">
        <v>23288.928400000001</v>
      </c>
    </row>
    <row r="1199" spans="1:7" x14ac:dyDescent="0.2">
      <c r="A1199" s="6">
        <v>1115</v>
      </c>
      <c r="B1199" s="6">
        <v>2151.4747207983755</v>
      </c>
      <c r="C1199" s="6">
        <v>244.62117920162427</v>
      </c>
      <c r="F1199" s="6">
        <v>83.295964125560545</v>
      </c>
      <c r="G1199" s="6">
        <v>23306.546999999999</v>
      </c>
    </row>
    <row r="1200" spans="1:7" x14ac:dyDescent="0.2">
      <c r="A1200" s="6">
        <v>1116</v>
      </c>
      <c r="B1200" s="6">
        <v>12579.175079219276</v>
      </c>
      <c r="C1200" s="6">
        <v>-1771.6887792192756</v>
      </c>
      <c r="F1200" s="6">
        <v>83.370702541106141</v>
      </c>
      <c r="G1200" s="6">
        <v>23401.30575</v>
      </c>
    </row>
    <row r="1201" spans="1:7" x14ac:dyDescent="0.2">
      <c r="A1201" s="6">
        <v>1117</v>
      </c>
      <c r="B1201" s="6">
        <v>10892.45420923991</v>
      </c>
      <c r="C1201" s="6">
        <v>-1670.0516092399102</v>
      </c>
      <c r="F1201" s="6">
        <v>83.445440956651723</v>
      </c>
      <c r="G1201" s="6">
        <v>23563.016179999999</v>
      </c>
    </row>
    <row r="1202" spans="1:7" x14ac:dyDescent="0.2">
      <c r="A1202" s="6">
        <v>1118</v>
      </c>
      <c r="B1202" s="6">
        <v>29421.387269543942</v>
      </c>
      <c r="C1202" s="6">
        <v>6703.1864304560586</v>
      </c>
      <c r="F1202" s="6">
        <v>83.520179372197319</v>
      </c>
      <c r="G1202" s="6">
        <v>23568.272000000001</v>
      </c>
    </row>
    <row r="1203" spans="1:7" x14ac:dyDescent="0.2">
      <c r="A1203" s="6">
        <v>1119</v>
      </c>
      <c r="B1203" s="6">
        <v>31821.585702431828</v>
      </c>
      <c r="C1203" s="6">
        <v>6461.1637975681697</v>
      </c>
      <c r="F1203" s="6">
        <v>83.594917787742901</v>
      </c>
      <c r="G1203" s="6">
        <v>23807.240600000001</v>
      </c>
    </row>
    <row r="1204" spans="1:7" x14ac:dyDescent="0.2">
      <c r="A1204" s="6">
        <v>1120</v>
      </c>
      <c r="B1204" s="6">
        <v>3607.5991355122437</v>
      </c>
      <c r="C1204" s="6">
        <v>2085.8313644877567</v>
      </c>
      <c r="F1204" s="6">
        <v>83.669656203288497</v>
      </c>
      <c r="G1204" s="6">
        <v>23887.662700000001</v>
      </c>
    </row>
    <row r="1205" spans="1:7" x14ac:dyDescent="0.2">
      <c r="A1205" s="6">
        <v>1121</v>
      </c>
      <c r="B1205" s="6">
        <v>27508.31552618416</v>
      </c>
      <c r="C1205" s="6">
        <v>6657.9574738158408</v>
      </c>
      <c r="F1205" s="6">
        <v>83.744394618834093</v>
      </c>
      <c r="G1205" s="6">
        <v>23967.38305</v>
      </c>
    </row>
    <row r="1206" spans="1:7" x14ac:dyDescent="0.2">
      <c r="A1206" s="6">
        <v>1122</v>
      </c>
      <c r="B1206" s="6">
        <v>12608.532446391899</v>
      </c>
      <c r="C1206" s="6">
        <v>-4261.3681463918983</v>
      </c>
      <c r="F1206" s="6">
        <v>83.819133034379675</v>
      </c>
      <c r="G1206" s="6">
        <v>24059.680189999999</v>
      </c>
    </row>
    <row r="1207" spans="1:7" x14ac:dyDescent="0.2">
      <c r="A1207" s="6">
        <v>1123</v>
      </c>
      <c r="B1207" s="6">
        <v>39099.591086343367</v>
      </c>
      <c r="C1207" s="6">
        <v>7561.8513136566326</v>
      </c>
      <c r="F1207" s="6">
        <v>83.893871449925271</v>
      </c>
      <c r="G1207" s="6">
        <v>24106.912550000001</v>
      </c>
    </row>
    <row r="1208" spans="1:7" x14ac:dyDescent="0.2">
      <c r="A1208" s="6">
        <v>1124</v>
      </c>
      <c r="B1208" s="6">
        <v>6460.2554172134824</v>
      </c>
      <c r="C1208" s="6">
        <v>12443.235992786516</v>
      </c>
      <c r="F1208" s="6">
        <v>83.968609865470853</v>
      </c>
      <c r="G1208" s="6">
        <v>24180.933499999999</v>
      </c>
    </row>
    <row r="1209" spans="1:7" x14ac:dyDescent="0.2">
      <c r="A1209" s="6">
        <v>1125</v>
      </c>
      <c r="B1209" s="6">
        <v>32793.71276111716</v>
      </c>
      <c r="C1209" s="6">
        <v>8110.4867388828425</v>
      </c>
      <c r="F1209" s="6">
        <v>84.043348281016449</v>
      </c>
      <c r="G1209" s="6">
        <v>24227.337240000001</v>
      </c>
    </row>
    <row r="1210" spans="1:7" x14ac:dyDescent="0.2">
      <c r="A1210" s="6">
        <v>1126</v>
      </c>
      <c r="B1210" s="6">
        <v>12397.419550820938</v>
      </c>
      <c r="C1210" s="6">
        <v>1857.1886491790628</v>
      </c>
      <c r="F1210" s="6">
        <v>84.118086696562045</v>
      </c>
      <c r="G1210" s="6">
        <v>24393.6224</v>
      </c>
    </row>
    <row r="1211" spans="1:7" x14ac:dyDescent="0.2">
      <c r="A1211" s="6">
        <v>1127</v>
      </c>
      <c r="B1211" s="6">
        <v>11239.079725655109</v>
      </c>
      <c r="C1211" s="6">
        <v>-1024.4437256551082</v>
      </c>
      <c r="F1211" s="6">
        <v>84.192825112107627</v>
      </c>
      <c r="G1211" s="6">
        <v>24476.478510000001</v>
      </c>
    </row>
    <row r="1212" spans="1:7" x14ac:dyDescent="0.2">
      <c r="A1212" s="6">
        <v>1128</v>
      </c>
      <c r="B1212" s="6">
        <v>9130.8900500351374</v>
      </c>
      <c r="C1212" s="6">
        <v>-3294.3696500351371</v>
      </c>
      <c r="F1212" s="6">
        <v>84.267563527653223</v>
      </c>
      <c r="G1212" s="6">
        <v>24513.091260000001</v>
      </c>
    </row>
    <row r="1213" spans="1:7" x14ac:dyDescent="0.2">
      <c r="A1213" s="6">
        <v>1129</v>
      </c>
      <c r="B1213" s="6">
        <v>7304.2578829913709</v>
      </c>
      <c r="C1213" s="6">
        <v>7054.1064870086284</v>
      </c>
      <c r="F1213" s="6">
        <v>84.342301943198805</v>
      </c>
      <c r="G1213" s="6">
        <v>24520.263999999999</v>
      </c>
    </row>
    <row r="1214" spans="1:7" x14ac:dyDescent="0.2">
      <c r="A1214" s="6">
        <v>1130</v>
      </c>
      <c r="B1214" s="6">
        <v>-1709.3206320968015</v>
      </c>
      <c r="C1214" s="6">
        <v>3438.2176320968015</v>
      </c>
      <c r="F1214" s="6">
        <v>84.417040358744401</v>
      </c>
      <c r="G1214" s="6">
        <v>24535.698550000001</v>
      </c>
    </row>
    <row r="1215" spans="1:7" x14ac:dyDescent="0.2">
      <c r="A1215" s="6">
        <v>1131</v>
      </c>
      <c r="B1215" s="6">
        <v>7517.8875868379546</v>
      </c>
      <c r="C1215" s="6">
        <v>1064.4147131620448</v>
      </c>
      <c r="F1215" s="6">
        <v>84.491778774289998</v>
      </c>
      <c r="G1215" s="6">
        <v>24603.04837</v>
      </c>
    </row>
    <row r="1216" spans="1:7" x14ac:dyDescent="0.2">
      <c r="A1216" s="6">
        <v>1132</v>
      </c>
      <c r="B1216" s="6">
        <v>10425.198202681073</v>
      </c>
      <c r="C1216" s="6">
        <v>-6731.770202681073</v>
      </c>
      <c r="F1216" s="6">
        <v>84.566517189835579</v>
      </c>
      <c r="G1216" s="6">
        <v>24667.419000000002</v>
      </c>
    </row>
    <row r="1217" spans="1:7" x14ac:dyDescent="0.2">
      <c r="A1217" s="6">
        <v>1133</v>
      </c>
      <c r="B1217" s="6">
        <v>16233.671470511154</v>
      </c>
      <c r="C1217" s="6">
        <v>4475.3488694888456</v>
      </c>
      <c r="F1217" s="6">
        <v>84.641255605381176</v>
      </c>
      <c r="G1217" s="6">
        <v>24671.663339999999</v>
      </c>
    </row>
    <row r="1218" spans="1:7" x14ac:dyDescent="0.2">
      <c r="A1218" s="6">
        <v>1134</v>
      </c>
      <c r="B1218" s="6">
        <v>7284.1398283049948</v>
      </c>
      <c r="C1218" s="6">
        <v>2706.8978216950054</v>
      </c>
      <c r="F1218" s="6">
        <v>84.715994020926757</v>
      </c>
      <c r="G1218" s="6">
        <v>24869.836800000001</v>
      </c>
    </row>
    <row r="1219" spans="1:7" x14ac:dyDescent="0.2">
      <c r="A1219" s="6">
        <v>1135</v>
      </c>
      <c r="B1219" s="6">
        <v>6240.6836371773943</v>
      </c>
      <c r="C1219" s="6">
        <v>13432.652092822605</v>
      </c>
      <c r="F1219" s="6">
        <v>84.790732436472354</v>
      </c>
      <c r="G1219" s="6">
        <v>24873.384900000001</v>
      </c>
    </row>
    <row r="1220" spans="1:7" x14ac:dyDescent="0.2">
      <c r="A1220" s="6">
        <v>1136</v>
      </c>
      <c r="B1220" s="6">
        <v>11515.936702259765</v>
      </c>
      <c r="C1220" s="6">
        <v>-430.34990225976617</v>
      </c>
      <c r="F1220" s="6">
        <v>84.86547085201795</v>
      </c>
      <c r="G1220" s="6">
        <v>24915.046259999999</v>
      </c>
    </row>
    <row r="1221" spans="1:7" x14ac:dyDescent="0.2">
      <c r="A1221" s="6">
        <v>1137</v>
      </c>
      <c r="B1221" s="6">
        <v>7358.4268295954043</v>
      </c>
      <c r="C1221" s="6">
        <v>265.09117040459569</v>
      </c>
      <c r="F1221" s="6">
        <v>84.940209267563532</v>
      </c>
      <c r="G1221" s="6">
        <v>24915.220850000002</v>
      </c>
    </row>
    <row r="1222" spans="1:7" x14ac:dyDescent="0.2">
      <c r="A1222" s="6">
        <v>1138</v>
      </c>
      <c r="B1222" s="6">
        <v>1927.0331641481698</v>
      </c>
      <c r="C1222" s="6">
        <v>1249.25453585183</v>
      </c>
      <c r="F1222" s="6">
        <v>85.014947683109128</v>
      </c>
      <c r="G1222" s="6">
        <v>25081.76784</v>
      </c>
    </row>
    <row r="1223" spans="1:7" x14ac:dyDescent="0.2">
      <c r="A1223" s="6">
        <v>1139</v>
      </c>
      <c r="B1223" s="6">
        <v>5631.9866205102553</v>
      </c>
      <c r="C1223" s="6">
        <v>-1927.6321205102554</v>
      </c>
      <c r="F1223" s="6">
        <v>85.08968609865471</v>
      </c>
      <c r="G1223" s="6">
        <v>25309.489000000001</v>
      </c>
    </row>
    <row r="1224" spans="1:7" x14ac:dyDescent="0.2">
      <c r="A1224" s="6">
        <v>1140</v>
      </c>
      <c r="B1224" s="6">
        <v>27457.698072346775</v>
      </c>
      <c r="C1224" s="6">
        <v>9441.0350076532231</v>
      </c>
      <c r="F1224" s="6">
        <v>85.164424514200306</v>
      </c>
      <c r="G1224" s="6">
        <v>25333.332839999999</v>
      </c>
    </row>
    <row r="1225" spans="1:7" x14ac:dyDescent="0.2">
      <c r="A1225" s="6">
        <v>1141</v>
      </c>
      <c r="B1225" s="6">
        <v>12787.344512420234</v>
      </c>
      <c r="C1225" s="6">
        <v>-3739.3172124202338</v>
      </c>
      <c r="F1225" s="6">
        <v>85.239162929745902</v>
      </c>
      <c r="G1225" s="6">
        <v>25382.296999999999</v>
      </c>
    </row>
    <row r="1226" spans="1:7" x14ac:dyDescent="0.2">
      <c r="A1226" s="6">
        <v>1142</v>
      </c>
      <c r="B1226" s="6">
        <v>10116.729109724012</v>
      </c>
      <c r="C1226" s="6">
        <v>-2162.2121097240124</v>
      </c>
      <c r="F1226" s="6">
        <v>85.313901345291484</v>
      </c>
      <c r="G1226" s="6">
        <v>25517.11363</v>
      </c>
    </row>
    <row r="1227" spans="1:7" x14ac:dyDescent="0.2">
      <c r="A1227" s="6">
        <v>1143</v>
      </c>
      <c r="B1227" s="6">
        <v>8815.3189631525474</v>
      </c>
      <c r="C1227" s="6">
        <v>18302.674816847451</v>
      </c>
      <c r="F1227" s="6">
        <v>85.38863976083708</v>
      </c>
      <c r="G1227" s="6">
        <v>25656.575260000001</v>
      </c>
    </row>
    <row r="1228" spans="1:7" x14ac:dyDescent="0.2">
      <c r="A1228" s="6">
        <v>1144</v>
      </c>
      <c r="B1228" s="6">
        <v>8833.0401440792648</v>
      </c>
      <c r="C1228" s="6">
        <v>-2494.9645440792647</v>
      </c>
      <c r="F1228" s="6">
        <v>85.463378176382662</v>
      </c>
      <c r="G1228" s="6">
        <v>25678.778450000002</v>
      </c>
    </row>
    <row r="1229" spans="1:7" x14ac:dyDescent="0.2">
      <c r="A1229" s="6">
        <v>1145</v>
      </c>
      <c r="B1229" s="6">
        <v>11719.863341932649</v>
      </c>
      <c r="C1229" s="6">
        <v>-2089.466341932648</v>
      </c>
      <c r="F1229" s="6">
        <v>85.538116591928258</v>
      </c>
      <c r="G1229" s="6">
        <v>25992.821039999999</v>
      </c>
    </row>
    <row r="1230" spans="1:7" x14ac:dyDescent="0.2">
      <c r="A1230" s="6">
        <v>1146</v>
      </c>
      <c r="B1230" s="6">
        <v>13477.280574497814</v>
      </c>
      <c r="C1230" s="6">
        <v>-2188.1713244978146</v>
      </c>
      <c r="F1230" s="6">
        <v>85.612855007473854</v>
      </c>
      <c r="G1230" s="6">
        <v>26018.950519999999</v>
      </c>
    </row>
    <row r="1231" spans="1:7" x14ac:dyDescent="0.2">
      <c r="A1231" s="6">
        <v>1147</v>
      </c>
      <c r="B1231" s="6">
        <v>37355.557045726106</v>
      </c>
      <c r="C1231" s="6">
        <v>15235.272344273893</v>
      </c>
      <c r="F1231" s="6">
        <v>85.687593423019436</v>
      </c>
      <c r="G1231" s="6">
        <v>26109.32905</v>
      </c>
    </row>
    <row r="1232" spans="1:7" x14ac:dyDescent="0.2">
      <c r="A1232" s="6">
        <v>1148</v>
      </c>
      <c r="B1232" s="6">
        <v>3672.6796144131231</v>
      </c>
      <c r="C1232" s="6">
        <v>-1411.1108144131231</v>
      </c>
      <c r="F1232" s="6">
        <v>85.762331838565032</v>
      </c>
      <c r="G1232" s="6">
        <v>26125.674770000001</v>
      </c>
    </row>
    <row r="1233" spans="1:7" x14ac:dyDescent="0.2">
      <c r="A1233" s="6">
        <v>1149</v>
      </c>
      <c r="B1233" s="6">
        <v>8865.3552604731849</v>
      </c>
      <c r="C1233" s="6">
        <v>1926.6047395268142</v>
      </c>
      <c r="F1233" s="6">
        <v>85.837070254110614</v>
      </c>
      <c r="G1233" s="6">
        <v>26140.3603</v>
      </c>
    </row>
    <row r="1234" spans="1:7" x14ac:dyDescent="0.2">
      <c r="A1234" s="6">
        <v>1150</v>
      </c>
      <c r="B1234" s="6">
        <v>9324.5596478351144</v>
      </c>
      <c r="C1234" s="6">
        <v>-3344.8286478351147</v>
      </c>
      <c r="F1234" s="6">
        <v>85.91180866965621</v>
      </c>
      <c r="G1234" s="6">
        <v>26236.579969999999</v>
      </c>
    </row>
    <row r="1235" spans="1:7" x14ac:dyDescent="0.2">
      <c r="A1235" s="6">
        <v>1151</v>
      </c>
      <c r="B1235" s="6">
        <v>2964.1333811815603</v>
      </c>
      <c r="C1235" s="6">
        <v>-760.39743118156048</v>
      </c>
      <c r="F1235" s="6">
        <v>85.986547085201806</v>
      </c>
      <c r="G1235" s="6">
        <v>26392.260289999998</v>
      </c>
    </row>
    <row r="1236" spans="1:7" x14ac:dyDescent="0.2">
      <c r="A1236" s="6">
        <v>1152</v>
      </c>
      <c r="B1236" s="6">
        <v>14979.943159297774</v>
      </c>
      <c r="C1236" s="6">
        <v>-2744.1039592977741</v>
      </c>
      <c r="F1236" s="6">
        <v>86.061285500747388</v>
      </c>
      <c r="G1236" s="6">
        <v>26467.09737</v>
      </c>
    </row>
    <row r="1237" spans="1:7" x14ac:dyDescent="0.2">
      <c r="A1237" s="6">
        <v>1153</v>
      </c>
      <c r="B1237" s="6">
        <v>34390.437560480103</v>
      </c>
      <c r="C1237" s="6">
        <v>6550.8478395198981</v>
      </c>
      <c r="F1237" s="6">
        <v>86.136023916292984</v>
      </c>
      <c r="G1237" s="6">
        <v>26926.5144</v>
      </c>
    </row>
    <row r="1238" spans="1:7" x14ac:dyDescent="0.2">
      <c r="A1238" s="6">
        <v>1154</v>
      </c>
      <c r="B1238" s="6">
        <v>9322.1839494366941</v>
      </c>
      <c r="C1238" s="6">
        <v>-3691.7260994366943</v>
      </c>
      <c r="F1238" s="6">
        <v>86.210762331838566</v>
      </c>
      <c r="G1238" s="6">
        <v>27000.98473</v>
      </c>
    </row>
    <row r="1239" spans="1:7" x14ac:dyDescent="0.2">
      <c r="A1239" s="6">
        <v>1155</v>
      </c>
      <c r="B1239" s="6">
        <v>11413.277786148143</v>
      </c>
      <c r="C1239" s="6">
        <v>-398.10308614814312</v>
      </c>
      <c r="F1239" s="6">
        <v>86.285500747384162</v>
      </c>
      <c r="G1239" s="6">
        <v>27037.914100000002</v>
      </c>
    </row>
    <row r="1240" spans="1:7" x14ac:dyDescent="0.2">
      <c r="A1240" s="6">
        <v>1156</v>
      </c>
      <c r="B1240" s="6">
        <v>6242.8388463006595</v>
      </c>
      <c r="C1240" s="6">
        <v>985.3768036993406</v>
      </c>
      <c r="F1240" s="6">
        <v>86.360239162929759</v>
      </c>
      <c r="G1240" s="6">
        <v>27117.993780000001</v>
      </c>
    </row>
    <row r="1241" spans="1:7" x14ac:dyDescent="0.2">
      <c r="A1241" s="6">
        <v>1157</v>
      </c>
      <c r="B1241" s="6">
        <v>30846.932453226796</v>
      </c>
      <c r="C1241" s="6">
        <v>8875.8137467732049</v>
      </c>
      <c r="F1241" s="6">
        <v>86.43497757847534</v>
      </c>
      <c r="G1241" s="6">
        <v>27218.437249999999</v>
      </c>
    </row>
    <row r="1242" spans="1:7" x14ac:dyDescent="0.2">
      <c r="A1242" s="6">
        <v>1158</v>
      </c>
      <c r="B1242" s="6">
        <v>2429.6989777646891</v>
      </c>
      <c r="C1242" s="6">
        <v>11996.374872235312</v>
      </c>
      <c r="F1242" s="6">
        <v>86.509715994020937</v>
      </c>
      <c r="G1242" s="6">
        <v>27322.73386</v>
      </c>
    </row>
    <row r="1243" spans="1:7" x14ac:dyDescent="0.2">
      <c r="A1243" s="6">
        <v>1159</v>
      </c>
      <c r="B1243" s="6">
        <v>3574.5162205353454</v>
      </c>
      <c r="C1243" s="6">
        <v>-1114.7961205353454</v>
      </c>
      <c r="F1243" s="6">
        <v>86.584454409566519</v>
      </c>
      <c r="G1243" s="6">
        <v>27346.04207</v>
      </c>
    </row>
    <row r="1244" spans="1:7" x14ac:dyDescent="0.2">
      <c r="A1244" s="6">
        <v>1160</v>
      </c>
      <c r="B1244" s="6">
        <v>9261.6646571326237</v>
      </c>
      <c r="C1244" s="6">
        <v>-5271.8236571326233</v>
      </c>
      <c r="F1244" s="6">
        <v>86.659192825112115</v>
      </c>
      <c r="G1244" s="6">
        <v>27375.904780000001</v>
      </c>
    </row>
    <row r="1245" spans="1:7" x14ac:dyDescent="0.2">
      <c r="A1245" s="6">
        <v>1161</v>
      </c>
      <c r="B1245" s="6">
        <v>10958.130854526093</v>
      </c>
      <c r="C1245" s="6">
        <v>-3230.8776545260926</v>
      </c>
      <c r="F1245" s="6">
        <v>86.733931240657711</v>
      </c>
      <c r="G1245" s="6">
        <v>27533.912899999999</v>
      </c>
    </row>
    <row r="1246" spans="1:7" x14ac:dyDescent="0.2">
      <c r="A1246" s="6">
        <v>1162</v>
      </c>
      <c r="B1246" s="6">
        <v>10869.46229224265</v>
      </c>
      <c r="C1246" s="6">
        <v>-5745.27359224265</v>
      </c>
      <c r="F1246" s="6">
        <v>86.808669656203293</v>
      </c>
      <c r="G1246" s="6">
        <v>27724.28875</v>
      </c>
    </row>
    <row r="1247" spans="1:7" x14ac:dyDescent="0.2">
      <c r="A1247" s="6">
        <v>1163</v>
      </c>
      <c r="B1247" s="6">
        <v>8247.1979400283526</v>
      </c>
      <c r="C1247" s="6">
        <v>10715.973979971648</v>
      </c>
      <c r="F1247" s="6">
        <v>86.883408071748889</v>
      </c>
      <c r="G1247" s="6">
        <v>27808.7251</v>
      </c>
    </row>
    <row r="1248" spans="1:7" x14ac:dyDescent="0.2">
      <c r="A1248" s="6">
        <v>1164</v>
      </c>
      <c r="B1248" s="6">
        <v>2255.2190631349058</v>
      </c>
      <c r="C1248" s="6">
        <v>-54.388213134905982</v>
      </c>
      <c r="F1248" s="6">
        <v>86.958146487294471</v>
      </c>
      <c r="G1248" s="6">
        <v>27941.28758</v>
      </c>
    </row>
    <row r="1249" spans="1:7" x14ac:dyDescent="0.2">
      <c r="A1249" s="6">
        <v>1165</v>
      </c>
      <c r="B1249" s="6">
        <v>8317.675195311429</v>
      </c>
      <c r="C1249" s="6">
        <v>-1164.1212953114291</v>
      </c>
      <c r="F1249" s="6">
        <v>87.032884902840067</v>
      </c>
      <c r="G1249" s="6">
        <v>28101.333050000001</v>
      </c>
    </row>
    <row r="1250" spans="1:7" x14ac:dyDescent="0.2">
      <c r="A1250" s="6">
        <v>1166</v>
      </c>
      <c r="B1250" s="6">
        <v>5912.8627382231643</v>
      </c>
      <c r="C1250" s="6">
        <v>-684.87398822316391</v>
      </c>
      <c r="F1250" s="6">
        <v>87.107623318385663</v>
      </c>
      <c r="G1250" s="6">
        <v>28287.897659999999</v>
      </c>
    </row>
    <row r="1251" spans="1:7" x14ac:dyDescent="0.2">
      <c r="A1251" s="6">
        <v>1167</v>
      </c>
      <c r="B1251" s="6">
        <v>15229.176831948309</v>
      </c>
      <c r="C1251" s="6">
        <v>-4246.6755319483091</v>
      </c>
      <c r="F1251" s="6">
        <v>87.182361733931245</v>
      </c>
      <c r="G1251" s="6">
        <v>28340.188849999999</v>
      </c>
    </row>
    <row r="1252" spans="1:7" x14ac:dyDescent="0.2">
      <c r="A1252" s="6">
        <v>1168</v>
      </c>
      <c r="B1252" s="6">
        <v>3845.4047052399833</v>
      </c>
      <c r="C1252" s="6">
        <v>684.07229476001658</v>
      </c>
      <c r="F1252" s="6">
        <v>87.257100149476841</v>
      </c>
      <c r="G1252" s="6">
        <v>28468.919010000001</v>
      </c>
    </row>
    <row r="1253" spans="1:7" x14ac:dyDescent="0.2">
      <c r="A1253" s="6">
        <v>1169</v>
      </c>
      <c r="B1253" s="6">
        <v>8080.1100117318256</v>
      </c>
      <c r="C1253" s="6">
        <v>-3409.4700117318253</v>
      </c>
      <c r="F1253" s="6">
        <v>87.331838565022423</v>
      </c>
      <c r="G1253" s="6">
        <v>28476.734990000001</v>
      </c>
    </row>
    <row r="1254" spans="1:7" x14ac:dyDescent="0.2">
      <c r="A1254" s="6">
        <v>1170</v>
      </c>
      <c r="B1254" s="6">
        <v>9255.8758488368549</v>
      </c>
      <c r="C1254" s="6">
        <v>-3143.5228988368544</v>
      </c>
      <c r="F1254" s="6">
        <v>87.406576980568019</v>
      </c>
      <c r="G1254" s="6">
        <v>28868.6639</v>
      </c>
    </row>
    <row r="1255" spans="1:7" x14ac:dyDescent="0.2">
      <c r="A1255" s="6">
        <v>1171</v>
      </c>
      <c r="B1255" s="6">
        <v>26157.929387964483</v>
      </c>
      <c r="C1255" s="6">
        <v>-8979.2469879644814</v>
      </c>
      <c r="F1255" s="6">
        <v>87.481315396113615</v>
      </c>
      <c r="G1255" s="6">
        <v>28923.136920000001</v>
      </c>
    </row>
    <row r="1256" spans="1:7" x14ac:dyDescent="0.2">
      <c r="A1256" s="6">
        <v>1172</v>
      </c>
      <c r="B1256" s="6">
        <v>32002.23443525844</v>
      </c>
      <c r="C1256" s="6">
        <v>-9523.634435258442</v>
      </c>
      <c r="F1256" s="6">
        <v>87.556053811659197</v>
      </c>
      <c r="G1256" s="6">
        <v>28950.4692</v>
      </c>
    </row>
    <row r="1257" spans="1:7" x14ac:dyDescent="0.2">
      <c r="A1257" s="6">
        <v>1173</v>
      </c>
      <c r="B1257" s="6">
        <v>15625.992757366761</v>
      </c>
      <c r="C1257" s="6">
        <v>-4532.3698573667607</v>
      </c>
      <c r="F1257" s="6">
        <v>87.630792227204793</v>
      </c>
      <c r="G1257" s="6">
        <v>29141.3603</v>
      </c>
    </row>
    <row r="1258" spans="1:7" x14ac:dyDescent="0.2">
      <c r="A1258" s="6">
        <v>1174</v>
      </c>
      <c r="B1258" s="6">
        <v>8213.526104383709</v>
      </c>
      <c r="C1258" s="6">
        <v>-1755.6827043837093</v>
      </c>
      <c r="F1258" s="6">
        <v>87.705530642750375</v>
      </c>
      <c r="G1258" s="6">
        <v>29186.482360000002</v>
      </c>
    </row>
    <row r="1259" spans="1:7" x14ac:dyDescent="0.2">
      <c r="A1259" s="6">
        <v>1175</v>
      </c>
      <c r="B1259" s="6">
        <v>6868.5202743384707</v>
      </c>
      <c r="C1259" s="6">
        <v>-2434.6043743384707</v>
      </c>
      <c r="F1259" s="6">
        <v>87.780269058295971</v>
      </c>
      <c r="G1259" s="6">
        <v>29330.98315</v>
      </c>
    </row>
    <row r="1260" spans="1:7" x14ac:dyDescent="0.2">
      <c r="A1260" s="6">
        <v>1176</v>
      </c>
      <c r="B1260" s="6">
        <v>1944.3927812073821</v>
      </c>
      <c r="C1260" s="6">
        <v>209.96821879261779</v>
      </c>
      <c r="F1260" s="6">
        <v>87.855007473841567</v>
      </c>
      <c r="G1260" s="6">
        <v>29523.1656</v>
      </c>
    </row>
    <row r="1261" spans="1:7" x14ac:dyDescent="0.2">
      <c r="A1261" s="6">
        <v>1177</v>
      </c>
      <c r="B1261" s="6">
        <v>33573.800979041764</v>
      </c>
      <c r="C1261" s="6">
        <v>-9686.1382790417629</v>
      </c>
      <c r="F1261" s="6">
        <v>87.929745889387149</v>
      </c>
      <c r="G1261" s="6">
        <v>30063.580549999999</v>
      </c>
    </row>
    <row r="1262" spans="1:7" x14ac:dyDescent="0.2">
      <c r="A1262" s="6">
        <v>1178</v>
      </c>
      <c r="B1262" s="6">
        <v>7145.065708112028</v>
      </c>
      <c r="C1262" s="6">
        <v>-648.17970811202758</v>
      </c>
      <c r="F1262" s="6">
        <v>88.004484304932745</v>
      </c>
      <c r="G1262" s="6">
        <v>30166.618170000002</v>
      </c>
    </row>
    <row r="1263" spans="1:7" x14ac:dyDescent="0.2">
      <c r="A1263" s="6">
        <v>1179</v>
      </c>
      <c r="B1263" s="6">
        <v>5795.1372923337331</v>
      </c>
      <c r="C1263" s="6">
        <v>-2895.6479423337332</v>
      </c>
      <c r="F1263" s="6">
        <v>88.079222720478327</v>
      </c>
      <c r="G1263" s="6">
        <v>30184.936699999998</v>
      </c>
    </row>
    <row r="1264" spans="1:7" x14ac:dyDescent="0.2">
      <c r="A1264" s="6">
        <v>1180</v>
      </c>
      <c r="B1264" s="6">
        <v>28817.56333775961</v>
      </c>
      <c r="C1264" s="6">
        <v>-9467.1944377596083</v>
      </c>
      <c r="F1264" s="6">
        <v>88.153961136023923</v>
      </c>
      <c r="G1264" s="6">
        <v>30259.995559999999</v>
      </c>
    </row>
    <row r="1265" spans="1:7" x14ac:dyDescent="0.2">
      <c r="A1265" s="6">
        <v>1181</v>
      </c>
      <c r="B1265" s="6">
        <v>13342.098246018504</v>
      </c>
      <c r="C1265" s="6">
        <v>-5691.3244960185039</v>
      </c>
      <c r="F1265" s="6">
        <v>88.22869955156952</v>
      </c>
      <c r="G1265" s="6">
        <v>30284.642940000002</v>
      </c>
    </row>
    <row r="1266" spans="1:7" x14ac:dyDescent="0.2">
      <c r="A1266" s="6">
        <v>1182</v>
      </c>
      <c r="B1266" s="6">
        <v>4023.4140846088885</v>
      </c>
      <c r="C1266" s="6">
        <v>-1172.7303346088884</v>
      </c>
      <c r="F1266" s="6">
        <v>88.303437967115102</v>
      </c>
      <c r="G1266" s="6">
        <v>30942.191800000001</v>
      </c>
    </row>
    <row r="1267" spans="1:7" x14ac:dyDescent="0.2">
      <c r="A1267" s="6">
        <v>1183</v>
      </c>
      <c r="B1267" s="6">
        <v>3800.3808903741151</v>
      </c>
      <c r="C1267" s="6">
        <v>-1167.3888903741149</v>
      </c>
      <c r="F1267" s="6">
        <v>88.378176382660698</v>
      </c>
      <c r="G1267" s="6">
        <v>31620.001059999999</v>
      </c>
    </row>
    <row r="1268" spans="1:7" x14ac:dyDescent="0.2">
      <c r="A1268" s="6">
        <v>1184</v>
      </c>
      <c r="B1268" s="6">
        <v>10146.399781567208</v>
      </c>
      <c r="C1268" s="6">
        <v>-699.01738156720785</v>
      </c>
      <c r="F1268" s="6">
        <v>88.45291479820628</v>
      </c>
      <c r="G1268" s="6">
        <v>32108.662820000001</v>
      </c>
    </row>
    <row r="1269" spans="1:7" x14ac:dyDescent="0.2">
      <c r="A1269" s="6">
        <v>1185</v>
      </c>
      <c r="B1269" s="6">
        <v>26921.792063238754</v>
      </c>
      <c r="C1269" s="6">
        <v>-8593.5539632387554</v>
      </c>
      <c r="F1269" s="6">
        <v>88.527653213751876</v>
      </c>
      <c r="G1269" s="6">
        <v>32548.340499999998</v>
      </c>
    </row>
    <row r="1270" spans="1:7" x14ac:dyDescent="0.2">
      <c r="A1270" s="6">
        <v>1186</v>
      </c>
      <c r="B1270" s="6">
        <v>8431.0817859879971</v>
      </c>
      <c r="C1270" s="6">
        <v>172.74161401200217</v>
      </c>
      <c r="F1270" s="6">
        <v>88.602391629297472</v>
      </c>
      <c r="G1270" s="6">
        <v>32734.186300000001</v>
      </c>
    </row>
    <row r="1271" spans="1:7" x14ac:dyDescent="0.2">
      <c r="A1271" s="6">
        <v>1187</v>
      </c>
      <c r="B1271" s="6">
        <v>30073.113178006395</v>
      </c>
      <c r="C1271" s="6">
        <v>7392.2305719936048</v>
      </c>
      <c r="F1271" s="6">
        <v>88.677130044843054</v>
      </c>
      <c r="G1271" s="6">
        <v>32787.458590000002</v>
      </c>
    </row>
    <row r="1272" spans="1:7" x14ac:dyDescent="0.2">
      <c r="A1272" s="6">
        <v>1188</v>
      </c>
      <c r="B1272" s="6">
        <v>14718.433445725974</v>
      </c>
      <c r="C1272" s="6">
        <v>-873.63624572597291</v>
      </c>
      <c r="F1272" s="6">
        <v>88.75186846038865</v>
      </c>
      <c r="G1272" s="6">
        <v>33307.550799999997</v>
      </c>
    </row>
    <row r="1273" spans="1:7" x14ac:dyDescent="0.2">
      <c r="A1273" s="6">
        <v>1189</v>
      </c>
      <c r="B1273" s="6">
        <v>32001.738242746636</v>
      </c>
      <c r="C1273" s="6">
        <v>-10230.395942746636</v>
      </c>
      <c r="F1273" s="6">
        <v>88.826606875934232</v>
      </c>
      <c r="G1273" s="6">
        <v>33471.971890000001</v>
      </c>
    </row>
    <row r="1274" spans="1:7" x14ac:dyDescent="0.2">
      <c r="A1274" s="6">
        <v>1190</v>
      </c>
      <c r="B1274" s="6">
        <v>2506.5232419944864</v>
      </c>
      <c r="C1274" s="6">
        <v>10620.154208005513</v>
      </c>
      <c r="F1274" s="6">
        <v>88.901345291479828</v>
      </c>
      <c r="G1274" s="6">
        <v>33475.817150000003</v>
      </c>
    </row>
    <row r="1275" spans="1:7" x14ac:dyDescent="0.2">
      <c r="A1275" s="6">
        <v>1191</v>
      </c>
      <c r="B1275" s="6">
        <v>7739.1109854594815</v>
      </c>
      <c r="C1275" s="6">
        <v>-2411.7107354594818</v>
      </c>
      <c r="F1275" s="6">
        <v>88.976083707025424</v>
      </c>
      <c r="G1275" s="6">
        <v>33732.686699999998</v>
      </c>
    </row>
    <row r="1276" spans="1:7" x14ac:dyDescent="0.2">
      <c r="A1276" s="6">
        <v>1192</v>
      </c>
      <c r="B1276" s="6">
        <v>6447.2260063170133</v>
      </c>
      <c r="C1276" s="6">
        <v>7278.2458336829868</v>
      </c>
      <c r="F1276" s="6">
        <v>89.050822122571006</v>
      </c>
      <c r="G1276" s="6">
        <v>33750.291799999999</v>
      </c>
    </row>
    <row r="1277" spans="1:7" x14ac:dyDescent="0.2">
      <c r="A1277" s="6">
        <v>1193</v>
      </c>
      <c r="B1277" s="6">
        <v>14422.802345871269</v>
      </c>
      <c r="C1277" s="6">
        <v>-1403.6412958712681</v>
      </c>
      <c r="F1277" s="6">
        <v>89.125560538116602</v>
      </c>
      <c r="G1277" s="6">
        <v>33900.652999999998</v>
      </c>
    </row>
    <row r="1278" spans="1:7" x14ac:dyDescent="0.2">
      <c r="A1278" s="6">
        <v>1194</v>
      </c>
      <c r="B1278" s="6">
        <v>12443.603012017327</v>
      </c>
      <c r="C1278" s="6">
        <v>-3772.4117620173274</v>
      </c>
      <c r="F1278" s="6">
        <v>89.200298953662184</v>
      </c>
      <c r="G1278" s="6">
        <v>33907.548000000003</v>
      </c>
    </row>
    <row r="1279" spans="1:7" x14ac:dyDescent="0.2">
      <c r="A1279" s="6">
        <v>1195</v>
      </c>
      <c r="B1279" s="6">
        <v>3050.1980363697594</v>
      </c>
      <c r="C1279" s="6">
        <v>1083.8844136302405</v>
      </c>
      <c r="F1279" s="6">
        <v>89.27503736920778</v>
      </c>
      <c r="G1279" s="6">
        <v>34166.273000000001</v>
      </c>
    </row>
    <row r="1280" spans="1:7" x14ac:dyDescent="0.2">
      <c r="A1280" s="6">
        <v>1196</v>
      </c>
      <c r="B1280" s="6">
        <v>3488.9430174159193</v>
      </c>
      <c r="C1280" s="6">
        <v>15349.76064258408</v>
      </c>
      <c r="F1280" s="6">
        <v>89.349775784753376</v>
      </c>
      <c r="G1280" s="6">
        <v>34254.053350000002</v>
      </c>
    </row>
    <row r="1281" spans="1:7" x14ac:dyDescent="0.2">
      <c r="A1281" s="6">
        <v>1197</v>
      </c>
      <c r="B1281" s="6">
        <v>26619.890241927998</v>
      </c>
      <c r="C1281" s="6">
        <v>6687.6605580719988</v>
      </c>
      <c r="F1281" s="6">
        <v>89.424514200298958</v>
      </c>
      <c r="G1281" s="6">
        <v>34303.167200000004</v>
      </c>
    </row>
    <row r="1282" spans="1:7" x14ac:dyDescent="0.2">
      <c r="A1282" s="6">
        <v>1198</v>
      </c>
      <c r="B1282" s="6">
        <v>8806.1758377248098</v>
      </c>
      <c r="C1282" s="6">
        <v>-3106.3383377248101</v>
      </c>
      <c r="F1282" s="6">
        <v>89.499252615844554</v>
      </c>
      <c r="G1282" s="6">
        <v>34439.855900000002</v>
      </c>
    </row>
    <row r="1283" spans="1:7" x14ac:dyDescent="0.2">
      <c r="A1283" s="6">
        <v>1199</v>
      </c>
      <c r="B1283" s="6">
        <v>8283.9616424023006</v>
      </c>
      <c r="C1283" s="6">
        <v>-1890.358192402301</v>
      </c>
      <c r="F1283" s="6">
        <v>89.573991031390136</v>
      </c>
      <c r="G1283" s="6">
        <v>34472.841</v>
      </c>
    </row>
    <row r="1284" spans="1:7" x14ac:dyDescent="0.2">
      <c r="A1284" s="6">
        <v>1200</v>
      </c>
      <c r="B1284" s="6">
        <v>4766.1495546476872</v>
      </c>
      <c r="C1284" s="6">
        <v>168.55544535231274</v>
      </c>
      <c r="F1284" s="6">
        <v>89.648729446935732</v>
      </c>
      <c r="G1284" s="6">
        <v>34617.840649999998</v>
      </c>
    </row>
    <row r="1285" spans="1:7" x14ac:dyDescent="0.2">
      <c r="A1285" s="6">
        <v>1201</v>
      </c>
      <c r="B1285" s="6">
        <v>6281.0540910088093</v>
      </c>
      <c r="C1285" s="6">
        <v>-82.302291008809334</v>
      </c>
      <c r="F1285" s="6">
        <v>89.723467862481328</v>
      </c>
      <c r="G1285" s="6">
        <v>34672.147199999999</v>
      </c>
    </row>
    <row r="1286" spans="1:7" x14ac:dyDescent="0.2">
      <c r="A1286" s="6">
        <v>1202</v>
      </c>
      <c r="B1286" s="6">
        <v>14038.51216156698</v>
      </c>
      <c r="C1286" s="6">
        <v>-5305.2829115669792</v>
      </c>
      <c r="F1286" s="6">
        <v>89.79820627802691</v>
      </c>
      <c r="G1286" s="6">
        <v>34779.614999999998</v>
      </c>
    </row>
    <row r="1287" spans="1:7" x14ac:dyDescent="0.2">
      <c r="A1287" s="6">
        <v>1203</v>
      </c>
      <c r="B1287" s="6">
        <v>4119.52471627877</v>
      </c>
      <c r="C1287" s="6">
        <v>-2064.19981627877</v>
      </c>
      <c r="F1287" s="6">
        <v>89.872944693572506</v>
      </c>
      <c r="G1287" s="6">
        <v>34806.467700000001</v>
      </c>
    </row>
    <row r="1288" spans="1:7" x14ac:dyDescent="0.2">
      <c r="A1288" s="6">
        <v>1204</v>
      </c>
      <c r="B1288" s="6">
        <v>12461.270140621693</v>
      </c>
      <c r="C1288" s="6">
        <v>-2497.2101406216934</v>
      </c>
      <c r="F1288" s="6">
        <v>89.947683109118088</v>
      </c>
      <c r="G1288" s="6">
        <v>34828.654000000002</v>
      </c>
    </row>
    <row r="1289" spans="1:7" x14ac:dyDescent="0.2">
      <c r="A1289" s="6">
        <v>1205</v>
      </c>
      <c r="B1289" s="6">
        <v>26178.087311981166</v>
      </c>
      <c r="C1289" s="6">
        <v>-7954.6361119811663</v>
      </c>
      <c r="F1289" s="6">
        <v>90.022421524663685</v>
      </c>
      <c r="G1289" s="6">
        <v>34838.873</v>
      </c>
    </row>
    <row r="1290" spans="1:7" x14ac:dyDescent="0.2">
      <c r="A1290" s="6">
        <v>1206</v>
      </c>
      <c r="B1290" s="6">
        <v>3100.6511304589535</v>
      </c>
      <c r="C1290" s="6">
        <v>2015.8492695410464</v>
      </c>
      <c r="F1290" s="6">
        <v>90.097159940209281</v>
      </c>
      <c r="G1290" s="6">
        <v>35069.374519999998</v>
      </c>
    </row>
    <row r="1291" spans="1:7" x14ac:dyDescent="0.2">
      <c r="A1291" s="6">
        <v>1207</v>
      </c>
      <c r="B1291" s="6">
        <v>15010.86850819099</v>
      </c>
      <c r="C1291" s="6">
        <v>21899.739521809013</v>
      </c>
      <c r="F1291" s="6">
        <v>90.171898355754863</v>
      </c>
      <c r="G1291" s="6">
        <v>35147.528480000001</v>
      </c>
    </row>
    <row r="1292" spans="1:7" x14ac:dyDescent="0.2">
      <c r="A1292" s="6">
        <v>1208</v>
      </c>
      <c r="B1292" s="6">
        <v>32345.521747294522</v>
      </c>
      <c r="C1292" s="6">
        <v>6069.9522527054796</v>
      </c>
      <c r="F1292" s="6">
        <v>90.246636771300459</v>
      </c>
      <c r="G1292" s="6">
        <v>35160.134570000002</v>
      </c>
    </row>
    <row r="1293" spans="1:7" x14ac:dyDescent="0.2">
      <c r="A1293" s="6">
        <v>1209</v>
      </c>
      <c r="B1293" s="6">
        <v>30557.270261801634</v>
      </c>
      <c r="C1293" s="6">
        <v>-10260.406811801633</v>
      </c>
      <c r="F1293" s="6">
        <v>90.321375186846041</v>
      </c>
      <c r="G1293" s="6">
        <v>35491.64</v>
      </c>
    </row>
    <row r="1294" spans="1:7" x14ac:dyDescent="0.2">
      <c r="A1294" s="6">
        <v>1210</v>
      </c>
      <c r="B1294" s="6">
        <v>15184.198546951682</v>
      </c>
      <c r="C1294" s="6">
        <v>-2837.0265469516817</v>
      </c>
      <c r="F1294" s="6">
        <v>90.396113602391637</v>
      </c>
      <c r="G1294" s="6">
        <v>35585.576000000001</v>
      </c>
    </row>
    <row r="1295" spans="1:7" x14ac:dyDescent="0.2">
      <c r="A1295" s="6">
        <v>1211</v>
      </c>
      <c r="B1295" s="6">
        <v>7772.1102817413848</v>
      </c>
      <c r="C1295" s="6">
        <v>-2398.7460317413852</v>
      </c>
      <c r="F1295" s="6">
        <v>90.470852017937233</v>
      </c>
      <c r="G1295" s="6">
        <v>35595.589800000002</v>
      </c>
    </row>
    <row r="1296" spans="1:7" x14ac:dyDescent="0.2">
      <c r="A1296" s="6">
        <v>1212</v>
      </c>
      <c r="B1296" s="6">
        <v>9430.0206224343419</v>
      </c>
      <c r="C1296" s="6">
        <v>14132.995557565657</v>
      </c>
      <c r="F1296" s="6">
        <v>90.545590433482815</v>
      </c>
      <c r="G1296" s="6">
        <v>36021.011200000001</v>
      </c>
    </row>
    <row r="1297" spans="1:7" x14ac:dyDescent="0.2">
      <c r="A1297" s="6">
        <v>1213</v>
      </c>
      <c r="B1297" s="6">
        <v>-163.95514086531875</v>
      </c>
      <c r="C1297" s="6">
        <v>1866.4104408653188</v>
      </c>
      <c r="F1297" s="6">
        <v>90.620328849028411</v>
      </c>
      <c r="G1297" s="6">
        <v>36085.218999999997</v>
      </c>
    </row>
    <row r="1298" spans="1:7" x14ac:dyDescent="0.2">
      <c r="A1298" s="6">
        <v>1214</v>
      </c>
      <c r="B1298" s="6">
        <v>12704.083860013294</v>
      </c>
      <c r="C1298" s="6">
        <v>-1897.2448600132939</v>
      </c>
      <c r="F1298" s="6">
        <v>90.695067264573993</v>
      </c>
      <c r="G1298" s="6">
        <v>36124.573700000001</v>
      </c>
    </row>
    <row r="1299" spans="1:7" x14ac:dyDescent="0.2">
      <c r="A1299" s="6">
        <v>1215</v>
      </c>
      <c r="B1299" s="6">
        <v>5720.6109806724817</v>
      </c>
      <c r="C1299" s="6">
        <v>-1764.5395306724818</v>
      </c>
      <c r="F1299" s="6">
        <v>90.769805680119589</v>
      </c>
      <c r="G1299" s="6">
        <v>36149.483500000002</v>
      </c>
    </row>
    <row r="1300" spans="1:7" x14ac:dyDescent="0.2">
      <c r="A1300" s="6">
        <v>1216</v>
      </c>
      <c r="B1300" s="6">
        <v>5829.5931844382258</v>
      </c>
      <c r="C1300" s="6">
        <v>7060.4644655617749</v>
      </c>
      <c r="F1300" s="6">
        <v>90.844544095665185</v>
      </c>
      <c r="G1300" s="6">
        <v>36189.101699999999</v>
      </c>
    </row>
    <row r="1301" spans="1:7" x14ac:dyDescent="0.2">
      <c r="A1301" s="6">
        <v>1217</v>
      </c>
      <c r="B1301" s="6">
        <v>5676.3509331036475</v>
      </c>
      <c r="C1301" s="6">
        <v>-260.689733103648</v>
      </c>
      <c r="F1301" s="6">
        <v>90.919282511210767</v>
      </c>
      <c r="G1301" s="6">
        <v>36197.699000000001</v>
      </c>
    </row>
    <row r="1302" spans="1:7" x14ac:dyDescent="0.2">
      <c r="A1302" s="6">
        <v>1218</v>
      </c>
      <c r="B1302" s="6">
        <v>7943.4842140794426</v>
      </c>
      <c r="C1302" s="6">
        <v>-3885.3681140794424</v>
      </c>
      <c r="F1302" s="6">
        <v>90.994020926756363</v>
      </c>
      <c r="G1302" s="6">
        <v>36219.405449999998</v>
      </c>
    </row>
    <row r="1303" spans="1:7" x14ac:dyDescent="0.2">
      <c r="A1303" s="6">
        <v>1219</v>
      </c>
      <c r="B1303" s="6">
        <v>34976.931231246992</v>
      </c>
      <c r="C1303" s="6">
        <v>6684.670768753007</v>
      </c>
      <c r="F1303" s="6">
        <v>91.068759342301945</v>
      </c>
      <c r="G1303" s="6">
        <v>36307.798300000002</v>
      </c>
    </row>
    <row r="1304" spans="1:7" x14ac:dyDescent="0.2">
      <c r="A1304" s="6">
        <v>1220</v>
      </c>
      <c r="B1304" s="6">
        <v>9142.5747898582467</v>
      </c>
      <c r="C1304" s="6">
        <v>-1605.4108898582472</v>
      </c>
      <c r="F1304" s="6">
        <v>91.143497757847541</v>
      </c>
      <c r="G1304" s="6">
        <v>36397.576000000001</v>
      </c>
    </row>
    <row r="1305" spans="1:7" x14ac:dyDescent="0.2">
      <c r="A1305" s="6">
        <v>1221</v>
      </c>
      <c r="B1305" s="6">
        <v>3686.2528845922461</v>
      </c>
      <c r="C1305" s="6">
        <v>1031.9506654077541</v>
      </c>
      <c r="F1305" s="6">
        <v>91.218236173393137</v>
      </c>
      <c r="G1305" s="6">
        <v>36580.282160000002</v>
      </c>
    </row>
    <row r="1306" spans="1:7" x14ac:dyDescent="0.2">
      <c r="A1306" s="6">
        <v>1222</v>
      </c>
      <c r="B1306" s="6">
        <v>6590.04074350472</v>
      </c>
      <c r="C1306" s="6">
        <v>3.4675564952804052</v>
      </c>
      <c r="F1306" s="6">
        <v>91.292974588938719</v>
      </c>
      <c r="G1306" s="6">
        <v>36837.466999999997</v>
      </c>
    </row>
    <row r="1307" spans="1:7" x14ac:dyDescent="0.2">
      <c r="A1307" s="6">
        <v>1223</v>
      </c>
      <c r="B1307" s="6">
        <v>8319.5370182715124</v>
      </c>
      <c r="C1307" s="6">
        <v>123.12998172848711</v>
      </c>
      <c r="F1307" s="6">
        <v>91.367713004484315</v>
      </c>
      <c r="G1307" s="6">
        <v>36898.733079999998</v>
      </c>
    </row>
    <row r="1308" spans="1:7" x14ac:dyDescent="0.2">
      <c r="A1308" s="6">
        <v>1224</v>
      </c>
      <c r="B1308" s="6">
        <v>24295.20510428146</v>
      </c>
      <c r="C1308" s="6">
        <v>1830.4696657185414</v>
      </c>
      <c r="F1308" s="6">
        <v>91.442451420029897</v>
      </c>
      <c r="G1308" s="6">
        <v>36910.608030000003</v>
      </c>
    </row>
    <row r="1309" spans="1:7" x14ac:dyDescent="0.2">
      <c r="A1309" s="6">
        <v>1225</v>
      </c>
      <c r="B1309" s="6">
        <v>7057.0493430615916</v>
      </c>
      <c r="C1309" s="6">
        <v>-198.56974306159191</v>
      </c>
      <c r="F1309" s="6">
        <v>91.517189835575493</v>
      </c>
      <c r="G1309" s="6">
        <v>36950.256699999998</v>
      </c>
    </row>
    <row r="1310" spans="1:7" x14ac:dyDescent="0.2">
      <c r="A1310" s="6">
        <v>1226</v>
      </c>
      <c r="B1310" s="6">
        <v>9484.8828761102359</v>
      </c>
      <c r="C1310" s="6">
        <v>-4689.2260761102361</v>
      </c>
      <c r="F1310" s="6">
        <v>91.591928251121089</v>
      </c>
      <c r="G1310" s="6">
        <v>37079.372000000003</v>
      </c>
    </row>
    <row r="1311" spans="1:7" x14ac:dyDescent="0.2">
      <c r="A1311" s="6">
        <v>1227</v>
      </c>
      <c r="B1311" s="6">
        <v>4345.2274736214458</v>
      </c>
      <c r="C1311" s="6">
        <v>2295.3173763785544</v>
      </c>
      <c r="F1311" s="6">
        <v>91.666666666666671</v>
      </c>
      <c r="G1311" s="6">
        <v>37133.898200000003</v>
      </c>
    </row>
    <row r="1312" spans="1:7" x14ac:dyDescent="0.2">
      <c r="A1312" s="6">
        <v>1228</v>
      </c>
      <c r="B1312" s="6">
        <v>11245.305517167773</v>
      </c>
      <c r="C1312" s="6">
        <v>-4083.2933171677732</v>
      </c>
      <c r="F1312" s="6">
        <v>91.741405082212268</v>
      </c>
      <c r="G1312" s="6">
        <v>37165.163800000002</v>
      </c>
    </row>
    <row r="1313" spans="1:7" x14ac:dyDescent="0.2">
      <c r="A1313" s="6">
        <v>1229</v>
      </c>
      <c r="B1313" s="6">
        <v>12957.511364962571</v>
      </c>
      <c r="C1313" s="6">
        <v>-2363.2856649625701</v>
      </c>
      <c r="F1313" s="6">
        <v>91.816143497757849</v>
      </c>
      <c r="G1313" s="6">
        <v>37270.1512</v>
      </c>
    </row>
    <row r="1314" spans="1:7" x14ac:dyDescent="0.2">
      <c r="A1314" s="6">
        <v>1230</v>
      </c>
      <c r="B1314" s="6">
        <v>13107.07312328037</v>
      </c>
      <c r="C1314" s="6">
        <v>-1168.8171732803694</v>
      </c>
      <c r="F1314" s="6">
        <v>91.890881913303446</v>
      </c>
      <c r="G1314" s="6">
        <v>37465.34375</v>
      </c>
    </row>
    <row r="1315" spans="1:7" x14ac:dyDescent="0.2">
      <c r="A1315" s="6">
        <v>1231</v>
      </c>
      <c r="B1315" s="6">
        <v>37905.835922085171</v>
      </c>
      <c r="C1315" s="6">
        <v>22115.563047914831</v>
      </c>
      <c r="F1315" s="6">
        <v>91.965620328849042</v>
      </c>
      <c r="G1315" s="6">
        <v>37484.4493</v>
      </c>
    </row>
    <row r="1316" spans="1:7" x14ac:dyDescent="0.2">
      <c r="A1316" s="6">
        <v>1232</v>
      </c>
      <c r="B1316" s="6">
        <v>23481.489313908052</v>
      </c>
      <c r="C1316" s="6">
        <v>-3314.1532839080537</v>
      </c>
      <c r="F1316" s="6">
        <v>92.040358744394624</v>
      </c>
      <c r="G1316" s="6">
        <v>37607.527699999999</v>
      </c>
    </row>
    <row r="1317" spans="1:7" x14ac:dyDescent="0.2">
      <c r="A1317" s="6">
        <v>1233</v>
      </c>
      <c r="B1317" s="6">
        <v>11351.097122967054</v>
      </c>
      <c r="C1317" s="6">
        <v>1128.6118270329462</v>
      </c>
      <c r="F1317" s="6">
        <v>92.11509715994022</v>
      </c>
      <c r="G1317" s="6">
        <v>37701.876799999998</v>
      </c>
    </row>
    <row r="1318" spans="1:7" x14ac:dyDescent="0.2">
      <c r="A1318" s="6">
        <v>1234</v>
      </c>
      <c r="B1318" s="6">
        <v>9770.9719894356076</v>
      </c>
      <c r="C1318" s="6">
        <v>1574.5470105643926</v>
      </c>
      <c r="F1318" s="6">
        <v>92.189835575485802</v>
      </c>
      <c r="G1318" s="6">
        <v>37742.575700000001</v>
      </c>
    </row>
    <row r="1319" spans="1:7" x14ac:dyDescent="0.2">
      <c r="A1319" s="6">
        <v>1235</v>
      </c>
      <c r="B1319" s="6">
        <v>8975.7301429135696</v>
      </c>
      <c r="C1319" s="6">
        <v>-459.97144291356926</v>
      </c>
      <c r="F1319" s="6">
        <v>92.264573991031398</v>
      </c>
      <c r="G1319" s="6">
        <v>37829.724199999997</v>
      </c>
    </row>
    <row r="1320" spans="1:7" x14ac:dyDescent="0.2">
      <c r="A1320" s="6">
        <v>1236</v>
      </c>
      <c r="B1320" s="6">
        <v>4792.4929674048344</v>
      </c>
      <c r="C1320" s="6">
        <v>-2092.9246174048344</v>
      </c>
      <c r="F1320" s="6">
        <v>92.339312406576994</v>
      </c>
      <c r="G1320" s="6">
        <v>38126.246500000001</v>
      </c>
    </row>
    <row r="1321" spans="1:7" x14ac:dyDescent="0.2">
      <c r="A1321" s="6">
        <v>1237</v>
      </c>
      <c r="B1321" s="6">
        <v>11590.341838896507</v>
      </c>
      <c r="C1321" s="6">
        <v>2859.5125611034928</v>
      </c>
      <c r="F1321" s="6">
        <v>92.414050822122576</v>
      </c>
      <c r="G1321" s="6">
        <v>38245.593269999998</v>
      </c>
    </row>
    <row r="1322" spans="1:7" x14ac:dyDescent="0.2">
      <c r="A1322" s="6">
        <v>1238</v>
      </c>
      <c r="B1322" s="6">
        <v>12176.509265204182</v>
      </c>
      <c r="C1322" s="6">
        <v>47.841584795818562</v>
      </c>
      <c r="F1322" s="6">
        <v>92.488789237668172</v>
      </c>
      <c r="G1322" s="6">
        <v>38282.749499999998</v>
      </c>
    </row>
    <row r="1323" spans="1:7" x14ac:dyDescent="0.2">
      <c r="A1323" s="6">
        <v>1239</v>
      </c>
      <c r="B1323" s="6">
        <v>6561.7211080010766</v>
      </c>
      <c r="C1323" s="6">
        <v>423.78584199892339</v>
      </c>
      <c r="F1323" s="6">
        <v>92.563527653213754</v>
      </c>
      <c r="G1323" s="6">
        <v>38344.565999999999</v>
      </c>
    </row>
    <row r="1324" spans="1:7" x14ac:dyDescent="0.2">
      <c r="A1324" s="6">
        <v>1240</v>
      </c>
      <c r="B1324" s="6">
        <v>8213.568933652492</v>
      </c>
      <c r="C1324" s="6">
        <v>-4975.133233652492</v>
      </c>
      <c r="F1324" s="6">
        <v>92.63826606875935</v>
      </c>
      <c r="G1324" s="6">
        <v>38415.474000000002</v>
      </c>
    </row>
    <row r="1325" spans="1:7" x14ac:dyDescent="0.2">
      <c r="A1325" s="6">
        <v>1241</v>
      </c>
      <c r="B1325" s="6">
        <v>39229.477340136153</v>
      </c>
      <c r="C1325" s="6">
        <v>8040.3766598638467</v>
      </c>
      <c r="F1325" s="6">
        <v>92.713004484304946</v>
      </c>
      <c r="G1325" s="6">
        <v>38511.628299999997</v>
      </c>
    </row>
    <row r="1326" spans="1:7" x14ac:dyDescent="0.2">
      <c r="A1326" s="6">
        <v>1242</v>
      </c>
      <c r="B1326" s="6">
        <v>40670.057255107866</v>
      </c>
      <c r="C1326" s="6">
        <v>8907.6051448921353</v>
      </c>
      <c r="F1326" s="6">
        <v>92.787742899850528</v>
      </c>
      <c r="G1326" s="6">
        <v>38709.175999999999</v>
      </c>
    </row>
    <row r="1327" spans="1:7" x14ac:dyDescent="0.2">
      <c r="A1327" s="6">
        <v>1243</v>
      </c>
      <c r="B1327" s="6">
        <v>2003.875608515877</v>
      </c>
      <c r="C1327" s="6">
        <v>2292.3955914841231</v>
      </c>
      <c r="F1327" s="6">
        <v>92.862481315396124</v>
      </c>
      <c r="G1327" s="6">
        <v>38711</v>
      </c>
    </row>
    <row r="1328" spans="1:7" x14ac:dyDescent="0.2">
      <c r="A1328" s="6">
        <v>1244</v>
      </c>
      <c r="B1328" s="6">
        <v>5449.1124945456268</v>
      </c>
      <c r="C1328" s="6">
        <v>-2277.4975945456267</v>
      </c>
      <c r="F1328" s="6">
        <v>92.937219730941706</v>
      </c>
      <c r="G1328" s="6">
        <v>38746.355100000001</v>
      </c>
    </row>
    <row r="1329" spans="1:7" x14ac:dyDescent="0.2">
      <c r="A1329" s="6">
        <v>1245</v>
      </c>
      <c r="B1329" s="6">
        <v>2823.8571695714245</v>
      </c>
      <c r="C1329" s="6">
        <v>-1687.9164695714244</v>
      </c>
      <c r="F1329" s="6">
        <v>93.011958146487302</v>
      </c>
      <c r="G1329" s="6">
        <v>38792.685599999997</v>
      </c>
    </row>
    <row r="1330" spans="1:7" x14ac:dyDescent="0.2">
      <c r="A1330" s="6">
        <v>1246</v>
      </c>
      <c r="B1330" s="6">
        <v>4781.9775926716738</v>
      </c>
      <c r="C1330" s="6">
        <v>833.39140732832584</v>
      </c>
      <c r="F1330" s="6">
        <v>93.086696562032898</v>
      </c>
      <c r="G1330" s="6">
        <v>38998.546000000002</v>
      </c>
    </row>
    <row r="1331" spans="1:7" x14ac:dyDescent="0.2">
      <c r="A1331" s="6">
        <v>1247</v>
      </c>
      <c r="B1331" s="6">
        <v>8803.7196899586052</v>
      </c>
      <c r="C1331" s="6">
        <v>298.07831004139553</v>
      </c>
      <c r="F1331" s="6">
        <v>93.16143497757848</v>
      </c>
      <c r="G1331" s="6">
        <v>39047.285000000003</v>
      </c>
    </row>
    <row r="1332" spans="1:7" x14ac:dyDescent="0.2">
      <c r="A1332" s="6">
        <v>1248</v>
      </c>
      <c r="B1332" s="6">
        <v>7320.6454236245645</v>
      </c>
      <c r="C1332" s="6">
        <v>-1261.4724236245647</v>
      </c>
      <c r="F1332" s="6">
        <v>93.236173393124076</v>
      </c>
      <c r="G1332" s="6">
        <v>39125.332249999999</v>
      </c>
    </row>
    <row r="1333" spans="1:7" x14ac:dyDescent="0.2">
      <c r="A1333" s="6">
        <v>1249</v>
      </c>
      <c r="B1333" s="6">
        <v>5156.5370429008835</v>
      </c>
      <c r="C1333" s="6">
        <v>-3522.5752429008835</v>
      </c>
      <c r="F1333" s="6">
        <v>93.310911808669658</v>
      </c>
      <c r="G1333" s="6">
        <v>39241.442000000003</v>
      </c>
    </row>
    <row r="1334" spans="1:7" x14ac:dyDescent="0.2">
      <c r="A1334" s="6">
        <v>1250</v>
      </c>
      <c r="B1334" s="6">
        <v>31880.661277627321</v>
      </c>
      <c r="C1334" s="6">
        <v>5726.8664223726773</v>
      </c>
      <c r="F1334" s="6">
        <v>93.385650224215254</v>
      </c>
      <c r="G1334" s="6">
        <v>39556.494500000001</v>
      </c>
    </row>
    <row r="1335" spans="1:7" x14ac:dyDescent="0.2">
      <c r="A1335" s="6">
        <v>1251</v>
      </c>
      <c r="B1335" s="6">
        <v>28061.374788458212</v>
      </c>
      <c r="C1335" s="6">
        <v>-9412.9530884582127</v>
      </c>
      <c r="F1335" s="6">
        <v>93.460388639760851</v>
      </c>
      <c r="G1335" s="6">
        <v>39597.407200000001</v>
      </c>
    </row>
    <row r="1336" spans="1:7" x14ac:dyDescent="0.2">
      <c r="A1336" s="6">
        <v>1252</v>
      </c>
      <c r="B1336" s="6">
        <v>-1433.6028471589011</v>
      </c>
      <c r="C1336" s="6">
        <v>2675.1678471589012</v>
      </c>
      <c r="F1336" s="6">
        <v>93.535127055306432</v>
      </c>
      <c r="G1336" s="6">
        <v>39611.757700000002</v>
      </c>
    </row>
    <row r="1337" spans="1:7" x14ac:dyDescent="0.2">
      <c r="A1337" s="6">
        <v>1253</v>
      </c>
      <c r="B1337" s="6">
        <v>25215.738949372568</v>
      </c>
      <c r="C1337" s="6">
        <v>-8982.891949372568</v>
      </c>
      <c r="F1337" s="6">
        <v>93.609865470852029</v>
      </c>
      <c r="G1337" s="6">
        <v>39722.746200000001</v>
      </c>
    </row>
    <row r="1338" spans="1:7" x14ac:dyDescent="0.2">
      <c r="A1338" s="6">
        <v>1254</v>
      </c>
      <c r="B1338" s="6">
        <v>9216.0349054200233</v>
      </c>
      <c r="C1338" s="6">
        <v>6612.7868245799764</v>
      </c>
      <c r="F1338" s="6">
        <v>93.68460388639761</v>
      </c>
      <c r="G1338" s="6">
        <v>39725.518049999999</v>
      </c>
    </row>
    <row r="1339" spans="1:7" x14ac:dyDescent="0.2">
      <c r="A1339" s="6">
        <v>1255</v>
      </c>
      <c r="B1339" s="6">
        <v>5161.9978948072858</v>
      </c>
      <c r="C1339" s="6">
        <v>-746.83909480728562</v>
      </c>
      <c r="F1339" s="6">
        <v>93.759342301943207</v>
      </c>
      <c r="G1339" s="6">
        <v>39727.614000000001</v>
      </c>
    </row>
    <row r="1340" spans="1:7" x14ac:dyDescent="0.2">
      <c r="A1340" s="6">
        <v>1256</v>
      </c>
      <c r="B1340" s="6">
        <v>10744.809130951415</v>
      </c>
      <c r="C1340" s="6">
        <v>-4270.7961309514149</v>
      </c>
      <c r="F1340" s="6">
        <v>93.834080717488803</v>
      </c>
      <c r="G1340" s="6">
        <v>39774.276299999998</v>
      </c>
    </row>
    <row r="1341" spans="1:7" x14ac:dyDescent="0.2">
      <c r="A1341" s="6">
        <v>1257</v>
      </c>
      <c r="B1341" s="6">
        <v>14576.226948890706</v>
      </c>
      <c r="C1341" s="6">
        <v>-3139.4887988907067</v>
      </c>
      <c r="F1341" s="6">
        <v>93.908819133034385</v>
      </c>
      <c r="G1341" s="6">
        <v>39836.519</v>
      </c>
    </row>
    <row r="1342" spans="1:7" x14ac:dyDescent="0.2">
      <c r="A1342" s="6">
        <v>1258</v>
      </c>
      <c r="B1342" s="6">
        <v>11431.244131645743</v>
      </c>
      <c r="C1342" s="6">
        <v>-125.30958164574258</v>
      </c>
      <c r="F1342" s="6">
        <v>93.983557548579981</v>
      </c>
      <c r="G1342" s="6">
        <v>39871.704299999998</v>
      </c>
    </row>
    <row r="1343" spans="1:7" x14ac:dyDescent="0.2">
      <c r="A1343" s="6">
        <v>1259</v>
      </c>
      <c r="B1343" s="6">
        <v>15923.465292947409</v>
      </c>
      <c r="C1343" s="6">
        <v>14140.11525705259</v>
      </c>
      <c r="F1343" s="6">
        <v>94.058295964125563</v>
      </c>
      <c r="G1343" s="6">
        <v>39983.425949999997</v>
      </c>
    </row>
    <row r="1344" spans="1:7" x14ac:dyDescent="0.2">
      <c r="A1344" s="6">
        <v>1260</v>
      </c>
      <c r="B1344" s="6">
        <v>9280.4960104741567</v>
      </c>
      <c r="C1344" s="6">
        <v>917.27618952584271</v>
      </c>
      <c r="F1344" s="6">
        <v>94.133034379671159</v>
      </c>
      <c r="G1344" s="6">
        <v>40003.332249999999</v>
      </c>
    </row>
    <row r="1345" spans="1:7" x14ac:dyDescent="0.2">
      <c r="A1345" s="6">
        <v>1261</v>
      </c>
      <c r="B1345" s="6">
        <v>3241.1143731223619</v>
      </c>
      <c r="C1345" s="6">
        <v>1303.1204268776382</v>
      </c>
      <c r="F1345" s="6">
        <v>94.207772795216755</v>
      </c>
      <c r="G1345" s="6">
        <v>40103.89</v>
      </c>
    </row>
    <row r="1346" spans="1:7" x14ac:dyDescent="0.2">
      <c r="A1346" s="6">
        <v>1262</v>
      </c>
      <c r="B1346" s="6">
        <v>7221.6516182938976</v>
      </c>
      <c r="C1346" s="6">
        <v>-3944.4906182938976</v>
      </c>
      <c r="F1346" s="6">
        <v>94.282511210762337</v>
      </c>
      <c r="G1346" s="6">
        <v>40182.245999999999</v>
      </c>
    </row>
    <row r="1347" spans="1:7" x14ac:dyDescent="0.2">
      <c r="A1347" s="6">
        <v>1263</v>
      </c>
      <c r="B1347" s="6">
        <v>7547.4267474094322</v>
      </c>
      <c r="C1347" s="6">
        <v>-777.2342474094321</v>
      </c>
      <c r="F1347" s="6">
        <v>94.357249626307933</v>
      </c>
      <c r="G1347" s="6">
        <v>40273.645499999999</v>
      </c>
    </row>
    <row r="1348" spans="1:7" x14ac:dyDescent="0.2">
      <c r="A1348" s="6">
        <v>1264</v>
      </c>
      <c r="B1348" s="6">
        <v>8763.6183997511744</v>
      </c>
      <c r="C1348" s="6">
        <v>-1425.8703997511748</v>
      </c>
      <c r="F1348" s="6">
        <v>94.431988041853515</v>
      </c>
      <c r="G1348" s="6">
        <v>40419.019099999998</v>
      </c>
    </row>
    <row r="1349" spans="1:7" x14ac:dyDescent="0.2">
      <c r="A1349" s="6">
        <v>1265</v>
      </c>
      <c r="B1349" s="6">
        <v>12908.829499114565</v>
      </c>
      <c r="C1349" s="6">
        <v>-2537.9169491145658</v>
      </c>
      <c r="F1349" s="6">
        <v>94.506726457399111</v>
      </c>
      <c r="G1349" s="6">
        <v>40720.551050000002</v>
      </c>
    </row>
    <row r="1350" spans="1:7" x14ac:dyDescent="0.2">
      <c r="A1350" s="6">
        <v>1266</v>
      </c>
      <c r="B1350" s="6">
        <v>35241.702577146512</v>
      </c>
      <c r="C1350" s="6">
        <v>-8315.1881771465123</v>
      </c>
      <c r="F1350" s="6">
        <v>94.581464872944707</v>
      </c>
      <c r="G1350" s="6">
        <v>40904.199500000002</v>
      </c>
    </row>
    <row r="1351" spans="1:7" x14ac:dyDescent="0.2">
      <c r="A1351" s="6">
        <v>1267</v>
      </c>
      <c r="B1351" s="6">
        <v>11573.910157216722</v>
      </c>
      <c r="C1351" s="6">
        <v>-869.44015721672258</v>
      </c>
      <c r="F1351" s="6">
        <v>94.656203288490289</v>
      </c>
      <c r="G1351" s="6">
        <v>40932.429499999998</v>
      </c>
    </row>
    <row r="1352" spans="1:7" x14ac:dyDescent="0.2">
      <c r="A1352" s="6">
        <v>1268</v>
      </c>
      <c r="B1352" s="6">
        <v>28480.278703667602</v>
      </c>
      <c r="C1352" s="6">
        <v>5773.7746463324002</v>
      </c>
      <c r="F1352" s="6">
        <v>94.730941704035885</v>
      </c>
      <c r="G1352" s="6">
        <v>40941.285400000001</v>
      </c>
    </row>
    <row r="1353" spans="1:7" x14ac:dyDescent="0.2">
      <c r="A1353" s="6">
        <v>1269</v>
      </c>
      <c r="B1353" s="6">
        <v>3533.6794885198938</v>
      </c>
      <c r="C1353" s="6">
        <v>-1653.1924885198937</v>
      </c>
      <c r="F1353" s="6">
        <v>94.805680119581467</v>
      </c>
      <c r="G1353" s="6">
        <v>40974.164900000003</v>
      </c>
    </row>
    <row r="1354" spans="1:7" x14ac:dyDescent="0.2">
      <c r="A1354" s="6">
        <v>1270</v>
      </c>
      <c r="B1354" s="6">
        <v>9282.9535470630108</v>
      </c>
      <c r="C1354" s="6">
        <v>-667.6535470630115</v>
      </c>
      <c r="F1354" s="6">
        <v>94.880418535127063</v>
      </c>
      <c r="G1354" s="6">
        <v>41034.221400000002</v>
      </c>
    </row>
    <row r="1355" spans="1:7" x14ac:dyDescent="0.2">
      <c r="A1355" s="6">
        <v>1271</v>
      </c>
      <c r="B1355" s="6">
        <v>6234.6948553448619</v>
      </c>
      <c r="C1355" s="6">
        <v>-2942.165005344862</v>
      </c>
      <c r="F1355" s="6">
        <v>94.955156950672659</v>
      </c>
      <c r="G1355" s="6">
        <v>41097.161749999999</v>
      </c>
    </row>
    <row r="1356" spans="1:7" x14ac:dyDescent="0.2">
      <c r="A1356" s="6">
        <v>1272</v>
      </c>
      <c r="B1356" s="6">
        <v>5826.992585611667</v>
      </c>
      <c r="C1356" s="6">
        <v>-2805.1834356116669</v>
      </c>
      <c r="F1356" s="6">
        <v>95.029895366218241</v>
      </c>
      <c r="G1356" s="6">
        <v>41661.601999999999</v>
      </c>
    </row>
    <row r="1357" spans="1:7" x14ac:dyDescent="0.2">
      <c r="A1357" s="6">
        <v>1273</v>
      </c>
      <c r="B1357" s="6">
        <v>8973.6678360501264</v>
      </c>
      <c r="C1357" s="6">
        <v>5504.6623139498734</v>
      </c>
      <c r="F1357" s="6">
        <v>95.104633781763837</v>
      </c>
      <c r="G1357" s="6">
        <v>41676.081100000003</v>
      </c>
    </row>
    <row r="1358" spans="1:7" x14ac:dyDescent="0.2">
      <c r="A1358" s="6">
        <v>1274</v>
      </c>
      <c r="B1358" s="6">
        <v>5725.729153201466</v>
      </c>
      <c r="C1358" s="6">
        <v>-978.67625320146635</v>
      </c>
      <c r="F1358" s="6">
        <v>95.179372197309419</v>
      </c>
      <c r="G1358" s="6">
        <v>41919.097000000002</v>
      </c>
    </row>
    <row r="1359" spans="1:7" x14ac:dyDescent="0.2">
      <c r="A1359" s="6">
        <v>1275</v>
      </c>
      <c r="B1359" s="6">
        <v>26600.499577643059</v>
      </c>
      <c r="C1359" s="6">
        <v>-9557.1581776430576</v>
      </c>
      <c r="F1359" s="6">
        <v>95.254110612855015</v>
      </c>
      <c r="G1359" s="6">
        <v>41949.244100000004</v>
      </c>
    </row>
    <row r="1360" spans="1:7" x14ac:dyDescent="0.2">
      <c r="A1360" s="6">
        <v>1276</v>
      </c>
      <c r="B1360" s="6">
        <v>9649.7930183425979</v>
      </c>
      <c r="C1360" s="6">
        <v>1309.5369816574021</v>
      </c>
      <c r="F1360" s="6">
        <v>95.328849028400612</v>
      </c>
      <c r="G1360" s="6">
        <v>41999.519999999997</v>
      </c>
    </row>
    <row r="1361" spans="1:7" x14ac:dyDescent="0.2">
      <c r="A1361" s="6">
        <v>1277</v>
      </c>
      <c r="B1361" s="6">
        <v>4023.782169423981</v>
      </c>
      <c r="C1361" s="6">
        <v>-1281.8341694239812</v>
      </c>
      <c r="F1361" s="6">
        <v>95.403587443946194</v>
      </c>
      <c r="G1361" s="6">
        <v>42111.664700000001</v>
      </c>
    </row>
    <row r="1362" spans="1:7" x14ac:dyDescent="0.2">
      <c r="A1362" s="6">
        <v>1278</v>
      </c>
      <c r="B1362" s="6">
        <v>6013.8181487216116</v>
      </c>
      <c r="C1362" s="6">
        <v>-1656.774498721612</v>
      </c>
      <c r="F1362" s="6">
        <v>95.47832585949179</v>
      </c>
      <c r="G1362" s="6">
        <v>42112.2356</v>
      </c>
    </row>
    <row r="1363" spans="1:7" x14ac:dyDescent="0.2">
      <c r="A1363" s="6">
        <v>1279</v>
      </c>
      <c r="B1363" s="6">
        <v>32421.943999760595</v>
      </c>
      <c r="C1363" s="6">
        <v>-9959.9002497605943</v>
      </c>
      <c r="F1363" s="6">
        <v>95.553064275037372</v>
      </c>
      <c r="G1363" s="6">
        <v>42124.515299999999</v>
      </c>
    </row>
    <row r="1364" spans="1:7" x14ac:dyDescent="0.2">
      <c r="A1364" s="6">
        <v>1280</v>
      </c>
      <c r="B1364" s="6">
        <v>4167.9000503745165</v>
      </c>
      <c r="C1364" s="6">
        <v>21.213049625483109</v>
      </c>
      <c r="F1364" s="6">
        <v>95.627802690582968</v>
      </c>
      <c r="G1364" s="6">
        <v>42211.138200000001</v>
      </c>
    </row>
    <row r="1365" spans="1:7" x14ac:dyDescent="0.2">
      <c r="A1365" s="6">
        <v>1281</v>
      </c>
      <c r="B1365" s="6">
        <v>10660.862105086971</v>
      </c>
      <c r="C1365" s="6">
        <v>-2377.1814050869707</v>
      </c>
      <c r="F1365" s="6">
        <v>95.702541106128564</v>
      </c>
      <c r="G1365" s="6">
        <v>42303.692150000003</v>
      </c>
    </row>
    <row r="1366" spans="1:7" x14ac:dyDescent="0.2">
      <c r="A1366" s="6">
        <v>1282</v>
      </c>
      <c r="B1366" s="6">
        <v>33957.284750946259</v>
      </c>
      <c r="C1366" s="6">
        <v>-9421.586200946258</v>
      </c>
      <c r="F1366" s="6">
        <v>95.777279521674146</v>
      </c>
      <c r="G1366" s="6">
        <v>42560.430399999997</v>
      </c>
    </row>
    <row r="1367" spans="1:7" x14ac:dyDescent="0.2">
      <c r="A1367" s="6">
        <v>1283</v>
      </c>
      <c r="B1367" s="6">
        <v>23880.340516628668</v>
      </c>
      <c r="C1367" s="6">
        <v>-9596.8811166286687</v>
      </c>
      <c r="F1367" s="6">
        <v>95.852017937219742</v>
      </c>
      <c r="G1367" s="6">
        <v>42760.502200000003</v>
      </c>
    </row>
    <row r="1368" spans="1:7" x14ac:dyDescent="0.2">
      <c r="A1368" s="6">
        <v>1284</v>
      </c>
      <c r="B1368" s="6">
        <v>2180.0193178047857</v>
      </c>
      <c r="C1368" s="6">
        <v>-459.66561780478582</v>
      </c>
      <c r="F1368" s="6">
        <v>95.926756352765324</v>
      </c>
      <c r="G1368" s="6">
        <v>42856.838000000003</v>
      </c>
    </row>
    <row r="1369" spans="1:7" x14ac:dyDescent="0.2">
      <c r="A1369" s="6">
        <v>1285</v>
      </c>
      <c r="B1369" s="6">
        <v>39275.091031050528</v>
      </c>
      <c r="C1369" s="6">
        <v>8128.7889689494696</v>
      </c>
      <c r="F1369" s="6">
        <v>96.00149476831092</v>
      </c>
      <c r="G1369" s="6">
        <v>42969.852700000003</v>
      </c>
    </row>
    <row r="1370" spans="1:7" x14ac:dyDescent="0.2">
      <c r="A1370" s="6">
        <v>1286</v>
      </c>
      <c r="B1370" s="6">
        <v>8382.8947849037741</v>
      </c>
      <c r="C1370" s="6">
        <v>151.77701509622602</v>
      </c>
      <c r="F1370" s="6">
        <v>96.076233183856502</v>
      </c>
      <c r="G1370" s="6">
        <v>42983.458500000001</v>
      </c>
    </row>
    <row r="1371" spans="1:7" x14ac:dyDescent="0.2">
      <c r="A1371" s="6">
        <v>1287</v>
      </c>
      <c r="B1371" s="6">
        <v>1118.0941078099568</v>
      </c>
      <c r="C1371" s="6">
        <v>2614.5309921900434</v>
      </c>
      <c r="F1371" s="6">
        <v>96.150971599402098</v>
      </c>
      <c r="G1371" s="6">
        <v>43254.417950000003</v>
      </c>
    </row>
    <row r="1372" spans="1:7" x14ac:dyDescent="0.2">
      <c r="A1372" s="6">
        <v>1288</v>
      </c>
      <c r="B1372" s="6">
        <v>5608.8501175463771</v>
      </c>
      <c r="C1372" s="6">
        <v>-136.40111754637746</v>
      </c>
      <c r="F1372" s="6">
        <v>96.225710014947694</v>
      </c>
      <c r="G1372" s="6">
        <v>43578.939400000003</v>
      </c>
    </row>
    <row r="1373" spans="1:7" x14ac:dyDescent="0.2">
      <c r="A1373" s="6">
        <v>1289</v>
      </c>
      <c r="B1373" s="6">
        <v>30270.980828361997</v>
      </c>
      <c r="C1373" s="6">
        <v>8073.5851716380021</v>
      </c>
      <c r="F1373" s="6">
        <v>96.300448430493276</v>
      </c>
      <c r="G1373" s="6">
        <v>43753.337050000002</v>
      </c>
    </row>
    <row r="1374" spans="1:7" x14ac:dyDescent="0.2">
      <c r="A1374" s="6">
        <v>1290</v>
      </c>
      <c r="B1374" s="6">
        <v>10313.424399766334</v>
      </c>
      <c r="C1374" s="6">
        <v>-3165.9515997663348</v>
      </c>
      <c r="F1374" s="6">
        <v>96.375186846038872</v>
      </c>
      <c r="G1374" s="6">
        <v>43813.866099999999</v>
      </c>
    </row>
    <row r="1375" spans="1:7" x14ac:dyDescent="0.2">
      <c r="A1375" s="6">
        <v>1291</v>
      </c>
      <c r="B1375" s="6">
        <v>5539.9133100865365</v>
      </c>
      <c r="C1375" s="6">
        <v>1593.9891899134636</v>
      </c>
      <c r="F1375" s="6">
        <v>96.449925261584454</v>
      </c>
      <c r="G1375" s="6">
        <v>43896.376300000004</v>
      </c>
    </row>
    <row r="1376" spans="1:7" x14ac:dyDescent="0.2">
      <c r="A1376" s="6">
        <v>1292</v>
      </c>
      <c r="B1376" s="6">
        <v>27536.752844277606</v>
      </c>
      <c r="C1376" s="6">
        <v>7291.9011557223967</v>
      </c>
      <c r="F1376" s="6">
        <v>96.52466367713005</v>
      </c>
      <c r="G1376" s="6">
        <v>43921.183700000001</v>
      </c>
    </row>
    <row r="1377" spans="1:7" x14ac:dyDescent="0.2">
      <c r="A1377" s="6">
        <v>1293</v>
      </c>
      <c r="B1377" s="6">
        <v>161.78847664176715</v>
      </c>
      <c r="C1377" s="6">
        <v>1353.5564233582329</v>
      </c>
      <c r="F1377" s="6">
        <v>96.599402092675646</v>
      </c>
      <c r="G1377" s="6">
        <v>43943.876100000001</v>
      </c>
    </row>
    <row r="1378" spans="1:7" x14ac:dyDescent="0.2">
      <c r="A1378" s="6">
        <v>1294</v>
      </c>
      <c r="B1378" s="6">
        <v>9551.6124803895236</v>
      </c>
      <c r="C1378" s="6">
        <v>-249.71893038952294</v>
      </c>
      <c r="F1378" s="6">
        <v>96.674140508221228</v>
      </c>
      <c r="G1378" s="6">
        <v>44202.653599999998</v>
      </c>
    </row>
    <row r="1379" spans="1:7" x14ac:dyDescent="0.2">
      <c r="A1379" s="6">
        <v>1295</v>
      </c>
      <c r="B1379" s="6">
        <v>11367.01070625676</v>
      </c>
      <c r="C1379" s="6">
        <v>564.11454374323876</v>
      </c>
      <c r="F1379" s="6">
        <v>96.748878923766824</v>
      </c>
      <c r="G1379" s="6">
        <v>44260.749900000003</v>
      </c>
    </row>
    <row r="1380" spans="1:7" x14ac:dyDescent="0.2">
      <c r="A1380" s="6">
        <v>1296</v>
      </c>
      <c r="B1380" s="6">
        <v>44.979648471427709</v>
      </c>
      <c r="C1380" s="6">
        <v>1919.8003515285723</v>
      </c>
      <c r="F1380" s="6">
        <v>96.823617339312406</v>
      </c>
      <c r="G1380" s="6">
        <v>44400.4064</v>
      </c>
    </row>
    <row r="1381" spans="1:7" x14ac:dyDescent="0.2">
      <c r="A1381" s="6">
        <v>1297</v>
      </c>
      <c r="B1381" s="6">
        <v>1414.9903856931423</v>
      </c>
      <c r="C1381" s="6">
        <v>293.93536430685776</v>
      </c>
      <c r="F1381" s="6">
        <v>96.898355754858002</v>
      </c>
      <c r="G1381" s="6">
        <v>44423.803</v>
      </c>
    </row>
    <row r="1382" spans="1:7" x14ac:dyDescent="0.2">
      <c r="A1382" s="6">
        <v>1298</v>
      </c>
      <c r="B1382" s="6">
        <v>4161.4367910123474</v>
      </c>
      <c r="C1382" s="6">
        <v>179.00410898765222</v>
      </c>
      <c r="F1382" s="6">
        <v>96.973094170403598</v>
      </c>
      <c r="G1382" s="6">
        <v>44501.398200000003</v>
      </c>
    </row>
    <row r="1383" spans="1:7" x14ac:dyDescent="0.2">
      <c r="A1383" s="6">
        <v>1299</v>
      </c>
      <c r="B1383" s="6">
        <v>6317.0001579294003</v>
      </c>
      <c r="C1383" s="6">
        <v>-1055.5307079294007</v>
      </c>
      <c r="F1383" s="6">
        <v>97.04783258594918</v>
      </c>
      <c r="G1383" s="6">
        <v>44585.455869999998</v>
      </c>
    </row>
    <row r="1384" spans="1:7" x14ac:dyDescent="0.2">
      <c r="A1384" s="6">
        <v>1300</v>
      </c>
      <c r="B1384" s="6">
        <v>1796.8042309779705</v>
      </c>
      <c r="C1384" s="6">
        <v>914.02431902202966</v>
      </c>
      <c r="F1384" s="6">
        <v>97.122571001494777</v>
      </c>
      <c r="G1384" s="6">
        <v>44641.197399999997</v>
      </c>
    </row>
    <row r="1385" spans="1:7" x14ac:dyDescent="0.2">
      <c r="A1385" s="6">
        <v>1301</v>
      </c>
      <c r="B1385" s="6">
        <v>32600.108672768445</v>
      </c>
      <c r="C1385" s="6">
        <v>29992.764417231556</v>
      </c>
      <c r="F1385" s="6">
        <v>97.197309417040358</v>
      </c>
      <c r="G1385" s="6">
        <v>45008.955499999996</v>
      </c>
    </row>
    <row r="1386" spans="1:7" x14ac:dyDescent="0.2">
      <c r="A1386" s="6">
        <v>1302</v>
      </c>
      <c r="B1386" s="6">
        <v>39249.91107992352</v>
      </c>
      <c r="C1386" s="6">
        <v>7468.2521700764773</v>
      </c>
      <c r="F1386" s="6">
        <v>97.272047832585955</v>
      </c>
      <c r="G1386" s="6">
        <v>45702.022349999999</v>
      </c>
    </row>
    <row r="1387" spans="1:7" x14ac:dyDescent="0.2">
      <c r="A1387" s="6">
        <v>1303</v>
      </c>
      <c r="B1387" s="6">
        <v>1053.5436262202663</v>
      </c>
      <c r="C1387" s="6">
        <v>2155.2433737797337</v>
      </c>
      <c r="F1387" s="6">
        <v>97.346786248131551</v>
      </c>
      <c r="G1387" s="6">
        <v>45710.207849999999</v>
      </c>
    </row>
    <row r="1388" spans="1:7" x14ac:dyDescent="0.2">
      <c r="A1388" s="6">
        <v>1304</v>
      </c>
      <c r="B1388" s="6">
        <v>31293.03178453699</v>
      </c>
      <c r="C1388" s="6">
        <v>6536.6924154630069</v>
      </c>
      <c r="F1388" s="6">
        <v>97.421524663677133</v>
      </c>
      <c r="G1388" s="6">
        <v>45863.205000000002</v>
      </c>
    </row>
    <row r="1389" spans="1:7" x14ac:dyDescent="0.2">
      <c r="A1389" s="6">
        <v>1305</v>
      </c>
      <c r="B1389" s="6">
        <v>31863.504429312103</v>
      </c>
      <c r="C1389" s="6">
        <v>-10604.126479312104</v>
      </c>
      <c r="F1389" s="6">
        <v>97.496263079222729</v>
      </c>
      <c r="G1389" s="6">
        <v>46113.510999999999</v>
      </c>
    </row>
    <row r="1390" spans="1:7" x14ac:dyDescent="0.2">
      <c r="A1390" s="6">
        <v>1306</v>
      </c>
      <c r="B1390" s="6">
        <v>2593.4343694338058</v>
      </c>
      <c r="C1390" s="6">
        <v>-128.81556943380565</v>
      </c>
      <c r="F1390" s="6">
        <v>97.571001494768311</v>
      </c>
      <c r="G1390" s="6">
        <v>46130.5265</v>
      </c>
    </row>
    <row r="1391" spans="1:7" x14ac:dyDescent="0.2">
      <c r="A1391" s="6">
        <v>1307</v>
      </c>
      <c r="B1391" s="6">
        <v>26770.207150725557</v>
      </c>
      <c r="C1391" s="6">
        <v>-10654.902650725557</v>
      </c>
      <c r="F1391" s="6">
        <v>97.645739910313907</v>
      </c>
      <c r="G1391" s="6">
        <v>46151.124499999998</v>
      </c>
    </row>
    <row r="1392" spans="1:7" x14ac:dyDescent="0.2">
      <c r="A1392" s="6">
        <v>1308</v>
      </c>
      <c r="B1392" s="6">
        <v>31085.243084254347</v>
      </c>
      <c r="C1392" s="6">
        <v>-9612.7642842543464</v>
      </c>
      <c r="F1392" s="6">
        <v>97.720478325859503</v>
      </c>
      <c r="G1392" s="6">
        <v>46200.985099999998</v>
      </c>
    </row>
    <row r="1393" spans="1:7" x14ac:dyDescent="0.2">
      <c r="A1393" s="6">
        <v>1309</v>
      </c>
      <c r="B1393" s="6">
        <v>27614.99608692585</v>
      </c>
      <c r="C1393" s="6">
        <v>6285.6569130741482</v>
      </c>
      <c r="F1393" s="6">
        <v>97.795216741405085</v>
      </c>
      <c r="G1393" s="6">
        <v>46255.112500000003</v>
      </c>
    </row>
    <row r="1394" spans="1:7" x14ac:dyDescent="0.2">
      <c r="A1394" s="6">
        <v>1310</v>
      </c>
      <c r="B1394" s="6">
        <v>9374.2368237354349</v>
      </c>
      <c r="C1394" s="6">
        <v>-2498.2758237354346</v>
      </c>
      <c r="F1394" s="6">
        <v>97.869955156950681</v>
      </c>
      <c r="G1394" s="6">
        <v>46599.108399999997</v>
      </c>
    </row>
    <row r="1395" spans="1:7" x14ac:dyDescent="0.2">
      <c r="A1395" s="6">
        <v>1311</v>
      </c>
      <c r="B1395" s="6">
        <v>7766.5262485000439</v>
      </c>
      <c r="C1395" s="6">
        <v>-825.61639850004394</v>
      </c>
      <c r="F1395" s="6">
        <v>97.944693572496263</v>
      </c>
      <c r="G1395" s="6">
        <v>46661.4424</v>
      </c>
    </row>
    <row r="1396" spans="1:7" x14ac:dyDescent="0.2">
      <c r="A1396" s="6">
        <v>1312</v>
      </c>
      <c r="B1396" s="6">
        <v>5239.5264022820065</v>
      </c>
      <c r="C1396" s="6">
        <v>-668.11335228200642</v>
      </c>
      <c r="F1396" s="6">
        <v>98.019431988041859</v>
      </c>
      <c r="G1396" s="6">
        <v>46718.163249999998</v>
      </c>
    </row>
    <row r="1397" spans="1:7" x14ac:dyDescent="0.2">
      <c r="A1397" s="6">
        <v>1313</v>
      </c>
      <c r="B1397" s="6">
        <v>10730.111764460855</v>
      </c>
      <c r="C1397" s="6">
        <v>-6193.8527644608548</v>
      </c>
      <c r="F1397" s="6">
        <v>98.094170403587455</v>
      </c>
      <c r="G1397" s="6">
        <v>46889.261200000001</v>
      </c>
    </row>
    <row r="1398" spans="1:7" x14ac:dyDescent="0.2">
      <c r="A1398" s="6">
        <v>1314</v>
      </c>
      <c r="B1398" s="6">
        <v>28551.229603248808</v>
      </c>
      <c r="C1398" s="6">
        <v>7846.3463967511925</v>
      </c>
      <c r="F1398" s="6">
        <v>98.168908819133037</v>
      </c>
      <c r="G1398" s="6">
        <v>47055.532099999997</v>
      </c>
    </row>
    <row r="1399" spans="1:7" x14ac:dyDescent="0.2">
      <c r="A1399" s="6">
        <v>1315</v>
      </c>
      <c r="B1399" s="6">
        <v>28712.84542305323</v>
      </c>
      <c r="C1399" s="6">
        <v>-9946.9699730532302</v>
      </c>
      <c r="F1399" s="6">
        <v>98.243647234678633</v>
      </c>
      <c r="G1399" s="6">
        <v>47269.853999999999</v>
      </c>
    </row>
    <row r="1400" spans="1:7" x14ac:dyDescent="0.2">
      <c r="A1400" s="6">
        <v>1316</v>
      </c>
      <c r="B1400" s="6">
        <v>2631.6286269819602</v>
      </c>
      <c r="C1400" s="6">
        <v>8640.7027630180382</v>
      </c>
      <c r="F1400" s="6">
        <v>98.318385650224215</v>
      </c>
      <c r="G1400" s="6">
        <v>47291.055</v>
      </c>
    </row>
    <row r="1401" spans="1:7" x14ac:dyDescent="0.2">
      <c r="A1401" s="6">
        <v>1317</v>
      </c>
      <c r="B1401" s="6">
        <v>-1030.9337248751212</v>
      </c>
      <c r="C1401" s="6">
        <v>2762.6107248751214</v>
      </c>
      <c r="F1401" s="6">
        <v>98.393124065769811</v>
      </c>
      <c r="G1401" s="6">
        <v>47305.305</v>
      </c>
    </row>
    <row r="1402" spans="1:7" x14ac:dyDescent="0.2">
      <c r="A1402" s="6">
        <v>1318</v>
      </c>
      <c r="B1402" s="6">
        <v>9539.88755106606</v>
      </c>
      <c r="C1402" s="6">
        <v>-8376.42485106606</v>
      </c>
      <c r="F1402" s="6">
        <v>98.467862481315407</v>
      </c>
      <c r="G1402" s="6">
        <v>47403.88</v>
      </c>
    </row>
    <row r="1403" spans="1:7" x14ac:dyDescent="0.2">
      <c r="A1403" s="6">
        <v>1319</v>
      </c>
      <c r="B1403" s="6">
        <v>12291.493626727848</v>
      </c>
      <c r="C1403" s="6">
        <v>7205.2255432721522</v>
      </c>
      <c r="F1403" s="6">
        <v>98.542600896860989</v>
      </c>
      <c r="G1403" s="6">
        <v>47462.894</v>
      </c>
    </row>
    <row r="1404" spans="1:7" x14ac:dyDescent="0.2">
      <c r="A1404" s="6">
        <v>1320</v>
      </c>
      <c r="B1404" s="6">
        <v>7602.7720954322394</v>
      </c>
      <c r="C1404" s="6">
        <v>-401.07124543223927</v>
      </c>
      <c r="F1404" s="6">
        <v>98.617339312406585</v>
      </c>
      <c r="G1404" s="6">
        <v>47496.494449999998</v>
      </c>
    </row>
    <row r="1405" spans="1:7" x14ac:dyDescent="0.2">
      <c r="A1405" s="6">
        <v>1321</v>
      </c>
      <c r="B1405" s="6">
        <v>7503.2763655389717</v>
      </c>
      <c r="C1405" s="6">
        <v>-2078.2530155389713</v>
      </c>
      <c r="F1405" s="6">
        <v>98.692077727952167</v>
      </c>
      <c r="G1405" s="6">
        <v>47896.79135</v>
      </c>
    </row>
    <row r="1406" spans="1:7" x14ac:dyDescent="0.2">
      <c r="A1406" s="6">
        <v>1322</v>
      </c>
      <c r="B1406" s="6">
        <v>36758.54470780745</v>
      </c>
      <c r="C1406" s="6">
        <v>-8657.2116578074492</v>
      </c>
      <c r="F1406" s="6">
        <v>98.766816143497763</v>
      </c>
      <c r="G1406" s="6">
        <v>47928.03</v>
      </c>
    </row>
    <row r="1407" spans="1:7" x14ac:dyDescent="0.2">
      <c r="A1407" s="6">
        <v>1323</v>
      </c>
      <c r="B1407" s="6">
        <v>15991.100676074353</v>
      </c>
      <c r="C1407" s="6">
        <v>-3009.7549760743532</v>
      </c>
      <c r="F1407" s="6">
        <v>98.84155455904336</v>
      </c>
      <c r="G1407" s="6">
        <v>48173.360999999997</v>
      </c>
    </row>
    <row r="1408" spans="1:7" x14ac:dyDescent="0.2">
      <c r="A1408" s="6">
        <v>1324</v>
      </c>
      <c r="B1408" s="6">
        <v>36307.181535494281</v>
      </c>
      <c r="C1408" s="6">
        <v>7589.1947645057226</v>
      </c>
      <c r="F1408" s="6">
        <v>98.916292974588941</v>
      </c>
      <c r="G1408" s="6">
        <v>48517.563150000002</v>
      </c>
    </row>
    <row r="1409" spans="1:7" x14ac:dyDescent="0.2">
      <c r="A1409" s="6">
        <v>1325</v>
      </c>
      <c r="B1409" s="6">
        <v>4812.2128582170963</v>
      </c>
      <c r="C1409" s="6">
        <v>-572.32020821709648</v>
      </c>
      <c r="F1409" s="6">
        <v>98.991031390134538</v>
      </c>
      <c r="G1409" s="6">
        <v>48549.178350000002</v>
      </c>
    </row>
    <row r="1410" spans="1:7" x14ac:dyDescent="0.2">
      <c r="A1410" s="6">
        <v>1326</v>
      </c>
      <c r="B1410" s="6">
        <v>14973.237036055429</v>
      </c>
      <c r="C1410" s="6">
        <v>-1829.9003860554294</v>
      </c>
      <c r="F1410" s="6">
        <v>99.065769805680119</v>
      </c>
      <c r="G1410" s="6">
        <v>48673.558799999999</v>
      </c>
    </row>
    <row r="1411" spans="1:7" x14ac:dyDescent="0.2">
      <c r="A1411" s="6">
        <v>1327</v>
      </c>
      <c r="B1411" s="6">
        <v>9998.7170505897157</v>
      </c>
      <c r="C1411" s="6">
        <v>-2948.6957505897153</v>
      </c>
      <c r="F1411" s="6">
        <v>99.140508221225716</v>
      </c>
      <c r="G1411" s="6">
        <v>48675.517699999997</v>
      </c>
    </row>
    <row r="1412" spans="1:7" x14ac:dyDescent="0.2">
      <c r="A1412" s="6">
        <v>1328</v>
      </c>
      <c r="B1412" s="6">
        <v>10656.278951537268</v>
      </c>
      <c r="C1412" s="6">
        <v>-1278.3742515372687</v>
      </c>
      <c r="F1412" s="6">
        <v>99.215246636771312</v>
      </c>
      <c r="G1412" s="6">
        <v>48824.45</v>
      </c>
    </row>
    <row r="1413" spans="1:7" x14ac:dyDescent="0.2">
      <c r="A1413" s="6">
        <v>1329</v>
      </c>
      <c r="B1413" s="6">
        <v>3137.1200362126588</v>
      </c>
      <c r="C1413" s="6">
        <v>19258.624203787342</v>
      </c>
      <c r="F1413" s="6">
        <v>99.289985052316894</v>
      </c>
      <c r="G1413" s="6">
        <v>48885.135609999998</v>
      </c>
    </row>
    <row r="1414" spans="1:7" x14ac:dyDescent="0.2">
      <c r="A1414" s="6">
        <v>1330</v>
      </c>
      <c r="B1414" s="6">
        <v>14370.494804755639</v>
      </c>
      <c r="C1414" s="6">
        <v>-4045.2888047556389</v>
      </c>
      <c r="F1414" s="6">
        <v>99.36472346786249</v>
      </c>
      <c r="G1414" s="6">
        <v>48970.247600000002</v>
      </c>
    </row>
    <row r="1415" spans="1:7" x14ac:dyDescent="0.2">
      <c r="A1415" s="6">
        <v>1331</v>
      </c>
      <c r="B1415" s="6">
        <v>11349.092055315092</v>
      </c>
      <c r="C1415" s="6">
        <v>1280.0735446849085</v>
      </c>
      <c r="F1415" s="6">
        <v>99.439461883408072</v>
      </c>
      <c r="G1415" s="6">
        <v>49577.662400000001</v>
      </c>
    </row>
    <row r="1416" spans="1:7" x14ac:dyDescent="0.2">
      <c r="A1416" s="6">
        <v>1332</v>
      </c>
      <c r="B1416" s="6">
        <v>4338.1678914930217</v>
      </c>
      <c r="C1416" s="6">
        <v>6457.769438506979</v>
      </c>
      <c r="F1416" s="6">
        <v>99.514200298953668</v>
      </c>
      <c r="G1416" s="6">
        <v>51194.559139999998</v>
      </c>
    </row>
    <row r="1417" spans="1:7" x14ac:dyDescent="0.2">
      <c r="A1417" s="6">
        <v>1333</v>
      </c>
      <c r="B1417" s="6">
        <v>17046.389776326007</v>
      </c>
      <c r="C1417" s="6">
        <v>-5634.704776326007</v>
      </c>
      <c r="F1417" s="6">
        <v>99.588938714499264</v>
      </c>
      <c r="G1417" s="6">
        <v>52590.829389999999</v>
      </c>
    </row>
    <row r="1418" spans="1:7" x14ac:dyDescent="0.2">
      <c r="A1418" s="6">
        <v>1334</v>
      </c>
      <c r="B1418" s="6">
        <v>12351.323685655552</v>
      </c>
      <c r="C1418" s="6">
        <v>-1750.7753856555519</v>
      </c>
      <c r="F1418" s="6">
        <v>99.663677130044846</v>
      </c>
      <c r="G1418" s="6">
        <v>55135.402090000003</v>
      </c>
    </row>
    <row r="1419" spans="1:7" x14ac:dyDescent="0.2">
      <c r="A1419" s="6">
        <v>1335</v>
      </c>
      <c r="B1419" s="6">
        <v>3511.9308087630689</v>
      </c>
      <c r="C1419" s="6">
        <v>-1305.950008763069</v>
      </c>
      <c r="F1419" s="6">
        <v>99.738415545590442</v>
      </c>
      <c r="G1419" s="6">
        <v>58571.074480000003</v>
      </c>
    </row>
    <row r="1420" spans="1:7" x14ac:dyDescent="0.2">
      <c r="A1420" s="6">
        <v>1336</v>
      </c>
      <c r="B1420" s="6">
        <v>4149.1324856766896</v>
      </c>
      <c r="C1420" s="6">
        <v>-2519.2989856766899</v>
      </c>
      <c r="F1420" s="6">
        <v>99.813153961136024</v>
      </c>
      <c r="G1420" s="6">
        <v>60021.398970000002</v>
      </c>
    </row>
    <row r="1421" spans="1:7" x14ac:dyDescent="0.2">
      <c r="A1421" s="6">
        <v>1337</v>
      </c>
      <c r="B1421" s="6">
        <v>1246.5849389759437</v>
      </c>
      <c r="C1421" s="6">
        <v>761.36006102405622</v>
      </c>
      <c r="F1421" s="6">
        <v>99.88789237668162</v>
      </c>
      <c r="G1421" s="6">
        <v>62592.873090000001</v>
      </c>
    </row>
    <row r="1422" spans="1:7" ht="16" thickBot="1" x14ac:dyDescent="0.25">
      <c r="A1422" s="7">
        <v>1338</v>
      </c>
      <c r="B1422" s="7">
        <v>37085.62326756632</v>
      </c>
      <c r="C1422" s="7">
        <v>-7944.2629675663193</v>
      </c>
      <c r="F1422" s="7">
        <v>99.962630792227216</v>
      </c>
      <c r="G1422" s="7">
        <v>63770.428010000003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4EC4B-9501-4044-9305-4ED8633A587D}">
  <dimension ref="A1:T1429"/>
  <sheetViews>
    <sheetView zoomScale="75" workbookViewId="0">
      <selection activeCell="B72" sqref="B72"/>
    </sheetView>
  </sheetViews>
  <sheetFormatPr baseColWidth="10" defaultRowHeight="15" x14ac:dyDescent="0.2"/>
  <cols>
    <col min="1" max="1" width="100.83203125" bestFit="1" customWidth="1"/>
    <col min="2" max="2" width="28.5" bestFit="1" customWidth="1"/>
    <col min="3" max="3" width="28.6640625" bestFit="1" customWidth="1"/>
    <col min="4" max="4" width="29.6640625" bestFit="1" customWidth="1"/>
    <col min="5" max="5" width="32.83203125" bestFit="1" customWidth="1"/>
    <col min="6" max="6" width="32" bestFit="1" customWidth="1"/>
    <col min="7" max="7" width="34" bestFit="1" customWidth="1"/>
    <col min="8" max="8" width="34.83203125" bestFit="1" customWidth="1"/>
    <col min="9" max="9" width="34" bestFit="1" customWidth="1"/>
    <col min="10" max="10" width="34.5" bestFit="1" customWidth="1"/>
    <col min="12" max="12" width="27.33203125" bestFit="1" customWidth="1"/>
    <col min="16" max="16" width="12.33203125" bestFit="1" customWidth="1"/>
    <col min="23" max="23" width="14.5" bestFit="1" customWidth="1"/>
    <col min="24" max="24" width="26.33203125" bestFit="1" customWidth="1"/>
  </cols>
  <sheetData>
    <row r="1" spans="1:20" ht="21" thickBot="1" x14ac:dyDescent="0.3">
      <c r="A1" s="28" t="s">
        <v>125</v>
      </c>
      <c r="B1" s="28"/>
      <c r="C1" s="28"/>
      <c r="D1" s="28"/>
      <c r="E1" s="28"/>
      <c r="F1" s="42"/>
      <c r="G1" s="38" t="s">
        <v>138</v>
      </c>
      <c r="K1" s="42"/>
      <c r="L1" s="38" t="s">
        <v>137</v>
      </c>
      <c r="S1" s="42"/>
      <c r="T1" s="38" t="s">
        <v>139</v>
      </c>
    </row>
    <row r="2" spans="1:20" ht="17" thickTop="1" x14ac:dyDescent="0.2">
      <c r="A2" s="28" t="s">
        <v>126</v>
      </c>
      <c r="B2" s="28"/>
      <c r="C2" s="28"/>
      <c r="D2" s="28"/>
      <c r="E2" s="28"/>
      <c r="F2" s="42"/>
      <c r="G2" t="s">
        <v>140</v>
      </c>
      <c r="K2" s="42"/>
      <c r="L2" t="s">
        <v>149</v>
      </c>
      <c r="M2" t="s">
        <v>150</v>
      </c>
      <c r="S2" s="42"/>
    </row>
    <row r="3" spans="1:20" ht="16" x14ac:dyDescent="0.2">
      <c r="A3" s="28" t="s">
        <v>127</v>
      </c>
      <c r="B3" s="28"/>
      <c r="C3" s="28"/>
      <c r="D3" s="28"/>
      <c r="E3" s="28"/>
      <c r="F3" s="42"/>
      <c r="G3" t="s">
        <v>141</v>
      </c>
      <c r="K3" s="42"/>
      <c r="M3" t="s">
        <v>151</v>
      </c>
      <c r="S3" s="42"/>
    </row>
    <row r="4" spans="1:20" ht="16" x14ac:dyDescent="0.2">
      <c r="F4" s="42"/>
      <c r="G4" t="s">
        <v>142</v>
      </c>
      <c r="K4" s="42"/>
      <c r="M4" t="s">
        <v>179</v>
      </c>
      <c r="S4" s="42"/>
    </row>
    <row r="5" spans="1:20" ht="16" x14ac:dyDescent="0.2">
      <c r="F5" s="42"/>
      <c r="G5" t="s">
        <v>143</v>
      </c>
      <c r="K5" s="42"/>
      <c r="S5" s="42"/>
    </row>
    <row r="6" spans="1:20" ht="16" x14ac:dyDescent="0.2">
      <c r="A6" t="s">
        <v>128</v>
      </c>
      <c r="B6" t="s">
        <v>133</v>
      </c>
      <c r="C6" t="s">
        <v>135</v>
      </c>
      <c r="D6" t="s">
        <v>134</v>
      </c>
      <c r="E6" t="s">
        <v>136</v>
      </c>
      <c r="F6" s="42"/>
      <c r="G6" t="s">
        <v>144</v>
      </c>
      <c r="H6" t="s">
        <v>146</v>
      </c>
      <c r="I6" t="s">
        <v>147</v>
      </c>
      <c r="J6" t="s">
        <v>148</v>
      </c>
      <c r="K6" s="42"/>
      <c r="S6" s="42"/>
    </row>
    <row r="7" spans="1:20" ht="16" x14ac:dyDescent="0.2">
      <c r="F7" s="42"/>
      <c r="G7" t="s">
        <v>154</v>
      </c>
      <c r="K7" s="42"/>
      <c r="S7" s="42"/>
    </row>
    <row r="8" spans="1:20" ht="16" x14ac:dyDescent="0.2">
      <c r="F8" s="42"/>
      <c r="G8" t="s">
        <v>155</v>
      </c>
      <c r="K8" s="42"/>
      <c r="S8" s="42"/>
    </row>
    <row r="9" spans="1:20" ht="18" thickBot="1" x14ac:dyDescent="0.25">
      <c r="A9" s="24" t="s">
        <v>20</v>
      </c>
      <c r="F9" s="42"/>
      <c r="G9" t="s">
        <v>178</v>
      </c>
      <c r="K9" s="42"/>
      <c r="S9" s="42"/>
    </row>
    <row r="10" spans="1:20" ht="17" thickTop="1" x14ac:dyDescent="0.2">
      <c r="A10" s="34" t="s">
        <v>40</v>
      </c>
      <c r="F10" s="42"/>
      <c r="K10" s="42"/>
      <c r="S10" s="42"/>
    </row>
    <row r="11" spans="1:20" ht="16" x14ac:dyDescent="0.2">
      <c r="A11" s="34" t="s">
        <v>41</v>
      </c>
      <c r="F11" s="42"/>
      <c r="K11" s="42"/>
      <c r="S11" s="42"/>
    </row>
    <row r="12" spans="1:20" ht="16" x14ac:dyDescent="0.2">
      <c r="A12" s="23" t="s">
        <v>42</v>
      </c>
      <c r="B12" t="s">
        <v>272</v>
      </c>
      <c r="F12" s="42"/>
      <c r="K12" s="42"/>
      <c r="S12" s="42"/>
    </row>
    <row r="13" spans="1:20" ht="16" x14ac:dyDescent="0.2">
      <c r="A13" s="34" t="s">
        <v>43</v>
      </c>
      <c r="F13" s="42"/>
      <c r="K13" s="42"/>
      <c r="S13" s="42"/>
    </row>
    <row r="14" spans="1:20" s="23" customFormat="1" x14ac:dyDescent="0.2"/>
    <row r="15" spans="1:20" s="23" customFormat="1" x14ac:dyDescent="0.2"/>
    <row r="16" spans="1:20" s="23" customFormat="1" ht="21" thickBot="1" x14ac:dyDescent="0.3">
      <c r="A16" s="38" t="s">
        <v>53</v>
      </c>
    </row>
    <row r="17" spans="1:6" s="23" customFormat="1" ht="16" thickTop="1" x14ac:dyDescent="0.2">
      <c r="A17" s="23" t="s">
        <v>240</v>
      </c>
    </row>
    <row r="18" spans="1:6" s="23" customFormat="1" x14ac:dyDescent="0.2">
      <c r="B18" s="23" t="s">
        <v>241</v>
      </c>
      <c r="F18"/>
    </row>
    <row r="19" spans="1:6" s="23" customFormat="1" x14ac:dyDescent="0.2">
      <c r="B19" s="23" t="s">
        <v>242</v>
      </c>
      <c r="F19"/>
    </row>
    <row r="20" spans="1:6" s="23" customFormat="1" x14ac:dyDescent="0.2"/>
    <row r="21" spans="1:6" s="23" customFormat="1" x14ac:dyDescent="0.2">
      <c r="A21" s="23" t="s">
        <v>243</v>
      </c>
    </row>
    <row r="22" spans="1:6" s="23" customFormat="1" x14ac:dyDescent="0.2"/>
    <row r="23" spans="1:6" s="23" customFormat="1" x14ac:dyDescent="0.2"/>
    <row r="24" spans="1:6" s="23" customFormat="1" x14ac:dyDescent="0.2"/>
    <row r="25" spans="1:6" s="23" customFormat="1" x14ac:dyDescent="0.2">
      <c r="A25" s="23" t="s">
        <v>244</v>
      </c>
    </row>
    <row r="26" spans="1:6" s="23" customFormat="1" x14ac:dyDescent="0.2"/>
    <row r="27" spans="1:6" s="23" customFormat="1" x14ac:dyDescent="0.2"/>
    <row r="28" spans="1:6" s="23" customFormat="1" x14ac:dyDescent="0.2">
      <c r="A28" s="23" t="s">
        <v>245</v>
      </c>
    </row>
    <row r="29" spans="1:6" s="23" customFormat="1" x14ac:dyDescent="0.2"/>
    <row r="30" spans="1:6" s="23" customFormat="1" x14ac:dyDescent="0.2"/>
    <row r="31" spans="1:6" s="23" customFormat="1" x14ac:dyDescent="0.2">
      <c r="A31" s="23" t="s">
        <v>246</v>
      </c>
    </row>
    <row r="32" spans="1:6" s="23" customFormat="1" x14ac:dyDescent="0.2"/>
    <row r="33" spans="1:2" s="23" customFormat="1" x14ac:dyDescent="0.2"/>
    <row r="34" spans="1:2" s="23" customFormat="1" x14ac:dyDescent="0.2"/>
    <row r="35" spans="1:2" s="23" customFormat="1" x14ac:dyDescent="0.2">
      <c r="A35" s="23" t="s">
        <v>247</v>
      </c>
    </row>
    <row r="36" spans="1:2" s="23" customFormat="1" x14ac:dyDescent="0.2">
      <c r="B36" s="23" t="s">
        <v>145</v>
      </c>
    </row>
    <row r="37" spans="1:2" s="23" customFormat="1" x14ac:dyDescent="0.2">
      <c r="B37" s="23" t="s">
        <v>147</v>
      </c>
    </row>
    <row r="38" spans="1:2" s="23" customFormat="1" x14ac:dyDescent="0.2">
      <c r="B38" s="23" t="s">
        <v>148</v>
      </c>
    </row>
    <row r="39" spans="1:2" s="23" customFormat="1" x14ac:dyDescent="0.2"/>
    <row r="40" spans="1:2" s="23" customFormat="1" x14ac:dyDescent="0.2">
      <c r="A40" s="23" t="s">
        <v>250</v>
      </c>
    </row>
    <row r="41" spans="1:2" s="23" customFormat="1" x14ac:dyDescent="0.2">
      <c r="A41" s="23" t="s">
        <v>268</v>
      </c>
    </row>
    <row r="42" spans="1:2" s="23" customFormat="1" x14ac:dyDescent="0.2">
      <c r="B42" s="23" t="s">
        <v>271</v>
      </c>
    </row>
    <row r="43" spans="1:2" s="23" customFormat="1" x14ac:dyDescent="0.2">
      <c r="B43" s="23" t="s">
        <v>267</v>
      </c>
    </row>
    <row r="44" spans="1:2" s="23" customFormat="1" x14ac:dyDescent="0.2">
      <c r="B44" s="23" t="s">
        <v>269</v>
      </c>
    </row>
    <row r="45" spans="1:2" s="23" customFormat="1" x14ac:dyDescent="0.2">
      <c r="B45" s="23" t="s">
        <v>270</v>
      </c>
    </row>
    <row r="46" spans="1:2" s="23" customFormat="1" x14ac:dyDescent="0.2"/>
    <row r="47" spans="1:2" s="23" customFormat="1" x14ac:dyDescent="0.2"/>
    <row r="48" spans="1:2" s="23" customFormat="1" x14ac:dyDescent="0.2">
      <c r="A48" s="23" t="s">
        <v>251</v>
      </c>
    </row>
    <row r="49" spans="1:1" s="23" customFormat="1" x14ac:dyDescent="0.2">
      <c r="A49" s="23" t="s">
        <v>252</v>
      </c>
    </row>
    <row r="50" spans="1:1" s="23" customFormat="1" x14ac:dyDescent="0.2">
      <c r="A50" s="23" t="s">
        <v>253</v>
      </c>
    </row>
    <row r="51" spans="1:1" s="23" customFormat="1" x14ac:dyDescent="0.2">
      <c r="A51" s="23" t="s">
        <v>254</v>
      </c>
    </row>
    <row r="52" spans="1:1" s="23" customFormat="1" x14ac:dyDescent="0.2">
      <c r="A52" s="23" t="s">
        <v>255</v>
      </c>
    </row>
    <row r="53" spans="1:1" s="23" customFormat="1" x14ac:dyDescent="0.2">
      <c r="A53" s="23" t="s">
        <v>256</v>
      </c>
    </row>
    <row r="54" spans="1:1" s="23" customFormat="1" x14ac:dyDescent="0.2">
      <c r="A54" s="23" t="s">
        <v>260</v>
      </c>
    </row>
    <row r="55" spans="1:1" s="23" customFormat="1" x14ac:dyDescent="0.2">
      <c r="A55" s="23" t="s">
        <v>257</v>
      </c>
    </row>
    <row r="56" spans="1:1" s="23" customFormat="1" x14ac:dyDescent="0.2">
      <c r="A56" s="23" t="s">
        <v>258</v>
      </c>
    </row>
    <row r="57" spans="1:1" s="23" customFormat="1" x14ac:dyDescent="0.2">
      <c r="A57" s="23" t="s">
        <v>259</v>
      </c>
    </row>
    <row r="58" spans="1:1" s="23" customFormat="1" x14ac:dyDescent="0.2">
      <c r="A58" s="23" t="s">
        <v>261</v>
      </c>
    </row>
    <row r="59" spans="1:1" s="23" customFormat="1" x14ac:dyDescent="0.2"/>
    <row r="60" spans="1:1" s="23" customFormat="1" x14ac:dyDescent="0.2"/>
    <row r="61" spans="1:1" s="23" customFormat="1" x14ac:dyDescent="0.2">
      <c r="A61" s="23" t="s">
        <v>248</v>
      </c>
    </row>
    <row r="62" spans="1:1" s="23" customFormat="1" x14ac:dyDescent="0.2"/>
    <row r="63" spans="1:1" s="23" customFormat="1" x14ac:dyDescent="0.2"/>
    <row r="64" spans="1:1" s="23" customFormat="1" x14ac:dyDescent="0.2">
      <c r="A64" s="23" t="s">
        <v>262</v>
      </c>
    </row>
    <row r="65" spans="1:18" s="23" customFormat="1" x14ac:dyDescent="0.2">
      <c r="B65" s="23" t="s">
        <v>263</v>
      </c>
    </row>
    <row r="66" spans="1:18" s="23" customFormat="1" x14ac:dyDescent="0.2">
      <c r="B66" s="23" t="s">
        <v>264</v>
      </c>
    </row>
    <row r="67" spans="1:18" s="23" customFormat="1" x14ac:dyDescent="0.2">
      <c r="B67" s="23" t="s">
        <v>265</v>
      </c>
    </row>
    <row r="68" spans="1:18" s="23" customFormat="1" x14ac:dyDescent="0.2">
      <c r="B68" s="23" t="s">
        <v>266</v>
      </c>
    </row>
    <row r="69" spans="1:18" s="23" customFormat="1" x14ac:dyDescent="0.2"/>
    <row r="70" spans="1:18" s="23" customFormat="1" x14ac:dyDescent="0.2"/>
    <row r="71" spans="1:18" s="23" customFormat="1" x14ac:dyDescent="0.2">
      <c r="A71" s="23" t="s">
        <v>314</v>
      </c>
    </row>
    <row r="72" spans="1:18" s="23" customFormat="1" x14ac:dyDescent="0.2"/>
    <row r="73" spans="1:18" s="23" customFormat="1" x14ac:dyDescent="0.2"/>
    <row r="74" spans="1:18" s="23" customFormat="1" x14ac:dyDescent="0.2"/>
    <row r="75" spans="1:18" ht="21" thickBot="1" x14ac:dyDescent="0.3">
      <c r="A75" s="62" t="s">
        <v>152</v>
      </c>
      <c r="B75" s="62"/>
      <c r="G75" s="23"/>
      <c r="H75" s="23"/>
      <c r="I75" s="23"/>
    </row>
    <row r="76" spans="1:18" ht="17" thickTop="1" x14ac:dyDescent="0.2"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76" t="s">
        <v>300</v>
      </c>
      <c r="N76" s="77"/>
      <c r="O76" s="78"/>
      <c r="P76" s="23"/>
      <c r="Q76" s="23"/>
      <c r="R76" s="23"/>
    </row>
    <row r="77" spans="1:18" ht="16" x14ac:dyDescent="0.2">
      <c r="B77" s="40" t="s">
        <v>156</v>
      </c>
      <c r="C77" s="39" t="s">
        <v>153</v>
      </c>
      <c r="D77" s="39" t="s">
        <v>157</v>
      </c>
      <c r="E77" s="25" t="s">
        <v>21</v>
      </c>
      <c r="F77" s="25" t="s">
        <v>22</v>
      </c>
      <c r="G77" s="25" t="s">
        <v>23</v>
      </c>
      <c r="H77" s="25" t="s">
        <v>24</v>
      </c>
      <c r="I77" s="25" t="s">
        <v>25</v>
      </c>
      <c r="J77" s="25" t="s">
        <v>26</v>
      </c>
      <c r="K77" s="25" t="s">
        <v>27</v>
      </c>
      <c r="L77" s="25" t="s">
        <v>28</v>
      </c>
      <c r="M77" s="25" t="s">
        <v>44</v>
      </c>
      <c r="N77" s="25" t="s">
        <v>45</v>
      </c>
      <c r="O77" s="25" t="s">
        <v>46</v>
      </c>
      <c r="P77" s="25" t="s">
        <v>47</v>
      </c>
      <c r="Q77" s="25" t="s">
        <v>30</v>
      </c>
      <c r="R77" s="25" t="s">
        <v>31</v>
      </c>
    </row>
    <row r="78" spans="1:18" ht="16" x14ac:dyDescent="0.2">
      <c r="B78" s="25" t="s">
        <v>0</v>
      </c>
      <c r="C78" s="23">
        <f>AVERAGE(regression[age])</f>
        <v>39.207025411061288</v>
      </c>
      <c r="D78" s="23">
        <f>MEDIAN(regression[age])</f>
        <v>39</v>
      </c>
      <c r="E78" s="23">
        <f>MODE(regression[age])</f>
        <v>18</v>
      </c>
      <c r="F78" s="23">
        <f>SUM(regression[age])</f>
        <v>52459</v>
      </c>
      <c r="G78" s="23">
        <f>COUNT(regression[age])</f>
        <v>1338</v>
      </c>
      <c r="H78" s="23">
        <f>_xlfn.VAR.S(regression[age])</f>
        <v>197.40138665754375</v>
      </c>
      <c r="I78" s="23">
        <f>_xlfn.STDEV.S(regression[age])</f>
        <v>14.049960379216154</v>
      </c>
      <c r="J78" s="23">
        <f>MIN(regression[age])</f>
        <v>18</v>
      </c>
      <c r="K78" s="23">
        <f>MAX(regression[age])</f>
        <v>64</v>
      </c>
      <c r="L78" s="23">
        <f>MAX(regression[age]) - MIN(regression[age])</f>
        <v>46</v>
      </c>
      <c r="M78" s="23">
        <f>QUARTILE(regression[age],1)</f>
        <v>27</v>
      </c>
      <c r="N78" s="23">
        <f>QUARTILE(regression[age],2)</f>
        <v>39</v>
      </c>
      <c r="O78" s="23">
        <f>QUARTILE(regression[age],3)</f>
        <v>51</v>
      </c>
      <c r="P78" s="23">
        <f>QUARTILE(regression[age],3) - QUARTILE(regression[age],1)</f>
        <v>24</v>
      </c>
      <c r="Q78" s="23">
        <f>SKEW(regression[age])</f>
        <v>5.5672515652991868E-2</v>
      </c>
      <c r="R78" s="23">
        <f>KURT(regression[age])</f>
        <v>-1.2450876526418739</v>
      </c>
    </row>
    <row r="79" spans="1:18" ht="16" x14ac:dyDescent="0.2">
      <c r="B79" s="25" t="s">
        <v>1</v>
      </c>
      <c r="C79" s="23">
        <f>AVERAGE(regression[sex])</f>
        <v>0.50523168908819138</v>
      </c>
      <c r="D79" s="23">
        <f>MEDIAN(regression[sex])</f>
        <v>1</v>
      </c>
      <c r="E79" s="23">
        <f>MODE(regression[sex])</f>
        <v>1</v>
      </c>
      <c r="F79" s="23">
        <f>SUM(regression[sex])</f>
        <v>676</v>
      </c>
      <c r="G79" s="23">
        <f>COUNT(regression[sex])</f>
        <v>1338</v>
      </c>
      <c r="H79" s="23">
        <f>_xlfn.VAR.S(regression[sex])</f>
        <v>0.25015959474673349</v>
      </c>
      <c r="I79" s="23">
        <f>_xlfn.STDEV.S(regression[sex])</f>
        <v>0.50015956928437699</v>
      </c>
      <c r="J79" s="23">
        <f>MIN(regression[sex])</f>
        <v>0</v>
      </c>
      <c r="K79" s="23">
        <f>MAX(regression[sex])</f>
        <v>1</v>
      </c>
      <c r="L79" s="23">
        <f>MAX(regression[sex]) - MIN(regression[sex])</f>
        <v>1</v>
      </c>
      <c r="M79" s="23">
        <f>QUARTILE(regression[sex],1)</f>
        <v>0</v>
      </c>
      <c r="N79" s="23">
        <f>QUARTILE(regression[sex],2)</f>
        <v>1</v>
      </c>
      <c r="O79" s="23">
        <f>QUARTILE(regression[sex],3)</f>
        <v>1</v>
      </c>
      <c r="P79" s="23">
        <f>QUARTILE(regression[sex],3) - QUARTILE(regression[sex],1)</f>
        <v>1</v>
      </c>
      <c r="Q79" s="23">
        <f>SKEW(regression[sex])</f>
        <v>-2.0951397433346248E-2</v>
      </c>
      <c r="R79" s="23">
        <f>KURT(regression[sex])</f>
        <v>-2.0025566364991452</v>
      </c>
    </row>
    <row r="80" spans="1:18" ht="16" x14ac:dyDescent="0.2">
      <c r="B80" s="25" t="s">
        <v>2</v>
      </c>
      <c r="C80" s="23">
        <f>AVERAGE(regression[bmi])</f>
        <v>30.663396860986538</v>
      </c>
      <c r="D80" s="23">
        <f>MEDIAN(regression[bmi])</f>
        <v>30.4</v>
      </c>
      <c r="E80" s="23">
        <f>MODE(regression[bmi])</f>
        <v>32.299999999999997</v>
      </c>
      <c r="F80" s="23">
        <f>SUM(regression[bmi])</f>
        <v>41027.624999999985</v>
      </c>
      <c r="G80" s="23">
        <f>COUNT(regression[bmi])</f>
        <v>1338</v>
      </c>
      <c r="H80" s="23">
        <f>_xlfn.VAR.S(regression[bmi])</f>
        <v>37.18788360977279</v>
      </c>
      <c r="I80" s="23">
        <f>_xlfn.STDEV.S(regression[bmi])</f>
        <v>6.0981869116789778</v>
      </c>
      <c r="J80" s="23">
        <f>MIN(regression[bmi])</f>
        <v>15.96</v>
      </c>
      <c r="K80" s="23">
        <f>MAX(regression[bmi])</f>
        <v>53.13</v>
      </c>
      <c r="L80" s="23">
        <f>MAX(regression[bmi]) - MIN(regression[bmi])</f>
        <v>37.17</v>
      </c>
      <c r="M80" s="23">
        <f>QUARTILE(regression[bmi],1)</f>
        <v>26.296250000000001</v>
      </c>
      <c r="N80" s="23">
        <f>QUARTILE(regression[bmi],2)</f>
        <v>30.4</v>
      </c>
      <c r="O80" s="23">
        <f>QUARTILE(regression[bmi],3)</f>
        <v>34.693750000000001</v>
      </c>
      <c r="P80" s="23">
        <f>QUARTILE(regression[bmi],3) - QUARTILE(regression[bmi],1)</f>
        <v>8.3975000000000009</v>
      </c>
      <c r="Q80" s="23">
        <f>SKEW(regression[bmi])</f>
        <v>0.28404711059874976</v>
      </c>
      <c r="R80" s="23">
        <f>KURT(regression[bmi])</f>
        <v>-5.0731531354682335E-2</v>
      </c>
    </row>
    <row r="81" spans="1:18" ht="16" x14ac:dyDescent="0.2">
      <c r="B81" s="25" t="s">
        <v>3</v>
      </c>
      <c r="C81" s="23">
        <f>AVERAGE(regression[children])</f>
        <v>1.0949177877428999</v>
      </c>
      <c r="D81" s="23">
        <f>MEDIAN(regression[children])</f>
        <v>1</v>
      </c>
      <c r="E81" s="23">
        <f>MODE(regression[children])</f>
        <v>0</v>
      </c>
      <c r="F81" s="23">
        <f>SUM(regression[children])</f>
        <v>1465</v>
      </c>
      <c r="G81" s="23">
        <f>COUNT(regression[children])</f>
        <v>1338</v>
      </c>
      <c r="H81" s="23">
        <f>_xlfn.VAR.S(regression[children])</f>
        <v>1.4532127456669048</v>
      </c>
      <c r="I81" s="23">
        <f>_xlfn.STDEV.S(regression[children])</f>
        <v>1.2054927397819137</v>
      </c>
      <c r="J81" s="23">
        <f>MIN(regression[children])</f>
        <v>0</v>
      </c>
      <c r="K81" s="23">
        <f>MAX(regression[children])</f>
        <v>5</v>
      </c>
      <c r="L81" s="23">
        <f>MAX(regression[children]) - MIN(regression[children])</f>
        <v>5</v>
      </c>
      <c r="M81" s="23">
        <f>QUARTILE(regression[children],1)</f>
        <v>0</v>
      </c>
      <c r="N81" s="23">
        <f>QUARTILE(regression[children],2)</f>
        <v>1</v>
      </c>
      <c r="O81" s="23">
        <f>QUARTILE(regression[children],3)</f>
        <v>2</v>
      </c>
      <c r="P81" s="23">
        <f>QUARTILE(regression[children],3) - QUARTILE(regression[children],1)</f>
        <v>2</v>
      </c>
      <c r="Q81" s="23">
        <f>SKEW(regression[children])</f>
        <v>0.93838044017024602</v>
      </c>
      <c r="R81" s="23">
        <f>KURT(regression[children])</f>
        <v>0.20245414671692163</v>
      </c>
    </row>
    <row r="82" spans="1:18" ht="16" x14ac:dyDescent="0.2">
      <c r="B82" s="25" t="s">
        <v>4</v>
      </c>
      <c r="C82" s="23">
        <f>AVERAGE(regression[smoker])</f>
        <v>0.20478325859491778</v>
      </c>
      <c r="D82" s="23">
        <f>MEDIAN(regression[smoker])</f>
        <v>0</v>
      </c>
      <c r="E82" s="23">
        <f>MODE(regression[smoker])</f>
        <v>0</v>
      </c>
      <c r="F82" s="23">
        <f>SUM(regression[smoker])</f>
        <v>274</v>
      </c>
      <c r="G82" s="23">
        <f>COUNT(regression[smoker])</f>
        <v>1338</v>
      </c>
      <c r="H82" s="23">
        <f>_xlfn.VAR.S(regression[smoker])</f>
        <v>0.16296887594988221</v>
      </c>
      <c r="I82" s="23">
        <f>_xlfn.STDEV.S(regression[smoker])</f>
        <v>0.40369403754561722</v>
      </c>
      <c r="J82" s="23">
        <f>MIN(regression[smoker])</f>
        <v>0</v>
      </c>
      <c r="K82" s="23">
        <f>MAX(regression[smoker])</f>
        <v>1</v>
      </c>
      <c r="L82" s="23">
        <f>MAX(regression[smoker]) - MIN(regression[smoker])</f>
        <v>1</v>
      </c>
      <c r="M82" s="23">
        <f>QUARTILE(regression[smoker],1)</f>
        <v>0</v>
      </c>
      <c r="N82" s="23">
        <f>QUARTILE(regression[smoker],2)</f>
        <v>0</v>
      </c>
      <c r="O82" s="23">
        <f>QUARTILE(regression[smoker],3)</f>
        <v>0</v>
      </c>
      <c r="P82" s="23">
        <f>QUARTILE(regression[smoker],3) - QUARTILE(regression[smoker],1)</f>
        <v>0</v>
      </c>
      <c r="Q82" s="23">
        <f>SKEW(regression[smoker])</f>
        <v>1.464766160195355</v>
      </c>
      <c r="R82" s="23">
        <f>KURT(regression[smoker])</f>
        <v>0.14575553905185101</v>
      </c>
    </row>
    <row r="83" spans="1:18" ht="16" x14ac:dyDescent="0.2">
      <c r="B83" s="25" t="s">
        <v>129</v>
      </c>
      <c r="C83" s="23">
        <f>AVERAGE(regression[NorthEast])</f>
        <v>0.24215246636771301</v>
      </c>
      <c r="D83" s="23">
        <f>MEDIAN(regression[NorthEast])</f>
        <v>0</v>
      </c>
      <c r="E83" s="23">
        <f>MODE(regression[NorthEast])</f>
        <v>0</v>
      </c>
      <c r="F83" s="23">
        <f>SUM(regression[NorthEast])</f>
        <v>324</v>
      </c>
      <c r="G83" s="23">
        <f>COUNT(regression[NorthEast])</f>
        <v>1338</v>
      </c>
      <c r="H83" s="23">
        <f>_xlfn.VAR.S(regression[NorthEast])</f>
        <v>0.18365190792584965</v>
      </c>
      <c r="I83" s="23">
        <f>_xlfn.STDEV.S(regression[NorthEast])</f>
        <v>0.42854627279425689</v>
      </c>
      <c r="J83" s="23">
        <f>MIN(regression[NorthEast])</f>
        <v>0</v>
      </c>
      <c r="K83" s="23">
        <f>MAX(regression[NorthEast])</f>
        <v>1</v>
      </c>
      <c r="L83" s="23">
        <f>MAX(regression[NorthEast]) - MIN(regression[NorthEast])</f>
        <v>1</v>
      </c>
      <c r="M83" s="23">
        <f>QUARTILE(regression[NorthEast],1)</f>
        <v>0</v>
      </c>
      <c r="N83" s="23">
        <f>QUARTILE(regression[NorthEast],2)</f>
        <v>0</v>
      </c>
      <c r="O83" s="23">
        <f>QUARTILE(regression[NorthEast],3)</f>
        <v>0</v>
      </c>
      <c r="P83" s="23">
        <f>QUARTILE(regression[NorthEast],3) - QUARTILE(regression[NorthEast],1)</f>
        <v>0</v>
      </c>
      <c r="Q83" s="23">
        <f>SKEW(regression[NorthEast])</f>
        <v>1.2051605594436949</v>
      </c>
      <c r="R83" s="23">
        <f>KURT(regression[NorthEast])</f>
        <v>-0.54841000878626422</v>
      </c>
    </row>
    <row r="84" spans="1:18" ht="16" x14ac:dyDescent="0.2">
      <c r="B84" s="25" t="s">
        <v>130</v>
      </c>
      <c r="C84" s="23">
        <f>AVERAGE(regression[NorthWest])</f>
        <v>0.2428998505231689</v>
      </c>
      <c r="D84" s="23">
        <f>MEDIAN(regression[NorthWest])</f>
        <v>0</v>
      </c>
      <c r="E84" s="23">
        <f>MODE(regression[NorthWest])</f>
        <v>0</v>
      </c>
      <c r="F84" s="23">
        <f>SUM(regression[NorthWest])</f>
        <v>325</v>
      </c>
      <c r="G84" s="23">
        <f>COUNT(regression[NorthWest])</f>
        <v>1338</v>
      </c>
      <c r="H84" s="23">
        <f>_xlfn.VAR.S(regression[NorthWest])</f>
        <v>0.18403705952129401</v>
      </c>
      <c r="I84" s="23">
        <f>_xlfn.STDEV.S(regression[NorthWest])</f>
        <v>0.42899540734289221</v>
      </c>
      <c r="J84" s="23">
        <f>MIN(regression[NorthWest])</f>
        <v>0</v>
      </c>
      <c r="K84" s="23">
        <f>MAX(regression[NorthWest])</f>
        <v>1</v>
      </c>
      <c r="L84" s="23">
        <f>MAX(regression[NorthWest]) - MIN(regression[NorthWest])</f>
        <v>1</v>
      </c>
      <c r="M84" s="23">
        <f>QUARTILE(regression[NorthWest],1)</f>
        <v>0</v>
      </c>
      <c r="N84" s="23">
        <f>QUARTILE(regression[NorthWest],2)</f>
        <v>0</v>
      </c>
      <c r="O84" s="23">
        <f>QUARTILE(regression[NorthWest],3)</f>
        <v>0</v>
      </c>
      <c r="P84" s="23">
        <f>QUARTILE(regression[NorthWest],3) - QUARTILE(regression[NorthWest],1)</f>
        <v>0</v>
      </c>
      <c r="Q84" s="23">
        <f>SKEW(regression[NorthWest])</f>
        <v>1.2004092609518378</v>
      </c>
      <c r="R84" s="23">
        <f>KURT(regression[NorthWest])</f>
        <v>-0.55985669921523007</v>
      </c>
    </row>
    <row r="85" spans="1:18" ht="16" x14ac:dyDescent="0.2">
      <c r="B85" s="25" t="s">
        <v>131</v>
      </c>
      <c r="C85" s="23">
        <f>AVERAGE(regression[SouthEast])</f>
        <v>0.27204783258594917</v>
      </c>
      <c r="D85" s="23">
        <f>MEDIAN(regression[SouthEast])</f>
        <v>0</v>
      </c>
      <c r="E85" s="23">
        <f>MODE(regression[SouthEast])</f>
        <v>0</v>
      </c>
      <c r="F85" s="23">
        <f>SUM(regression[SouthEast])</f>
        <v>364</v>
      </c>
      <c r="G85" s="23">
        <f>COUNT(regression[SouthEast])</f>
        <v>1338</v>
      </c>
      <c r="H85" s="23">
        <f>_xlfn.VAR.S(regression[SouthEast])</f>
        <v>0.19818593039544841</v>
      </c>
      <c r="I85" s="23">
        <f>_xlfn.STDEV.S(regression[SouthEast])</f>
        <v>0.4451807839467562</v>
      </c>
      <c r="J85" s="23">
        <f>MIN(regression[SouthEast])</f>
        <v>0</v>
      </c>
      <c r="K85" s="23">
        <f>MAX(regression[SouthEast])</f>
        <v>1</v>
      </c>
      <c r="L85" s="23">
        <f>MAX(regression[SouthEast]) - MIN(regression[SouthEast])</f>
        <v>1</v>
      </c>
      <c r="M85" s="23">
        <f>QUARTILE(regression[SouthEast],1)</f>
        <v>0</v>
      </c>
      <c r="N85" s="23">
        <f>QUARTILE(regression[SouthEast],2)</f>
        <v>0</v>
      </c>
      <c r="O85" s="23">
        <f>QUARTILE(regression[SouthEast],3)</f>
        <v>1</v>
      </c>
      <c r="P85" s="23">
        <f>QUARTILE(regression[SouthEast],3) - QUARTILE(regression[SouthEast],1)</f>
        <v>1</v>
      </c>
      <c r="Q85" s="23">
        <f>SKEW(regression[SouthEast])</f>
        <v>1.0256211472099523</v>
      </c>
      <c r="R85" s="23">
        <f>KURT(regression[SouthEast])</f>
        <v>-0.94952281660527138</v>
      </c>
    </row>
    <row r="86" spans="1:18" ht="16" x14ac:dyDescent="0.2">
      <c r="B86" s="25" t="s">
        <v>132</v>
      </c>
      <c r="C86" s="23">
        <f>AVERAGE(regression[SouthWest])</f>
        <v>0.2428998505231689</v>
      </c>
      <c r="D86" s="23">
        <f>MEDIAN(regression[SouthWest])</f>
        <v>0</v>
      </c>
      <c r="E86" s="23">
        <f>MODE(regression[SouthWest])</f>
        <v>0</v>
      </c>
      <c r="F86" s="23">
        <f>SUM(regression[SouthWest])</f>
        <v>325</v>
      </c>
      <c r="G86" s="23">
        <f>COUNT(regression[SouthWest])</f>
        <v>1338</v>
      </c>
      <c r="H86" s="23">
        <f>_xlfn.VAR.S(regression[SouthWest])</f>
        <v>0.18403705952129401</v>
      </c>
      <c r="I86" s="23">
        <f>_xlfn.STDEV.S(regression[SouthWest])</f>
        <v>0.42899540734289221</v>
      </c>
      <c r="J86" s="23">
        <f>MIN(regression[SouthWest])</f>
        <v>0</v>
      </c>
      <c r="K86" s="23">
        <f>MAX(regression[SouthWest])</f>
        <v>1</v>
      </c>
      <c r="L86" s="23">
        <f>MAX(regression[SouthWest]) - MIN(regression[SouthWest])</f>
        <v>1</v>
      </c>
      <c r="M86" s="23">
        <f>QUARTILE(regression[SouthWest],1)</f>
        <v>0</v>
      </c>
      <c r="N86" s="23">
        <f>QUARTILE(regression[SouthWest],2)</f>
        <v>0</v>
      </c>
      <c r="O86" s="23">
        <f>QUARTILE(regression[SouthWest],3)</f>
        <v>0</v>
      </c>
      <c r="P86" s="23">
        <f>QUARTILE(regression[SouthWest],3) - QUARTILE(regression[SouthWest],1)</f>
        <v>0</v>
      </c>
      <c r="Q86" s="23">
        <f>SKEW(regression[SouthWest])</f>
        <v>1.200409260951838</v>
      </c>
      <c r="R86" s="23">
        <f>KURT(regression[SouthWest])</f>
        <v>-0.5598566992152425</v>
      </c>
    </row>
    <row r="87" spans="1:18" ht="16" x14ac:dyDescent="0.2">
      <c r="B87" s="25" t="s">
        <v>16</v>
      </c>
      <c r="C87" s="23">
        <f>AVERAGE(regression[charges])</f>
        <v>13270.422265141257</v>
      </c>
      <c r="D87" s="23">
        <f>MEDIAN(regression[charges])</f>
        <v>9382.0329999999994</v>
      </c>
      <c r="E87" s="23">
        <f>MODE(regression[charges])</f>
        <v>1639.5631000000001</v>
      </c>
      <c r="F87" s="23">
        <f>SUM(regression[charges])</f>
        <v>17755824.990759</v>
      </c>
      <c r="G87" s="23">
        <f>COUNT(regression[charges])</f>
        <v>1338</v>
      </c>
      <c r="H87" s="23">
        <f>_xlfn.VAR.S(regression[charges])</f>
        <v>146652372.15285519</v>
      </c>
      <c r="I87" s="23">
        <f>_xlfn.STDEV.S(regression[charges])</f>
        <v>12110.01123669401</v>
      </c>
      <c r="J87" s="23">
        <f>MIN(regression[charges])</f>
        <v>1121.8739</v>
      </c>
      <c r="K87" s="23">
        <f>MAX(regression[charges])</f>
        <v>63770.428010000003</v>
      </c>
      <c r="L87" s="23">
        <f>MAX(regression[charges]) - MIN(regression[charges])</f>
        <v>62648.554110000005</v>
      </c>
      <c r="M87" s="23">
        <f>QUARTILE(regression[charges],1)</f>
        <v>4740.2871500000001</v>
      </c>
      <c r="N87" s="23">
        <f>QUARTILE(regression[charges],2)</f>
        <v>9382.0329999999994</v>
      </c>
      <c r="O87" s="23">
        <f>QUARTILE(regression[charges],3)</f>
        <v>16639.912515</v>
      </c>
      <c r="P87" s="23">
        <f>QUARTILE(regression[charges],3) - QUARTILE(regression[charges],1)</f>
        <v>11899.625365</v>
      </c>
      <c r="Q87" s="23">
        <f>SKEW(regression[charges])</f>
        <v>1.515879658024041</v>
      </c>
      <c r="R87" s="23">
        <f>KURT(regression[charges])</f>
        <v>1.6062986532968111</v>
      </c>
    </row>
    <row r="88" spans="1:18" x14ac:dyDescent="0.2">
      <c r="G88" s="23"/>
      <c r="H88" s="23"/>
      <c r="I88" s="23"/>
    </row>
    <row r="89" spans="1:18" s="23" customFormat="1" x14ac:dyDescent="0.2"/>
    <row r="90" spans="1:18" s="23" customFormat="1" x14ac:dyDescent="0.2"/>
    <row r="91" spans="1:18" s="23" customFormat="1" ht="21" thickBot="1" x14ac:dyDescent="0.3">
      <c r="A91" s="38" t="s">
        <v>275</v>
      </c>
    </row>
    <row r="92" spans="1:18" s="23" customFormat="1" ht="16" thickTop="1" x14ac:dyDescent="0.2">
      <c r="B92" s="8"/>
      <c r="C92" s="8" t="s">
        <v>0</v>
      </c>
      <c r="D92" s="8" t="s">
        <v>1</v>
      </c>
      <c r="E92" s="8" t="s">
        <v>2</v>
      </c>
      <c r="F92" s="8" t="s">
        <v>3</v>
      </c>
      <c r="G92" s="8" t="s">
        <v>4</v>
      </c>
      <c r="H92" s="8" t="s">
        <v>129</v>
      </c>
      <c r="I92" s="8" t="s">
        <v>130</v>
      </c>
      <c r="J92" s="8" t="s">
        <v>131</v>
      </c>
      <c r="K92" s="8" t="s">
        <v>132</v>
      </c>
      <c r="L92" s="8" t="s">
        <v>16</v>
      </c>
    </row>
    <row r="93" spans="1:18" s="23" customFormat="1" x14ac:dyDescent="0.2">
      <c r="B93" s="6" t="s">
        <v>0</v>
      </c>
      <c r="C93" s="6">
        <f>VARP(dataset!$A$2:$A$1339)</f>
        <v>197.25385198889089</v>
      </c>
      <c r="D93" s="6"/>
      <c r="E93" s="6"/>
      <c r="F93" s="6"/>
      <c r="G93" s="6"/>
      <c r="H93" s="6"/>
      <c r="I93" s="6"/>
      <c r="J93" s="6"/>
      <c r="K93" s="6"/>
      <c r="L93" s="6"/>
    </row>
    <row r="94" spans="1:18" s="23" customFormat="1" x14ac:dyDescent="0.2">
      <c r="B94" s="6" t="s">
        <v>1</v>
      </c>
      <c r="C94" s="6">
        <v>-0.14644931082019835</v>
      </c>
      <c r="D94" s="6">
        <f>VARP(dataset!$B$2:$B$1339)</f>
        <v>0.2499726294292845</v>
      </c>
      <c r="E94" s="6"/>
      <c r="F94" s="6"/>
      <c r="G94" s="6"/>
      <c r="H94" s="6"/>
      <c r="I94" s="6"/>
      <c r="J94" s="6"/>
      <c r="K94" s="6"/>
      <c r="L94" s="6"/>
    </row>
    <row r="95" spans="1:18" s="23" customFormat="1" x14ac:dyDescent="0.2">
      <c r="B95" s="6" t="s">
        <v>2</v>
      </c>
      <c r="C95" s="6">
        <v>9.3553393643548048</v>
      </c>
      <c r="D95" s="6">
        <v>0.14132938861965177</v>
      </c>
      <c r="E95" s="6">
        <f>VARP(dataset!$C$2:$C$1339)</f>
        <v>37.16008997478788</v>
      </c>
      <c r="F95" s="6"/>
      <c r="G95" s="6"/>
      <c r="H95" s="6"/>
      <c r="I95" s="6"/>
      <c r="J95" s="6"/>
      <c r="K95" s="6"/>
      <c r="L95" s="6"/>
    </row>
    <row r="96" spans="1:18" s="23" customFormat="1" x14ac:dyDescent="0.2">
      <c r="B96" s="6" t="s">
        <v>3</v>
      </c>
      <c r="C96" s="6">
        <v>0.71876515156593035</v>
      </c>
      <c r="D96" s="6">
        <v>1.0340489899700819E-2</v>
      </c>
      <c r="E96" s="6">
        <v>9.372466267168042E-2</v>
      </c>
      <c r="F96" s="6">
        <f>VARP(dataset!$D$2:$D$1339)</f>
        <v>1.4521266374862867</v>
      </c>
      <c r="G96" s="6"/>
      <c r="H96" s="6"/>
      <c r="I96" s="6"/>
      <c r="J96" s="6"/>
      <c r="K96" s="6"/>
      <c r="L96" s="6"/>
    </row>
    <row r="97" spans="1:12" s="23" customFormat="1" x14ac:dyDescent="0.2">
      <c r="B97" s="6" t="s">
        <v>4</v>
      </c>
      <c r="C97" s="6">
        <v>-0.14179743096471756</v>
      </c>
      <c r="D97" s="6">
        <v>1.5371089080594889E-2</v>
      </c>
      <c r="E97" s="6">
        <v>9.2259044018580885E-3</v>
      </c>
      <c r="F97" s="6">
        <v>3.7313349465211911E-3</v>
      </c>
      <c r="G97" s="6">
        <f>VARP(dataset!$E$2:$E$1339)</f>
        <v>0.16284707559416481</v>
      </c>
      <c r="H97" s="6"/>
      <c r="I97" s="6"/>
      <c r="J97" s="6"/>
      <c r="K97" s="6"/>
      <c r="L97" s="6"/>
    </row>
    <row r="98" spans="1:12" s="23" customFormat="1" x14ac:dyDescent="0.2">
      <c r="B98" s="6" t="s">
        <v>129</v>
      </c>
      <c r="C98" s="6">
        <v>1.4890707635383632E-2</v>
      </c>
      <c r="D98" s="6">
        <v>-5.1948226051867492E-4</v>
      </c>
      <c r="E98" s="6">
        <v>-0.36078145213725016</v>
      </c>
      <c r="F98" s="6">
        <v>-1.177381407227175E-2</v>
      </c>
      <c r="G98" s="6">
        <v>4.8596727596911151E-4</v>
      </c>
      <c r="H98" s="6">
        <f>VARP(dataset!$F$2:$F$1339)</f>
        <v>0.18351464939974663</v>
      </c>
      <c r="I98" s="6"/>
      <c r="J98" s="6"/>
      <c r="K98" s="6"/>
      <c r="L98" s="6"/>
    </row>
    <row r="99" spans="1:12" s="23" customFormat="1" x14ac:dyDescent="0.2">
      <c r="B99" s="6" t="s">
        <v>130</v>
      </c>
      <c r="C99" s="6">
        <v>-2.4538554521060271E-3</v>
      </c>
      <c r="D99" s="6">
        <v>-2.3918527306891956E-3</v>
      </c>
      <c r="E99" s="6">
        <v>-0.3555111956805887</v>
      </c>
      <c r="F99" s="6">
        <v>1.2818923007143209E-2</v>
      </c>
      <c r="G99" s="6">
        <v>-6.3935418859103607E-3</v>
      </c>
      <c r="H99" s="6">
        <v>-5.8818797884533057E-2</v>
      </c>
      <c r="I99" s="6">
        <f>VARP(dataset!$I$2:$I$1339)</f>
        <v>0.18389951313899111</v>
      </c>
      <c r="J99" s="6"/>
      <c r="K99" s="6"/>
      <c r="L99" s="6"/>
    </row>
    <row r="100" spans="1:12" s="23" customFormat="1" x14ac:dyDescent="0.2">
      <c r="B100" s="6" t="s">
        <v>131</v>
      </c>
      <c r="C100" s="6">
        <v>-7.2763265789467457E-2</v>
      </c>
      <c r="D100" s="6">
        <v>3.8084194109852601E-3</v>
      </c>
      <c r="E100" s="6">
        <v>0.73251385844611039</v>
      </c>
      <c r="F100" s="6">
        <v>-1.2369263631102906E-2</v>
      </c>
      <c r="G100" s="6">
        <v>1.230111649585194E-2</v>
      </c>
      <c r="H100" s="6">
        <v>-6.5877053630679139E-2</v>
      </c>
      <c r="I100" s="6">
        <v>-6.608037787027983E-2</v>
      </c>
      <c r="J100" s="6">
        <f>VARP(dataset!$G$2:$G$1339)</f>
        <v>0.19803780937123655</v>
      </c>
      <c r="K100" s="6"/>
      <c r="L100" s="6"/>
    </row>
    <row r="101" spans="1:12" s="23" customFormat="1" x14ac:dyDescent="0.2">
      <c r="B101" s="6" t="s">
        <v>132</v>
      </c>
      <c r="C101" s="6">
        <v>6.032641360619001E-2</v>
      </c>
      <c r="D101" s="6">
        <v>-8.9708441977739278E-4</v>
      </c>
      <c r="E101" s="6">
        <v>-1.6221210628271872E-2</v>
      </c>
      <c r="F101" s="6">
        <v>1.1324154696231332E-2</v>
      </c>
      <c r="G101" s="6">
        <v>-6.3935418859104587E-3</v>
      </c>
      <c r="H101" s="6">
        <v>-5.8818797884532932E-2</v>
      </c>
      <c r="I101" s="6">
        <v>-5.9000337384178106E-2</v>
      </c>
      <c r="J101" s="6">
        <v>-6.6080377870279913E-2</v>
      </c>
      <c r="K101" s="6">
        <f>VARP(dataset!$H$2:$H$1339)</f>
        <v>0.18389951313899111</v>
      </c>
      <c r="L101" s="6"/>
    </row>
    <row r="102" spans="1:12" s="23" customFormat="1" ht="16" thickBot="1" x14ac:dyDescent="0.25">
      <c r="B102" s="7" t="s">
        <v>16</v>
      </c>
      <c r="C102" s="7">
        <v>50836.779276709232</v>
      </c>
      <c r="D102" s="7">
        <v>346.75511577317707</v>
      </c>
      <c r="E102" s="7">
        <v>14636.357263073798</v>
      </c>
      <c r="F102" s="7">
        <v>991.93228808524725</v>
      </c>
      <c r="G102" s="7">
        <v>3845.7905987976751</v>
      </c>
      <c r="H102" s="7">
        <v>32.923594471773733</v>
      </c>
      <c r="I102" s="7">
        <v>-207.15638238483388</v>
      </c>
      <c r="J102" s="7">
        <v>398.54712913197545</v>
      </c>
      <c r="K102" s="7">
        <v>-224.31434121891496</v>
      </c>
      <c r="L102" s="7">
        <f>VARP(dataset!$J$2:$J$1339)</f>
        <v>146542766.49354815</v>
      </c>
    </row>
    <row r="103" spans="1:12" s="23" customFormat="1" ht="16" thickBot="1" x14ac:dyDescent="0.25"/>
    <row r="104" spans="1:12" s="23" customFormat="1" ht="21" thickBot="1" x14ac:dyDescent="0.3">
      <c r="A104" s="38" t="s">
        <v>276</v>
      </c>
      <c r="B104" s="8"/>
      <c r="C104" s="8" t="s">
        <v>0</v>
      </c>
      <c r="D104" s="8" t="s">
        <v>1</v>
      </c>
      <c r="E104" s="8" t="s">
        <v>2</v>
      </c>
      <c r="F104" s="8" t="s">
        <v>3</v>
      </c>
      <c r="G104" s="8" t="s">
        <v>4</v>
      </c>
      <c r="H104" s="8" t="s">
        <v>129</v>
      </c>
      <c r="I104" s="8" t="s">
        <v>130</v>
      </c>
      <c r="J104" s="8" t="s">
        <v>131</v>
      </c>
      <c r="K104" s="8" t="s">
        <v>132</v>
      </c>
      <c r="L104" s="8" t="s">
        <v>16</v>
      </c>
    </row>
    <row r="105" spans="1:12" s="23" customFormat="1" ht="16" thickTop="1" x14ac:dyDescent="0.2">
      <c r="B105" s="6" t="s">
        <v>0</v>
      </c>
      <c r="C105" s="6">
        <v>1</v>
      </c>
      <c r="D105" s="6"/>
      <c r="E105" s="6"/>
      <c r="F105" s="6"/>
      <c r="G105" s="6"/>
      <c r="H105" s="6"/>
      <c r="I105" s="6"/>
      <c r="J105" s="6"/>
      <c r="K105" s="6"/>
      <c r="L105" s="6"/>
    </row>
    <row r="106" spans="1:12" s="23" customFormat="1" x14ac:dyDescent="0.2">
      <c r="B106" s="6" t="s">
        <v>1</v>
      </c>
      <c r="C106" s="6">
        <v>-2.0855872182863163E-2</v>
      </c>
      <c r="D106" s="6">
        <v>1</v>
      </c>
      <c r="E106" s="6"/>
      <c r="F106" s="6"/>
      <c r="G106" s="6"/>
      <c r="H106" s="6"/>
      <c r="I106" s="6"/>
      <c r="J106" s="6"/>
      <c r="K106" s="6"/>
      <c r="L106" s="6"/>
    </row>
    <row r="107" spans="1:12" s="23" customFormat="1" x14ac:dyDescent="0.2">
      <c r="B107" s="6" t="s">
        <v>2</v>
      </c>
      <c r="C107" s="6">
        <v>0.10927188154853502</v>
      </c>
      <c r="D107" s="6">
        <v>4.637115064629492E-2</v>
      </c>
      <c r="E107" s="6">
        <v>1</v>
      </c>
      <c r="F107" s="6"/>
      <c r="G107" s="6"/>
      <c r="H107" s="6"/>
      <c r="I107" s="6"/>
      <c r="J107" s="6"/>
      <c r="K107" s="6"/>
      <c r="L107" s="6"/>
    </row>
    <row r="108" spans="1:12" s="23" customFormat="1" x14ac:dyDescent="0.2">
      <c r="B108" s="6" t="s">
        <v>3</v>
      </c>
      <c r="C108" s="6">
        <v>4.2468998558849488E-2</v>
      </c>
      <c r="D108" s="6">
        <v>1.7162977748757559E-2</v>
      </c>
      <c r="E108" s="6">
        <v>1.275890082067385E-2</v>
      </c>
      <c r="F108" s="6">
        <v>1</v>
      </c>
      <c r="G108" s="6"/>
      <c r="H108" s="6"/>
      <c r="I108" s="6"/>
      <c r="J108" s="6"/>
      <c r="K108" s="6"/>
      <c r="L108" s="6"/>
    </row>
    <row r="109" spans="1:12" s="23" customFormat="1" x14ac:dyDescent="0.2">
      <c r="B109" s="6" t="s">
        <v>4</v>
      </c>
      <c r="C109" s="6">
        <v>-2.5018751536284814E-2</v>
      </c>
      <c r="D109" s="6">
        <v>7.6184816921096687E-2</v>
      </c>
      <c r="E109" s="6">
        <v>3.7504259049803363E-3</v>
      </c>
      <c r="F109" s="6">
        <v>7.673120307710949E-3</v>
      </c>
      <c r="G109" s="6">
        <v>1</v>
      </c>
      <c r="H109" s="6"/>
      <c r="I109" s="6"/>
      <c r="J109" s="6"/>
      <c r="K109" s="6"/>
      <c r="L109" s="6"/>
    </row>
    <row r="110" spans="1:12" s="23" customFormat="1" x14ac:dyDescent="0.2">
      <c r="B110" s="6" t="s">
        <v>129</v>
      </c>
      <c r="C110" s="6">
        <v>2.4749545110750257E-3</v>
      </c>
      <c r="D110" s="6">
        <v>-2.4254321123319167E-3</v>
      </c>
      <c r="E110" s="6">
        <v>-0.13815622393591956</v>
      </c>
      <c r="F110" s="6">
        <v>-2.2807598444886914E-2</v>
      </c>
      <c r="G110" s="6">
        <v>2.8111348204510572E-3</v>
      </c>
      <c r="H110" s="6">
        <v>1</v>
      </c>
      <c r="I110" s="6"/>
      <c r="J110" s="6"/>
      <c r="K110" s="6"/>
      <c r="L110" s="6"/>
    </row>
    <row r="111" spans="1:12" s="23" customFormat="1" x14ac:dyDescent="0.2">
      <c r="B111" s="6" t="s">
        <v>130</v>
      </c>
      <c r="C111" s="6">
        <v>-4.0742337327850025E-4</v>
      </c>
      <c r="D111" s="6">
        <v>-1.115572800985374E-2</v>
      </c>
      <c r="E111" s="6">
        <v>-0.13599552371132875</v>
      </c>
      <c r="F111" s="6">
        <v>2.4806129311947173E-2</v>
      </c>
      <c r="G111" s="6">
        <v>-3.6945474017605638E-2</v>
      </c>
      <c r="H111" s="6">
        <v>-0.32017726125387458</v>
      </c>
      <c r="I111" s="6">
        <v>1</v>
      </c>
      <c r="J111" s="6"/>
      <c r="K111" s="6"/>
      <c r="L111" s="6"/>
    </row>
    <row r="112" spans="1:12" s="23" customFormat="1" ht="16" x14ac:dyDescent="0.2">
      <c r="B112" s="6" t="s">
        <v>131</v>
      </c>
      <c r="C112" s="6">
        <v>-1.1641940617228929E-2</v>
      </c>
      <c r="D112" s="6">
        <v>1.7116875189056333E-2</v>
      </c>
      <c r="E112" s="63">
        <v>0.27002464902846307</v>
      </c>
      <c r="F112" s="6">
        <v>-2.3065748005750737E-2</v>
      </c>
      <c r="G112" s="6">
        <v>6.8498410311752037E-2</v>
      </c>
      <c r="H112" s="6">
        <v>-0.34556101501803843</v>
      </c>
      <c r="I112" s="6">
        <v>-0.34626466140732615</v>
      </c>
      <c r="J112" s="6">
        <v>1</v>
      </c>
      <c r="K112" s="6"/>
      <c r="L112" s="6"/>
    </row>
    <row r="113" spans="1:12" s="23" customFormat="1" x14ac:dyDescent="0.2">
      <c r="B113" s="6" t="s">
        <v>132</v>
      </c>
      <c r="C113" s="6">
        <v>1.0016234211405352E-2</v>
      </c>
      <c r="D113" s="6">
        <v>-4.1840493189689056E-3</v>
      </c>
      <c r="E113" s="6">
        <v>-6.2051830193432488E-3</v>
      </c>
      <c r="F113" s="6">
        <v>2.191357617068726E-2</v>
      </c>
      <c r="G113" s="6">
        <v>-3.6945474017606193E-2</v>
      </c>
      <c r="H113" s="6">
        <v>-0.3201772612538738</v>
      </c>
      <c r="I113" s="6">
        <v>-0.32082922013819631</v>
      </c>
      <c r="J113" s="6">
        <v>-0.34626466140732637</v>
      </c>
      <c r="K113" s="6">
        <v>1</v>
      </c>
      <c r="L113" s="6"/>
    </row>
    <row r="114" spans="1:12" s="23" customFormat="1" ht="17" thickBot="1" x14ac:dyDescent="0.25">
      <c r="B114" s="7" t="s">
        <v>16</v>
      </c>
      <c r="C114" s="59">
        <v>0.29900819333064782</v>
      </c>
      <c r="D114" s="7">
        <v>5.7292062202025956E-2</v>
      </c>
      <c r="E114" s="59">
        <v>0.19834096883362906</v>
      </c>
      <c r="F114" s="7">
        <v>6.7998226847905102E-2</v>
      </c>
      <c r="G114" s="59">
        <v>0.78725143049846968</v>
      </c>
      <c r="H114" s="7">
        <v>6.3487712801559839E-3</v>
      </c>
      <c r="I114" s="7">
        <v>-3.9904864040437422E-2</v>
      </c>
      <c r="J114" s="7">
        <v>7.3981551565758905E-2</v>
      </c>
      <c r="K114" s="7">
        <v>-4.3210028991684177E-2</v>
      </c>
      <c r="L114" s="7">
        <v>1</v>
      </c>
    </row>
    <row r="115" spans="1:12" s="23" customFormat="1" ht="21" thickBot="1" x14ac:dyDescent="0.3">
      <c r="A115" s="26" t="s">
        <v>249</v>
      </c>
    </row>
    <row r="116" spans="1:12" s="23" customFormat="1" ht="16" thickTop="1" x14ac:dyDescent="0.2"/>
    <row r="117" spans="1:12" x14ac:dyDescent="0.2">
      <c r="A117" s="23" t="s">
        <v>238</v>
      </c>
      <c r="B117" t="s">
        <v>158</v>
      </c>
      <c r="C117" s="41" t="s">
        <v>159</v>
      </c>
      <c r="D117" s="41" t="s">
        <v>160</v>
      </c>
      <c r="E117" s="41" t="s">
        <v>161</v>
      </c>
      <c r="F117" s="41" t="s">
        <v>162</v>
      </c>
      <c r="G117" s="41" t="s">
        <v>163</v>
      </c>
      <c r="H117" s="41" t="s">
        <v>164</v>
      </c>
      <c r="I117" s="41" t="s">
        <v>165</v>
      </c>
      <c r="J117" s="41" t="s">
        <v>166</v>
      </c>
    </row>
    <row r="118" spans="1:12" x14ac:dyDescent="0.2">
      <c r="A118" t="s">
        <v>167</v>
      </c>
      <c r="B118" t="s">
        <v>168</v>
      </c>
      <c r="C118" s="23" t="s">
        <v>169</v>
      </c>
      <c r="D118" s="23" t="s">
        <v>170</v>
      </c>
      <c r="E118" s="23" t="s">
        <v>171</v>
      </c>
      <c r="F118" s="23" t="s">
        <v>172</v>
      </c>
      <c r="G118" s="23" t="s">
        <v>173</v>
      </c>
      <c r="H118" s="23" t="s">
        <v>174</v>
      </c>
      <c r="I118" s="23" t="s">
        <v>175</v>
      </c>
      <c r="J118" s="23" t="s">
        <v>176</v>
      </c>
      <c r="K118" s="23" t="s">
        <v>177</v>
      </c>
      <c r="L118" t="s">
        <v>239</v>
      </c>
    </row>
    <row r="119" spans="1:12" s="23" customFormat="1" x14ac:dyDescent="0.2"/>
    <row r="120" spans="1:12" x14ac:dyDescent="0.2">
      <c r="C120" s="23"/>
      <c r="D120" s="23"/>
      <c r="E120" s="23"/>
      <c r="F120" s="23"/>
      <c r="G120" s="23"/>
      <c r="H120" s="23"/>
      <c r="I120" s="23"/>
      <c r="J120" s="23"/>
      <c r="K120" s="23"/>
    </row>
    <row r="121" spans="1:12" x14ac:dyDescent="0.2">
      <c r="A121" t="s">
        <v>273</v>
      </c>
      <c r="C121" s="23"/>
      <c r="D121" s="23"/>
      <c r="E121" s="23"/>
      <c r="F121" s="23"/>
      <c r="G121" s="23"/>
      <c r="H121" s="23"/>
      <c r="I121" s="23"/>
      <c r="J121" s="23"/>
      <c r="K121" s="23"/>
    </row>
    <row r="122" spans="1:12" x14ac:dyDescent="0.2">
      <c r="A122" t="s">
        <v>274</v>
      </c>
      <c r="C122" s="23"/>
      <c r="D122" s="23"/>
      <c r="E122" s="23"/>
      <c r="F122" s="23"/>
      <c r="G122" s="23"/>
      <c r="H122" s="23"/>
      <c r="I122" s="23"/>
      <c r="J122" s="23"/>
      <c r="K122" s="23"/>
    </row>
    <row r="123" spans="1:12" x14ac:dyDescent="0.2">
      <c r="B123" t="s">
        <v>277</v>
      </c>
      <c r="C123" s="23" t="s">
        <v>278</v>
      </c>
      <c r="D123" s="23" t="s">
        <v>281</v>
      </c>
      <c r="E123" s="23" t="s">
        <v>282</v>
      </c>
      <c r="F123" s="23" t="s">
        <v>283</v>
      </c>
      <c r="G123" s="23" t="s">
        <v>284</v>
      </c>
      <c r="H123" s="23" t="s">
        <v>285</v>
      </c>
      <c r="I123" s="23" t="s">
        <v>286</v>
      </c>
      <c r="J123" s="23" t="s">
        <v>287</v>
      </c>
      <c r="K123" s="23"/>
    </row>
    <row r="124" spans="1:12" x14ac:dyDescent="0.2">
      <c r="A124" s="41"/>
      <c r="B124">
        <f>SLOPE(regression[charges],regression[age])</f>
        <v>257.72261866689519</v>
      </c>
      <c r="C124" s="23">
        <f>SLOPE(dataset!$J$2:$J$1339,regression[sex])</f>
        <v>1387.1723338865741</v>
      </c>
      <c r="D124" s="23">
        <f>SLOPE(dataset!$J$2:$J$1339,regression[bmi])</f>
        <v>393.87303079739513</v>
      </c>
      <c r="E124" s="23">
        <f>SLOPE(dataset!$J$2:$J$1339,regression[children])</f>
        <v>683.08938248136894</v>
      </c>
      <c r="F124" s="23">
        <f>SLOPE(dataset!$J$2:$J$1339,regression[smoker])</f>
        <v>23615.963533676193</v>
      </c>
      <c r="G124" s="23">
        <f>SLOPE(dataset!$J$2:$J$1339,regression[NorthEast])</f>
        <v>179.40581081380577</v>
      </c>
      <c r="H124" s="23">
        <f>SLOPE(dataset!$J$2:$J$1339,regression[NorthWest])</f>
        <v>-1126.4650941640052</v>
      </c>
      <c r="I124" s="23">
        <f>SLOPE(dataset!$J$2:$J$1339,regression[SouthEast])</f>
        <v>2012.4799925697996</v>
      </c>
      <c r="J124" s="23">
        <f>SLOPE(dataset!$J$2:$J$1339,regression[SouthWest])</f>
        <v>-1219.7658242269088</v>
      </c>
      <c r="K124" s="6">
        <v>-12291.502475591853</v>
      </c>
    </row>
    <row r="125" spans="1:12" x14ac:dyDescent="0.2">
      <c r="A125" s="41"/>
      <c r="C125" s="23"/>
      <c r="D125" s="23"/>
      <c r="E125" s="23"/>
      <c r="F125" s="23"/>
      <c r="G125" s="23"/>
      <c r="H125" s="23"/>
      <c r="I125" s="23"/>
      <c r="J125" s="23"/>
      <c r="K125" s="23"/>
    </row>
    <row r="126" spans="1:12" x14ac:dyDescent="0.2">
      <c r="A126" s="41"/>
      <c r="B126" t="s">
        <v>279</v>
      </c>
      <c r="C126" s="23" t="s">
        <v>280</v>
      </c>
      <c r="D126" s="23" t="s">
        <v>288</v>
      </c>
      <c r="E126" s="23" t="s">
        <v>289</v>
      </c>
      <c r="F126" s="23" t="s">
        <v>290</v>
      </c>
      <c r="G126" s="23" t="s">
        <v>291</v>
      </c>
      <c r="H126" s="23" t="s">
        <v>292</v>
      </c>
      <c r="I126" s="23" t="s">
        <v>293</v>
      </c>
      <c r="J126" s="23" t="s">
        <v>294</v>
      </c>
      <c r="K126" s="23"/>
    </row>
    <row r="127" spans="1:12" x14ac:dyDescent="0.2">
      <c r="A127" s="41"/>
      <c r="B127">
        <f>INTERCEPT(regression[charges],regression[age])</f>
        <v>3165.8850060630393</v>
      </c>
      <c r="C127" s="23">
        <f>INTERCEPT(dataset!$J$2:$J$1339,regression[sex])</f>
        <v>12569.578843835334</v>
      </c>
      <c r="D127" s="23">
        <f>INTERCEPT(dataset!$J$2:$J$1339,regression[bmi])</f>
        <v>1192.937208961157</v>
      </c>
      <c r="E127" s="23">
        <f>INTERCEPT(dataset!$J$2:$J$1339,regression[children])</f>
        <v>12522.495549644093</v>
      </c>
      <c r="F127" s="23">
        <f>INTERCEPT(dataset!$J$2:$J$1339,regression[smoker])</f>
        <v>8434.2682978562952</v>
      </c>
      <c r="G127" s="23">
        <f>INTERCEPT(dataset!$J$2:$J$1339,regression[NorthEast])</f>
        <v>13226.978705571993</v>
      </c>
      <c r="H127" s="23">
        <f>INTERCEPT(dataset!$J$2:$J$1339,regression[NorthWest])</f>
        <v>13544.04046813326</v>
      </c>
      <c r="I127" s="23">
        <f>INTERCEPT(dataset!$J$2:$J$1339,regression[SouthEast])</f>
        <v>12722.931445040056</v>
      </c>
      <c r="J127" s="23">
        <f>INTERCEPT(dataset!$J$2:$J$1339,regression[SouthWest])</f>
        <v>13566.703201519242</v>
      </c>
      <c r="K127" s="23"/>
    </row>
    <row r="128" spans="1:12" x14ac:dyDescent="0.2">
      <c r="C128" s="23"/>
      <c r="D128" s="23"/>
      <c r="E128" s="23"/>
      <c r="F128" s="23"/>
      <c r="G128" s="23"/>
      <c r="H128" s="23"/>
      <c r="I128" s="23"/>
      <c r="J128" s="23"/>
      <c r="K128" s="23"/>
    </row>
    <row r="129" spans="1:11" ht="16" x14ac:dyDescent="0.2">
      <c r="A129" s="61" t="s">
        <v>295</v>
      </c>
      <c r="C129" s="23"/>
      <c r="D129" s="23"/>
      <c r="E129" s="23"/>
      <c r="F129" s="23"/>
      <c r="G129" s="23"/>
      <c r="H129" s="23"/>
      <c r="I129" s="23"/>
      <c r="J129" s="23"/>
      <c r="K129" s="23"/>
    </row>
    <row r="130" spans="1:11" x14ac:dyDescent="0.2">
      <c r="A130" s="4" t="s">
        <v>304</v>
      </c>
      <c r="C130" s="23"/>
      <c r="D130" s="23"/>
      <c r="E130" s="23"/>
      <c r="F130" s="23"/>
      <c r="G130" s="23"/>
      <c r="H130" s="23"/>
      <c r="I130" s="23"/>
      <c r="J130" s="23"/>
      <c r="K130" s="23"/>
    </row>
    <row r="131" spans="1:11" x14ac:dyDescent="0.2">
      <c r="A131" s="4" t="s">
        <v>303</v>
      </c>
      <c r="B131" s="23"/>
      <c r="C131" s="23"/>
      <c r="D131" s="23"/>
      <c r="E131" s="23"/>
      <c r="F131" s="23"/>
      <c r="G131" s="23"/>
      <c r="H131" s="23"/>
      <c r="I131" s="23"/>
      <c r="J131" s="23"/>
      <c r="K131" s="23"/>
    </row>
    <row r="132" spans="1:11" x14ac:dyDescent="0.2">
      <c r="A132" s="4"/>
      <c r="B132" s="23"/>
      <c r="C132" s="23"/>
      <c r="D132" s="23"/>
      <c r="E132" s="23"/>
      <c r="F132" s="23"/>
      <c r="G132" s="23"/>
      <c r="H132" s="23"/>
      <c r="I132" s="23"/>
      <c r="J132" s="23"/>
      <c r="K132" s="23"/>
    </row>
    <row r="133" spans="1:11" x14ac:dyDescent="0.2">
      <c r="A133" s="4"/>
      <c r="B133" s="23"/>
      <c r="C133" s="23"/>
      <c r="D133" s="23"/>
      <c r="E133" s="23"/>
      <c r="F133" s="23"/>
      <c r="G133" s="23"/>
      <c r="H133" s="23"/>
      <c r="I133" s="23"/>
      <c r="J133" s="23"/>
      <c r="K133" s="23"/>
    </row>
    <row r="134" spans="1:11" x14ac:dyDescent="0.2">
      <c r="A134" s="4" t="s">
        <v>299</v>
      </c>
      <c r="C134" s="23"/>
      <c r="D134" s="23"/>
      <c r="E134" s="23"/>
      <c r="F134" s="23"/>
      <c r="G134" s="23"/>
      <c r="H134" s="23"/>
      <c r="I134" s="23"/>
      <c r="J134" s="23"/>
      <c r="K134" s="23"/>
    </row>
    <row r="135" spans="1:11" x14ac:dyDescent="0.2">
      <c r="A135" s="4" t="s">
        <v>301</v>
      </c>
      <c r="C135" s="23"/>
      <c r="D135" s="23"/>
      <c r="E135" s="23"/>
      <c r="F135" s="23"/>
      <c r="G135" s="23"/>
      <c r="H135" s="23"/>
      <c r="I135" s="23"/>
      <c r="J135" s="23"/>
      <c r="K135" s="23"/>
    </row>
    <row r="136" spans="1:11" x14ac:dyDescent="0.2">
      <c r="A136" s="4" t="s">
        <v>302</v>
      </c>
      <c r="G136" s="23"/>
      <c r="H136" s="23"/>
      <c r="I136" s="23"/>
    </row>
    <row r="137" spans="1:11" x14ac:dyDescent="0.2">
      <c r="G137" s="23"/>
      <c r="H137" s="23"/>
      <c r="I137" s="23"/>
    </row>
    <row r="138" spans="1:11" x14ac:dyDescent="0.2">
      <c r="G138" s="23"/>
      <c r="H138" s="23"/>
      <c r="I138" s="23"/>
    </row>
    <row r="139" spans="1:11" x14ac:dyDescent="0.2">
      <c r="G139" s="23"/>
      <c r="H139" s="23"/>
      <c r="I139" s="23"/>
    </row>
    <row r="140" spans="1:11" x14ac:dyDescent="0.2">
      <c r="A140" s="4" t="s">
        <v>305</v>
      </c>
      <c r="G140" s="23"/>
      <c r="H140" s="23"/>
      <c r="I140" s="23"/>
    </row>
    <row r="141" spans="1:11" x14ac:dyDescent="0.2">
      <c r="A141" s="4" t="s">
        <v>306</v>
      </c>
      <c r="G141" s="23"/>
      <c r="H141" s="23"/>
      <c r="I141" s="23"/>
    </row>
    <row r="142" spans="1:11" x14ac:dyDescent="0.2">
      <c r="G142" s="23"/>
      <c r="H142" s="23"/>
      <c r="I142" s="23"/>
    </row>
    <row r="143" spans="1:11" x14ac:dyDescent="0.2">
      <c r="A143" s="4" t="s">
        <v>309</v>
      </c>
      <c r="G143" s="23"/>
      <c r="H143" s="23"/>
      <c r="I143" s="23"/>
    </row>
    <row r="144" spans="1:11" x14ac:dyDescent="0.2">
      <c r="G144" s="23"/>
      <c r="H144" s="23"/>
      <c r="I144" s="23"/>
    </row>
    <row r="145" spans="2:9" x14ac:dyDescent="0.2">
      <c r="G145" s="23"/>
      <c r="H145" s="23"/>
      <c r="I145" s="23"/>
    </row>
    <row r="146" spans="2:9" x14ac:dyDescent="0.2">
      <c r="G146" s="23"/>
      <c r="H146" s="23"/>
      <c r="I146" s="23"/>
    </row>
    <row r="147" spans="2:9" x14ac:dyDescent="0.2">
      <c r="G147" s="23"/>
      <c r="H147" s="23"/>
      <c r="I147" s="23"/>
    </row>
    <row r="148" spans="2:9" x14ac:dyDescent="0.2">
      <c r="G148" s="23"/>
      <c r="H148" s="23"/>
      <c r="I148" s="23"/>
    </row>
    <row r="149" spans="2:9" x14ac:dyDescent="0.2">
      <c r="G149" s="23"/>
      <c r="H149" s="23"/>
      <c r="I149" s="23"/>
    </row>
    <row r="150" spans="2:9" x14ac:dyDescent="0.2">
      <c r="B150" s="23"/>
      <c r="C150" s="23"/>
      <c r="D150" s="23"/>
      <c r="E150" s="23"/>
      <c r="F150" s="23"/>
      <c r="G150" s="23"/>
      <c r="H150" s="23"/>
      <c r="I150" s="23"/>
    </row>
    <row r="151" spans="2:9" x14ac:dyDescent="0.2">
      <c r="B151" s="23"/>
      <c r="C151" s="23"/>
      <c r="D151" s="23"/>
      <c r="E151" s="23"/>
      <c r="F151" s="23"/>
      <c r="G151" s="23"/>
      <c r="H151" s="23"/>
      <c r="I151" s="23"/>
    </row>
    <row r="152" spans="2:9" x14ac:dyDescent="0.2">
      <c r="B152" s="23"/>
      <c r="C152" s="23"/>
      <c r="D152" s="23"/>
      <c r="E152" s="23"/>
      <c r="F152" s="23"/>
      <c r="G152" s="23"/>
      <c r="H152" s="23"/>
      <c r="I152" s="23"/>
    </row>
    <row r="153" spans="2:9" x14ac:dyDescent="0.2">
      <c r="B153" s="23"/>
      <c r="C153" s="23"/>
      <c r="D153" s="23"/>
      <c r="E153" s="23"/>
      <c r="F153" s="23"/>
      <c r="G153" s="23"/>
      <c r="H153" s="23"/>
      <c r="I153" s="23"/>
    </row>
    <row r="154" spans="2:9" x14ac:dyDescent="0.2">
      <c r="B154" s="23"/>
      <c r="C154" s="23"/>
      <c r="D154" s="23"/>
      <c r="E154" s="23"/>
      <c r="F154" s="23"/>
      <c r="G154" s="23"/>
      <c r="H154" s="23"/>
      <c r="I154" s="23"/>
    </row>
    <row r="155" spans="2:9" x14ac:dyDescent="0.2">
      <c r="B155" s="23"/>
      <c r="C155" s="23"/>
      <c r="D155" s="23"/>
      <c r="E155" s="23"/>
      <c r="F155" s="23"/>
      <c r="G155" s="23"/>
      <c r="H155" s="23"/>
      <c r="I155" s="23"/>
    </row>
    <row r="156" spans="2:9" x14ac:dyDescent="0.2">
      <c r="B156" s="23"/>
      <c r="C156" s="23"/>
      <c r="D156" s="23"/>
      <c r="E156" s="23"/>
      <c r="F156" s="23"/>
      <c r="G156" s="23"/>
      <c r="H156" s="23"/>
      <c r="I156" s="23"/>
    </row>
    <row r="157" spans="2:9" x14ac:dyDescent="0.2">
      <c r="B157" s="23"/>
      <c r="C157" s="23"/>
      <c r="D157" s="23"/>
      <c r="E157" s="23"/>
      <c r="F157" s="23"/>
      <c r="G157" s="23"/>
      <c r="H157" s="23"/>
      <c r="I157" s="23"/>
    </row>
    <row r="158" spans="2:9" x14ac:dyDescent="0.2">
      <c r="B158" s="23"/>
      <c r="C158" s="23"/>
      <c r="D158" s="23"/>
      <c r="E158" s="23"/>
      <c r="F158" s="23"/>
      <c r="G158" s="23"/>
      <c r="H158" s="23"/>
      <c r="I158" s="23"/>
    </row>
    <row r="159" spans="2:9" x14ac:dyDescent="0.2">
      <c r="B159" s="23"/>
      <c r="C159" s="23"/>
      <c r="D159" s="23"/>
      <c r="E159" s="23"/>
      <c r="F159" s="23"/>
      <c r="G159" s="23"/>
      <c r="H159" s="23"/>
      <c r="I159" s="23"/>
    </row>
    <row r="160" spans="2:9" x14ac:dyDescent="0.2">
      <c r="B160" s="23"/>
      <c r="C160" s="23"/>
      <c r="D160" s="23"/>
      <c r="E160" s="23"/>
      <c r="F160" s="23"/>
      <c r="G160" s="23"/>
      <c r="H160" s="23"/>
      <c r="I160" s="23"/>
    </row>
    <row r="161" spans="2:9" x14ac:dyDescent="0.2">
      <c r="B161" s="23"/>
      <c r="C161" s="23"/>
      <c r="D161" s="23"/>
      <c r="E161" s="23"/>
      <c r="F161" s="23"/>
      <c r="G161" s="23"/>
      <c r="H161" s="23"/>
      <c r="I161" s="23"/>
    </row>
    <row r="162" spans="2:9" x14ac:dyDescent="0.2">
      <c r="B162" s="23"/>
      <c r="C162" s="23"/>
      <c r="D162" s="23"/>
      <c r="E162" s="23"/>
      <c r="F162" s="23"/>
      <c r="G162" s="23"/>
      <c r="H162" s="23"/>
      <c r="I162" s="23"/>
    </row>
    <row r="163" spans="2:9" x14ac:dyDescent="0.2">
      <c r="B163" s="23"/>
      <c r="C163" s="23"/>
      <c r="D163" s="23"/>
      <c r="E163" s="23"/>
      <c r="F163" s="23"/>
      <c r="G163" s="23"/>
      <c r="H163" s="23"/>
      <c r="I163" s="23"/>
    </row>
    <row r="164" spans="2:9" x14ac:dyDescent="0.2">
      <c r="B164" s="23"/>
      <c r="C164" s="23"/>
      <c r="D164" s="23"/>
      <c r="E164" s="23"/>
      <c r="F164" s="23"/>
      <c r="G164" s="23"/>
      <c r="H164" s="23"/>
      <c r="I164" s="23"/>
    </row>
    <row r="165" spans="2:9" x14ac:dyDescent="0.2">
      <c r="B165" s="23"/>
      <c r="C165" s="23"/>
      <c r="D165" s="23"/>
      <c r="E165" s="23"/>
      <c r="F165" s="23"/>
      <c r="G165" s="23"/>
      <c r="H165" s="23"/>
      <c r="I165" s="23"/>
    </row>
    <row r="166" spans="2:9" x14ac:dyDescent="0.2">
      <c r="B166" s="23"/>
      <c r="C166" s="23"/>
      <c r="D166" s="23"/>
      <c r="E166" s="23"/>
      <c r="F166" s="23"/>
      <c r="G166" s="23"/>
      <c r="H166" s="23"/>
      <c r="I166" s="23"/>
    </row>
    <row r="167" spans="2:9" x14ac:dyDescent="0.2">
      <c r="B167" s="23"/>
      <c r="C167" s="23"/>
      <c r="D167" s="23"/>
      <c r="E167" s="23"/>
      <c r="F167" s="23"/>
      <c r="G167" s="23"/>
      <c r="H167" s="23"/>
      <c r="I167" s="23"/>
    </row>
    <row r="168" spans="2:9" x14ac:dyDescent="0.2">
      <c r="B168" s="23"/>
      <c r="C168" s="23"/>
      <c r="D168" s="23"/>
      <c r="E168" s="23"/>
      <c r="F168" s="23"/>
      <c r="G168" s="23"/>
      <c r="H168" s="23"/>
      <c r="I168" s="23"/>
    </row>
    <row r="169" spans="2:9" x14ac:dyDescent="0.2">
      <c r="B169" s="23"/>
      <c r="C169" s="23"/>
      <c r="D169" s="23"/>
      <c r="E169" s="23"/>
      <c r="F169" s="23"/>
      <c r="G169" s="23"/>
      <c r="H169" s="23"/>
      <c r="I169" s="23"/>
    </row>
    <row r="170" spans="2:9" x14ac:dyDescent="0.2">
      <c r="B170" s="23"/>
      <c r="C170" s="23"/>
      <c r="D170" s="23"/>
      <c r="E170" s="23"/>
      <c r="F170" s="23"/>
      <c r="G170" s="23"/>
      <c r="H170" s="23"/>
      <c r="I170" s="23"/>
    </row>
    <row r="171" spans="2:9" x14ac:dyDescent="0.2">
      <c r="B171" s="23"/>
      <c r="C171" s="23"/>
      <c r="D171" s="23"/>
      <c r="E171" s="23"/>
      <c r="F171" s="23"/>
      <c r="G171" s="23"/>
      <c r="H171" s="23"/>
      <c r="I171" s="23"/>
    </row>
    <row r="172" spans="2:9" x14ac:dyDescent="0.2">
      <c r="B172" s="23"/>
      <c r="C172" s="23"/>
      <c r="D172" s="23"/>
      <c r="E172" s="23"/>
      <c r="F172" s="23"/>
      <c r="G172" s="23"/>
      <c r="H172" s="23"/>
      <c r="I172" s="23"/>
    </row>
    <row r="173" spans="2:9" x14ac:dyDescent="0.2">
      <c r="B173" s="23"/>
      <c r="C173" s="23"/>
      <c r="D173" s="23"/>
      <c r="E173" s="23"/>
      <c r="F173" s="23"/>
      <c r="G173" s="23"/>
      <c r="H173" s="23"/>
      <c r="I173" s="23"/>
    </row>
    <row r="174" spans="2:9" x14ac:dyDescent="0.2">
      <c r="B174" s="23"/>
      <c r="C174" s="23"/>
      <c r="D174" s="23"/>
      <c r="E174" s="23"/>
      <c r="F174" s="23"/>
      <c r="G174" s="23"/>
      <c r="H174" s="23"/>
      <c r="I174" s="23"/>
    </row>
    <row r="175" spans="2:9" x14ac:dyDescent="0.2">
      <c r="G175" s="23"/>
      <c r="H175" s="23"/>
      <c r="I175" s="23"/>
    </row>
    <row r="176" spans="2:9" x14ac:dyDescent="0.2">
      <c r="G176" s="23"/>
      <c r="H176" s="23"/>
      <c r="I176" s="23"/>
    </row>
    <row r="177" spans="7:9" x14ac:dyDescent="0.2">
      <c r="G177" s="23"/>
      <c r="H177" s="23"/>
      <c r="I177" s="23"/>
    </row>
    <row r="178" spans="7:9" x14ac:dyDescent="0.2">
      <c r="G178" s="23"/>
      <c r="H178" s="23"/>
      <c r="I178" s="23"/>
    </row>
    <row r="179" spans="7:9" x14ac:dyDescent="0.2">
      <c r="G179" s="23"/>
      <c r="H179" s="23"/>
      <c r="I179" s="23"/>
    </row>
    <row r="180" spans="7:9" x14ac:dyDescent="0.2">
      <c r="G180" s="23"/>
      <c r="H180" s="23"/>
      <c r="I180" s="23"/>
    </row>
    <row r="181" spans="7:9" x14ac:dyDescent="0.2">
      <c r="G181" s="23"/>
      <c r="H181" s="23"/>
      <c r="I181" s="23"/>
    </row>
    <row r="182" spans="7:9" x14ac:dyDescent="0.2">
      <c r="G182" s="23"/>
      <c r="H182" s="23"/>
      <c r="I182" s="23"/>
    </row>
    <row r="183" spans="7:9" x14ac:dyDescent="0.2">
      <c r="G183" s="23"/>
      <c r="H183" s="23"/>
      <c r="I183" s="23"/>
    </row>
    <row r="184" spans="7:9" x14ac:dyDescent="0.2">
      <c r="G184" s="23"/>
      <c r="H184" s="23"/>
      <c r="I184" s="23"/>
    </row>
    <row r="185" spans="7:9" x14ac:dyDescent="0.2">
      <c r="G185" s="23"/>
      <c r="H185" s="23"/>
      <c r="I185" s="23"/>
    </row>
    <row r="186" spans="7:9" x14ac:dyDescent="0.2">
      <c r="G186" s="23"/>
      <c r="H186" s="23"/>
      <c r="I186" s="23"/>
    </row>
    <row r="187" spans="7:9" x14ac:dyDescent="0.2">
      <c r="G187" s="23"/>
      <c r="H187" s="23"/>
      <c r="I187" s="23"/>
    </row>
    <row r="188" spans="7:9" x14ac:dyDescent="0.2">
      <c r="G188" s="23"/>
      <c r="H188" s="23"/>
      <c r="I188" s="23"/>
    </row>
    <row r="189" spans="7:9" x14ac:dyDescent="0.2">
      <c r="G189" s="23"/>
      <c r="H189" s="23"/>
      <c r="I189" s="23"/>
    </row>
    <row r="190" spans="7:9" x14ac:dyDescent="0.2">
      <c r="G190" s="23"/>
      <c r="H190" s="23"/>
      <c r="I190" s="23"/>
    </row>
    <row r="191" spans="7:9" x14ac:dyDescent="0.2">
      <c r="G191" s="23"/>
      <c r="H191" s="23"/>
      <c r="I191" s="23"/>
    </row>
    <row r="192" spans="7:9" x14ac:dyDescent="0.2">
      <c r="G192" s="23"/>
      <c r="H192" s="23"/>
      <c r="I192" s="23"/>
    </row>
    <row r="193" spans="7:9" x14ac:dyDescent="0.2">
      <c r="G193" s="23"/>
      <c r="H193" s="23"/>
      <c r="I193" s="23"/>
    </row>
    <row r="194" spans="7:9" x14ac:dyDescent="0.2">
      <c r="G194" s="23"/>
      <c r="H194" s="23"/>
      <c r="I194" s="23"/>
    </row>
    <row r="195" spans="7:9" x14ac:dyDescent="0.2">
      <c r="G195" s="23"/>
      <c r="H195" s="23"/>
      <c r="I195" s="23"/>
    </row>
    <row r="196" spans="7:9" x14ac:dyDescent="0.2">
      <c r="G196" s="23"/>
      <c r="H196" s="23"/>
      <c r="I196" s="23"/>
    </row>
    <row r="197" spans="7:9" x14ac:dyDescent="0.2">
      <c r="G197" s="23"/>
      <c r="H197" s="23"/>
      <c r="I197" s="23"/>
    </row>
    <row r="198" spans="7:9" x14ac:dyDescent="0.2">
      <c r="G198" s="23"/>
      <c r="H198" s="23"/>
      <c r="I198" s="23"/>
    </row>
    <row r="199" spans="7:9" x14ac:dyDescent="0.2">
      <c r="G199" s="23"/>
      <c r="H199" s="23"/>
      <c r="I199" s="23"/>
    </row>
    <row r="200" spans="7:9" x14ac:dyDescent="0.2">
      <c r="G200" s="23"/>
      <c r="H200" s="23"/>
      <c r="I200" s="23"/>
    </row>
    <row r="201" spans="7:9" x14ac:dyDescent="0.2">
      <c r="G201" s="23"/>
      <c r="H201" s="23"/>
      <c r="I201" s="23"/>
    </row>
    <row r="202" spans="7:9" x14ac:dyDescent="0.2">
      <c r="G202" s="23"/>
      <c r="H202" s="23"/>
      <c r="I202" s="23"/>
    </row>
    <row r="203" spans="7:9" x14ac:dyDescent="0.2">
      <c r="G203" s="23"/>
      <c r="H203" s="23"/>
      <c r="I203" s="23"/>
    </row>
    <row r="204" spans="7:9" x14ac:dyDescent="0.2">
      <c r="G204" s="23"/>
      <c r="H204" s="23"/>
      <c r="I204" s="23"/>
    </row>
    <row r="205" spans="7:9" x14ac:dyDescent="0.2">
      <c r="G205" s="23"/>
      <c r="H205" s="23"/>
      <c r="I205" s="23"/>
    </row>
    <row r="206" spans="7:9" x14ac:dyDescent="0.2">
      <c r="G206" s="23"/>
      <c r="H206" s="23"/>
      <c r="I206" s="23"/>
    </row>
    <row r="207" spans="7:9" x14ac:dyDescent="0.2">
      <c r="G207" s="23"/>
      <c r="H207" s="23"/>
      <c r="I207" s="23"/>
    </row>
    <row r="208" spans="7:9" x14ac:dyDescent="0.2">
      <c r="G208" s="23"/>
      <c r="H208" s="23"/>
      <c r="I208" s="23"/>
    </row>
    <row r="209" spans="7:9" x14ac:dyDescent="0.2">
      <c r="G209" s="23"/>
      <c r="H209" s="23"/>
      <c r="I209" s="23"/>
    </row>
    <row r="210" spans="7:9" x14ac:dyDescent="0.2">
      <c r="G210" s="23"/>
      <c r="H210" s="23"/>
      <c r="I210" s="23"/>
    </row>
    <row r="211" spans="7:9" x14ac:dyDescent="0.2">
      <c r="G211" s="23"/>
      <c r="H211" s="23"/>
      <c r="I211" s="23"/>
    </row>
    <row r="212" spans="7:9" x14ac:dyDescent="0.2">
      <c r="G212" s="23"/>
      <c r="H212" s="23"/>
      <c r="I212" s="23"/>
    </row>
    <row r="213" spans="7:9" x14ac:dyDescent="0.2">
      <c r="G213" s="23"/>
      <c r="H213" s="23"/>
      <c r="I213" s="23"/>
    </row>
    <row r="214" spans="7:9" x14ac:dyDescent="0.2">
      <c r="G214" s="23"/>
      <c r="H214" s="23"/>
      <c r="I214" s="23"/>
    </row>
    <row r="215" spans="7:9" x14ac:dyDescent="0.2">
      <c r="G215" s="23"/>
      <c r="H215" s="23"/>
      <c r="I215" s="23"/>
    </row>
    <row r="216" spans="7:9" x14ac:dyDescent="0.2">
      <c r="G216" s="23"/>
      <c r="H216" s="23"/>
      <c r="I216" s="23"/>
    </row>
    <row r="217" spans="7:9" x14ac:dyDescent="0.2">
      <c r="G217" s="23"/>
      <c r="H217" s="23"/>
      <c r="I217" s="23"/>
    </row>
    <row r="218" spans="7:9" x14ac:dyDescent="0.2">
      <c r="G218" s="23"/>
      <c r="H218" s="23"/>
      <c r="I218" s="23"/>
    </row>
    <row r="219" spans="7:9" x14ac:dyDescent="0.2">
      <c r="G219" s="23"/>
      <c r="H219" s="23"/>
      <c r="I219" s="23"/>
    </row>
    <row r="220" spans="7:9" x14ac:dyDescent="0.2">
      <c r="G220" s="23"/>
      <c r="H220" s="23"/>
      <c r="I220" s="23"/>
    </row>
    <row r="221" spans="7:9" x14ac:dyDescent="0.2">
      <c r="G221" s="23"/>
      <c r="H221" s="23"/>
      <c r="I221" s="23"/>
    </row>
    <row r="222" spans="7:9" x14ac:dyDescent="0.2">
      <c r="G222" s="23"/>
      <c r="H222" s="23"/>
      <c r="I222" s="23"/>
    </row>
    <row r="223" spans="7:9" x14ac:dyDescent="0.2">
      <c r="G223" s="23"/>
      <c r="H223" s="23"/>
      <c r="I223" s="23"/>
    </row>
    <row r="224" spans="7:9" x14ac:dyDescent="0.2">
      <c r="G224" s="23"/>
      <c r="H224" s="23"/>
      <c r="I224" s="23"/>
    </row>
    <row r="225" spans="7:9" x14ac:dyDescent="0.2">
      <c r="G225" s="23"/>
      <c r="H225" s="23"/>
      <c r="I225" s="23"/>
    </row>
    <row r="226" spans="7:9" x14ac:dyDescent="0.2">
      <c r="G226" s="23"/>
      <c r="H226" s="23"/>
      <c r="I226" s="23"/>
    </row>
    <row r="227" spans="7:9" x14ac:dyDescent="0.2">
      <c r="G227" s="23"/>
      <c r="H227" s="23"/>
      <c r="I227" s="23"/>
    </row>
    <row r="228" spans="7:9" x14ac:dyDescent="0.2">
      <c r="G228" s="23"/>
      <c r="H228" s="23"/>
      <c r="I228" s="23"/>
    </row>
    <row r="229" spans="7:9" x14ac:dyDescent="0.2">
      <c r="G229" s="23"/>
      <c r="H229" s="23"/>
      <c r="I229" s="23"/>
    </row>
    <row r="230" spans="7:9" x14ac:dyDescent="0.2">
      <c r="G230" s="23"/>
      <c r="H230" s="23"/>
      <c r="I230" s="23"/>
    </row>
    <row r="231" spans="7:9" x14ac:dyDescent="0.2">
      <c r="G231" s="23"/>
      <c r="H231" s="23"/>
      <c r="I231" s="23"/>
    </row>
    <row r="232" spans="7:9" x14ac:dyDescent="0.2">
      <c r="G232" s="23"/>
      <c r="H232" s="23"/>
      <c r="I232" s="23"/>
    </row>
    <row r="233" spans="7:9" x14ac:dyDescent="0.2">
      <c r="G233" s="23"/>
      <c r="H233" s="23"/>
      <c r="I233" s="23"/>
    </row>
    <row r="234" spans="7:9" x14ac:dyDescent="0.2">
      <c r="G234" s="23"/>
      <c r="H234" s="23"/>
      <c r="I234" s="23"/>
    </row>
    <row r="235" spans="7:9" x14ac:dyDescent="0.2">
      <c r="G235" s="23"/>
      <c r="H235" s="23"/>
      <c r="I235" s="23"/>
    </row>
    <row r="236" spans="7:9" x14ac:dyDescent="0.2">
      <c r="G236" s="23"/>
      <c r="H236" s="23"/>
      <c r="I236" s="23"/>
    </row>
    <row r="237" spans="7:9" x14ac:dyDescent="0.2">
      <c r="G237" s="23"/>
      <c r="H237" s="23"/>
      <c r="I237" s="23"/>
    </row>
    <row r="238" spans="7:9" x14ac:dyDescent="0.2">
      <c r="G238" s="23"/>
      <c r="H238" s="23"/>
      <c r="I238" s="23"/>
    </row>
    <row r="239" spans="7:9" x14ac:dyDescent="0.2">
      <c r="G239" s="23"/>
      <c r="H239" s="23"/>
      <c r="I239" s="23"/>
    </row>
    <row r="240" spans="7:9" x14ac:dyDescent="0.2">
      <c r="G240" s="23"/>
      <c r="H240" s="23"/>
      <c r="I240" s="23"/>
    </row>
    <row r="241" spans="7:9" x14ac:dyDescent="0.2">
      <c r="G241" s="23"/>
      <c r="H241" s="23"/>
      <c r="I241" s="23"/>
    </row>
    <row r="242" spans="7:9" x14ac:dyDescent="0.2">
      <c r="G242" s="23"/>
      <c r="H242" s="23"/>
      <c r="I242" s="23"/>
    </row>
    <row r="243" spans="7:9" x14ac:dyDescent="0.2">
      <c r="G243" s="23"/>
      <c r="H243" s="23"/>
      <c r="I243" s="23"/>
    </row>
    <row r="244" spans="7:9" x14ac:dyDescent="0.2">
      <c r="G244" s="23"/>
      <c r="H244" s="23"/>
      <c r="I244" s="23"/>
    </row>
    <row r="245" spans="7:9" x14ac:dyDescent="0.2">
      <c r="G245" s="23"/>
      <c r="H245" s="23"/>
      <c r="I245" s="23"/>
    </row>
    <row r="246" spans="7:9" x14ac:dyDescent="0.2">
      <c r="G246" s="23"/>
      <c r="H246" s="23"/>
      <c r="I246" s="23"/>
    </row>
    <row r="247" spans="7:9" x14ac:dyDescent="0.2">
      <c r="G247" s="23"/>
      <c r="H247" s="23"/>
      <c r="I247" s="23"/>
    </row>
    <row r="248" spans="7:9" x14ac:dyDescent="0.2">
      <c r="G248" s="23"/>
      <c r="H248" s="23"/>
      <c r="I248" s="23"/>
    </row>
    <row r="249" spans="7:9" x14ac:dyDescent="0.2">
      <c r="G249" s="23"/>
      <c r="H249" s="23"/>
      <c r="I249" s="23"/>
    </row>
    <row r="250" spans="7:9" x14ac:dyDescent="0.2">
      <c r="G250" s="23"/>
      <c r="H250" s="23"/>
      <c r="I250" s="23"/>
    </row>
    <row r="251" spans="7:9" x14ac:dyDescent="0.2">
      <c r="G251" s="23"/>
      <c r="H251" s="23"/>
      <c r="I251" s="23"/>
    </row>
    <row r="252" spans="7:9" x14ac:dyDescent="0.2">
      <c r="G252" s="23"/>
      <c r="H252" s="23"/>
      <c r="I252" s="23"/>
    </row>
    <row r="253" spans="7:9" x14ac:dyDescent="0.2">
      <c r="G253" s="23"/>
      <c r="H253" s="23"/>
      <c r="I253" s="23"/>
    </row>
    <row r="254" spans="7:9" x14ac:dyDescent="0.2">
      <c r="G254" s="23"/>
      <c r="H254" s="23"/>
      <c r="I254" s="23"/>
    </row>
    <row r="255" spans="7:9" x14ac:dyDescent="0.2">
      <c r="G255" s="23"/>
      <c r="H255" s="23"/>
      <c r="I255" s="23"/>
    </row>
    <row r="256" spans="7:9" x14ac:dyDescent="0.2">
      <c r="G256" s="23"/>
      <c r="H256" s="23"/>
      <c r="I256" s="23"/>
    </row>
    <row r="257" spans="7:9" x14ac:dyDescent="0.2">
      <c r="G257" s="23"/>
      <c r="H257" s="23"/>
      <c r="I257" s="23"/>
    </row>
    <row r="258" spans="7:9" x14ac:dyDescent="0.2">
      <c r="G258" s="23"/>
      <c r="H258" s="23"/>
      <c r="I258" s="23"/>
    </row>
    <row r="259" spans="7:9" x14ac:dyDescent="0.2">
      <c r="G259" s="23"/>
      <c r="H259" s="23"/>
      <c r="I259" s="23"/>
    </row>
    <row r="260" spans="7:9" x14ac:dyDescent="0.2">
      <c r="G260" s="23"/>
      <c r="H260" s="23"/>
      <c r="I260" s="23"/>
    </row>
    <row r="261" spans="7:9" x14ac:dyDescent="0.2">
      <c r="G261" s="23"/>
      <c r="H261" s="23"/>
      <c r="I261" s="23"/>
    </row>
    <row r="262" spans="7:9" x14ac:dyDescent="0.2">
      <c r="G262" s="23"/>
      <c r="H262" s="23"/>
      <c r="I262" s="23"/>
    </row>
    <row r="263" spans="7:9" x14ac:dyDescent="0.2">
      <c r="G263" s="23"/>
      <c r="H263" s="23"/>
      <c r="I263" s="23"/>
    </row>
    <row r="264" spans="7:9" x14ac:dyDescent="0.2">
      <c r="G264" s="23"/>
      <c r="H264" s="23"/>
      <c r="I264" s="23"/>
    </row>
    <row r="265" spans="7:9" x14ac:dyDescent="0.2">
      <c r="G265" s="23"/>
      <c r="H265" s="23"/>
      <c r="I265" s="23"/>
    </row>
    <row r="266" spans="7:9" x14ac:dyDescent="0.2">
      <c r="G266" s="23"/>
      <c r="H266" s="23"/>
      <c r="I266" s="23"/>
    </row>
    <row r="267" spans="7:9" x14ac:dyDescent="0.2">
      <c r="G267" s="23"/>
      <c r="H267" s="23"/>
      <c r="I267" s="23"/>
    </row>
    <row r="268" spans="7:9" x14ac:dyDescent="0.2">
      <c r="G268" s="23"/>
      <c r="H268" s="23"/>
      <c r="I268" s="23"/>
    </row>
    <row r="269" spans="7:9" x14ac:dyDescent="0.2">
      <c r="G269" s="23"/>
      <c r="H269" s="23"/>
      <c r="I269" s="23"/>
    </row>
    <row r="270" spans="7:9" x14ac:dyDescent="0.2">
      <c r="G270" s="23"/>
      <c r="H270" s="23"/>
      <c r="I270" s="23"/>
    </row>
    <row r="271" spans="7:9" x14ac:dyDescent="0.2">
      <c r="G271" s="23"/>
      <c r="H271" s="23"/>
      <c r="I271" s="23"/>
    </row>
    <row r="272" spans="7:9" x14ac:dyDescent="0.2">
      <c r="G272" s="23"/>
      <c r="H272" s="23"/>
      <c r="I272" s="23"/>
    </row>
    <row r="273" spans="7:9" x14ac:dyDescent="0.2">
      <c r="G273" s="23"/>
      <c r="H273" s="23"/>
      <c r="I273" s="23"/>
    </row>
    <row r="274" spans="7:9" x14ac:dyDescent="0.2">
      <c r="G274" s="23"/>
      <c r="H274" s="23"/>
      <c r="I274" s="23"/>
    </row>
    <row r="275" spans="7:9" x14ac:dyDescent="0.2">
      <c r="G275" s="23"/>
      <c r="H275" s="23"/>
      <c r="I275" s="23"/>
    </row>
    <row r="276" spans="7:9" x14ac:dyDescent="0.2">
      <c r="G276" s="23"/>
      <c r="H276" s="23"/>
      <c r="I276" s="23"/>
    </row>
    <row r="277" spans="7:9" x14ac:dyDescent="0.2">
      <c r="G277" s="23"/>
      <c r="H277" s="23"/>
      <c r="I277" s="23"/>
    </row>
    <row r="278" spans="7:9" x14ac:dyDescent="0.2">
      <c r="G278" s="23"/>
      <c r="H278" s="23"/>
      <c r="I278" s="23"/>
    </row>
    <row r="279" spans="7:9" x14ac:dyDescent="0.2">
      <c r="G279" s="23"/>
      <c r="H279" s="23"/>
      <c r="I279" s="23"/>
    </row>
    <row r="280" spans="7:9" x14ac:dyDescent="0.2">
      <c r="G280" s="23"/>
      <c r="H280" s="23"/>
      <c r="I280" s="23"/>
    </row>
    <row r="281" spans="7:9" x14ac:dyDescent="0.2">
      <c r="G281" s="23"/>
      <c r="H281" s="23"/>
      <c r="I281" s="23"/>
    </row>
    <row r="282" spans="7:9" x14ac:dyDescent="0.2">
      <c r="G282" s="23"/>
      <c r="H282" s="23"/>
      <c r="I282" s="23"/>
    </row>
    <row r="283" spans="7:9" x14ac:dyDescent="0.2">
      <c r="G283" s="23"/>
      <c r="H283" s="23"/>
      <c r="I283" s="23"/>
    </row>
    <row r="284" spans="7:9" x14ac:dyDescent="0.2">
      <c r="G284" s="23"/>
      <c r="H284" s="23"/>
      <c r="I284" s="23"/>
    </row>
    <row r="285" spans="7:9" x14ac:dyDescent="0.2">
      <c r="G285" s="23"/>
      <c r="H285" s="23"/>
      <c r="I285" s="23"/>
    </row>
    <row r="286" spans="7:9" x14ac:dyDescent="0.2">
      <c r="G286" s="23"/>
      <c r="H286" s="23"/>
      <c r="I286" s="23"/>
    </row>
    <row r="287" spans="7:9" x14ac:dyDescent="0.2">
      <c r="G287" s="23"/>
      <c r="H287" s="23"/>
      <c r="I287" s="23"/>
    </row>
    <row r="288" spans="7:9" x14ac:dyDescent="0.2">
      <c r="G288" s="23"/>
      <c r="H288" s="23"/>
      <c r="I288" s="23"/>
    </row>
    <row r="289" spans="7:9" x14ac:dyDescent="0.2">
      <c r="G289" s="23"/>
      <c r="H289" s="23"/>
      <c r="I289" s="23"/>
    </row>
    <row r="290" spans="7:9" x14ac:dyDescent="0.2">
      <c r="G290" s="23"/>
      <c r="H290" s="23"/>
      <c r="I290" s="23"/>
    </row>
    <row r="291" spans="7:9" x14ac:dyDescent="0.2">
      <c r="G291" s="23"/>
      <c r="H291" s="23"/>
      <c r="I291" s="23"/>
    </row>
    <row r="292" spans="7:9" x14ac:dyDescent="0.2">
      <c r="G292" s="23"/>
      <c r="H292" s="23"/>
      <c r="I292" s="23"/>
    </row>
    <row r="293" spans="7:9" x14ac:dyDescent="0.2">
      <c r="G293" s="23"/>
      <c r="H293" s="23"/>
      <c r="I293" s="23"/>
    </row>
    <row r="294" spans="7:9" x14ac:dyDescent="0.2">
      <c r="G294" s="23"/>
      <c r="H294" s="23"/>
      <c r="I294" s="23"/>
    </row>
    <row r="295" spans="7:9" x14ac:dyDescent="0.2">
      <c r="G295" s="23"/>
      <c r="H295" s="23"/>
      <c r="I295" s="23"/>
    </row>
    <row r="296" spans="7:9" x14ac:dyDescent="0.2">
      <c r="G296" s="23"/>
      <c r="H296" s="23"/>
      <c r="I296" s="23"/>
    </row>
    <row r="297" spans="7:9" x14ac:dyDescent="0.2">
      <c r="G297" s="23"/>
      <c r="H297" s="23"/>
      <c r="I297" s="23"/>
    </row>
    <row r="298" spans="7:9" x14ac:dyDescent="0.2">
      <c r="G298" s="23"/>
      <c r="H298" s="23"/>
      <c r="I298" s="23"/>
    </row>
    <row r="299" spans="7:9" x14ac:dyDescent="0.2">
      <c r="G299" s="23"/>
      <c r="H299" s="23"/>
      <c r="I299" s="23"/>
    </row>
    <row r="300" spans="7:9" x14ac:dyDescent="0.2">
      <c r="G300" s="23"/>
      <c r="H300" s="23"/>
      <c r="I300" s="23"/>
    </row>
    <row r="301" spans="7:9" x14ac:dyDescent="0.2">
      <c r="G301" s="23"/>
      <c r="H301" s="23"/>
      <c r="I301" s="23"/>
    </row>
    <row r="302" spans="7:9" x14ac:dyDescent="0.2">
      <c r="G302" s="23"/>
      <c r="H302" s="23"/>
      <c r="I302" s="23"/>
    </row>
    <row r="303" spans="7:9" x14ac:dyDescent="0.2">
      <c r="G303" s="23"/>
      <c r="H303" s="23"/>
      <c r="I303" s="23"/>
    </row>
    <row r="304" spans="7:9" x14ac:dyDescent="0.2">
      <c r="G304" s="23"/>
      <c r="H304" s="23"/>
      <c r="I304" s="23"/>
    </row>
    <row r="305" spans="7:9" x14ac:dyDescent="0.2">
      <c r="G305" s="23"/>
      <c r="H305" s="23"/>
      <c r="I305" s="23"/>
    </row>
    <row r="306" spans="7:9" x14ac:dyDescent="0.2">
      <c r="G306" s="23"/>
      <c r="H306" s="23"/>
      <c r="I306" s="23"/>
    </row>
    <row r="307" spans="7:9" x14ac:dyDescent="0.2">
      <c r="G307" s="23"/>
      <c r="H307" s="23"/>
      <c r="I307" s="23"/>
    </row>
    <row r="308" spans="7:9" x14ac:dyDescent="0.2">
      <c r="G308" s="23"/>
      <c r="H308" s="23"/>
      <c r="I308" s="23"/>
    </row>
    <row r="309" spans="7:9" x14ac:dyDescent="0.2">
      <c r="G309" s="23"/>
      <c r="H309" s="23"/>
      <c r="I309" s="23"/>
    </row>
    <row r="310" spans="7:9" x14ac:dyDescent="0.2">
      <c r="G310" s="23"/>
      <c r="H310" s="23"/>
      <c r="I310" s="23"/>
    </row>
    <row r="311" spans="7:9" x14ac:dyDescent="0.2">
      <c r="G311" s="23"/>
      <c r="H311" s="23"/>
      <c r="I311" s="23"/>
    </row>
    <row r="312" spans="7:9" x14ac:dyDescent="0.2">
      <c r="G312" s="23"/>
      <c r="H312" s="23"/>
      <c r="I312" s="23"/>
    </row>
    <row r="313" spans="7:9" x14ac:dyDescent="0.2">
      <c r="G313" s="23"/>
      <c r="H313" s="23"/>
      <c r="I313" s="23"/>
    </row>
    <row r="314" spans="7:9" x14ac:dyDescent="0.2">
      <c r="G314" s="23"/>
      <c r="H314" s="23"/>
      <c r="I314" s="23"/>
    </row>
    <row r="315" spans="7:9" x14ac:dyDescent="0.2">
      <c r="G315" s="23"/>
      <c r="H315" s="23"/>
      <c r="I315" s="23"/>
    </row>
    <row r="316" spans="7:9" x14ac:dyDescent="0.2">
      <c r="G316" s="23"/>
      <c r="H316" s="23"/>
      <c r="I316" s="23"/>
    </row>
    <row r="317" spans="7:9" x14ac:dyDescent="0.2">
      <c r="G317" s="23"/>
      <c r="H317" s="23"/>
      <c r="I317" s="23"/>
    </row>
    <row r="318" spans="7:9" x14ac:dyDescent="0.2">
      <c r="G318" s="23"/>
      <c r="H318" s="23"/>
      <c r="I318" s="23"/>
    </row>
    <row r="319" spans="7:9" x14ac:dyDescent="0.2">
      <c r="G319" s="23"/>
      <c r="H319" s="23"/>
      <c r="I319" s="23"/>
    </row>
    <row r="320" spans="7:9" x14ac:dyDescent="0.2">
      <c r="G320" s="23"/>
      <c r="H320" s="23"/>
      <c r="I320" s="23"/>
    </row>
    <row r="321" spans="7:9" x14ac:dyDescent="0.2">
      <c r="G321" s="23"/>
      <c r="H321" s="23"/>
      <c r="I321" s="23"/>
    </row>
    <row r="322" spans="7:9" x14ac:dyDescent="0.2">
      <c r="G322" s="23"/>
      <c r="H322" s="23"/>
      <c r="I322" s="23"/>
    </row>
    <row r="323" spans="7:9" x14ac:dyDescent="0.2">
      <c r="G323" s="23"/>
      <c r="H323" s="23"/>
      <c r="I323" s="23"/>
    </row>
    <row r="324" spans="7:9" x14ac:dyDescent="0.2">
      <c r="G324" s="23"/>
      <c r="H324" s="23"/>
      <c r="I324" s="23"/>
    </row>
    <row r="325" spans="7:9" x14ac:dyDescent="0.2">
      <c r="G325" s="23"/>
      <c r="H325" s="23"/>
      <c r="I325" s="23"/>
    </row>
    <row r="326" spans="7:9" x14ac:dyDescent="0.2">
      <c r="G326" s="23"/>
      <c r="H326" s="23"/>
      <c r="I326" s="23"/>
    </row>
    <row r="327" spans="7:9" x14ac:dyDescent="0.2">
      <c r="G327" s="23"/>
      <c r="H327" s="23"/>
      <c r="I327" s="23"/>
    </row>
    <row r="328" spans="7:9" x14ac:dyDescent="0.2">
      <c r="G328" s="23"/>
      <c r="H328" s="23"/>
      <c r="I328" s="23"/>
    </row>
    <row r="329" spans="7:9" x14ac:dyDescent="0.2">
      <c r="G329" s="23"/>
      <c r="H329" s="23"/>
      <c r="I329" s="23"/>
    </row>
    <row r="330" spans="7:9" x14ac:dyDescent="0.2">
      <c r="G330" s="23"/>
      <c r="H330" s="23"/>
      <c r="I330" s="23"/>
    </row>
    <row r="331" spans="7:9" x14ac:dyDescent="0.2">
      <c r="G331" s="23"/>
      <c r="H331" s="23"/>
      <c r="I331" s="23"/>
    </row>
    <row r="332" spans="7:9" x14ac:dyDescent="0.2">
      <c r="G332" s="23"/>
      <c r="H332" s="23"/>
      <c r="I332" s="23"/>
    </row>
    <row r="333" spans="7:9" x14ac:dyDescent="0.2">
      <c r="G333" s="23"/>
      <c r="H333" s="23"/>
      <c r="I333" s="23"/>
    </row>
    <row r="334" spans="7:9" x14ac:dyDescent="0.2">
      <c r="G334" s="23"/>
      <c r="H334" s="23"/>
      <c r="I334" s="23"/>
    </row>
    <row r="335" spans="7:9" x14ac:dyDescent="0.2">
      <c r="G335" s="23"/>
      <c r="H335" s="23"/>
      <c r="I335" s="23"/>
    </row>
    <row r="336" spans="7:9" x14ac:dyDescent="0.2">
      <c r="G336" s="23"/>
      <c r="H336" s="23"/>
      <c r="I336" s="23"/>
    </row>
    <row r="337" spans="7:9" x14ac:dyDescent="0.2">
      <c r="G337" s="23"/>
      <c r="H337" s="23"/>
      <c r="I337" s="23"/>
    </row>
    <row r="338" spans="7:9" x14ac:dyDescent="0.2">
      <c r="G338" s="23"/>
      <c r="H338" s="23"/>
      <c r="I338" s="23"/>
    </row>
    <row r="339" spans="7:9" x14ac:dyDescent="0.2">
      <c r="G339" s="23"/>
      <c r="H339" s="23"/>
      <c r="I339" s="23"/>
    </row>
    <row r="340" spans="7:9" x14ac:dyDescent="0.2">
      <c r="G340" s="23"/>
      <c r="H340" s="23"/>
      <c r="I340" s="23"/>
    </row>
    <row r="341" spans="7:9" x14ac:dyDescent="0.2">
      <c r="G341" s="23"/>
      <c r="H341" s="23"/>
      <c r="I341" s="23"/>
    </row>
    <row r="342" spans="7:9" x14ac:dyDescent="0.2">
      <c r="G342" s="23"/>
      <c r="H342" s="23"/>
      <c r="I342" s="23"/>
    </row>
    <row r="343" spans="7:9" x14ac:dyDescent="0.2">
      <c r="G343" s="23"/>
      <c r="H343" s="23"/>
      <c r="I343" s="23"/>
    </row>
    <row r="344" spans="7:9" x14ac:dyDescent="0.2">
      <c r="G344" s="23"/>
      <c r="H344" s="23"/>
      <c r="I344" s="23"/>
    </row>
    <row r="345" spans="7:9" x14ac:dyDescent="0.2">
      <c r="G345" s="23"/>
      <c r="H345" s="23"/>
      <c r="I345" s="23"/>
    </row>
    <row r="346" spans="7:9" x14ac:dyDescent="0.2">
      <c r="G346" s="23"/>
      <c r="H346" s="23"/>
      <c r="I346" s="23"/>
    </row>
    <row r="347" spans="7:9" x14ac:dyDescent="0.2">
      <c r="G347" s="23"/>
      <c r="H347" s="23"/>
      <c r="I347" s="23"/>
    </row>
    <row r="348" spans="7:9" x14ac:dyDescent="0.2">
      <c r="G348" s="23"/>
      <c r="H348" s="23"/>
      <c r="I348" s="23"/>
    </row>
    <row r="349" spans="7:9" x14ac:dyDescent="0.2">
      <c r="G349" s="23"/>
      <c r="H349" s="23"/>
      <c r="I349" s="23"/>
    </row>
    <row r="350" spans="7:9" x14ac:dyDescent="0.2">
      <c r="G350" s="23"/>
      <c r="H350" s="23"/>
      <c r="I350" s="23"/>
    </row>
    <row r="351" spans="7:9" x14ac:dyDescent="0.2">
      <c r="G351" s="23"/>
      <c r="H351" s="23"/>
      <c r="I351" s="23"/>
    </row>
    <row r="352" spans="7:9" x14ac:dyDescent="0.2">
      <c r="G352" s="23"/>
      <c r="H352" s="23"/>
      <c r="I352" s="23"/>
    </row>
    <row r="353" spans="7:9" x14ac:dyDescent="0.2">
      <c r="G353" s="23"/>
      <c r="H353" s="23"/>
      <c r="I353" s="23"/>
    </row>
    <row r="354" spans="7:9" x14ac:dyDescent="0.2">
      <c r="G354" s="23"/>
      <c r="H354" s="23"/>
      <c r="I354" s="23"/>
    </row>
    <row r="355" spans="7:9" x14ac:dyDescent="0.2">
      <c r="G355" s="23"/>
      <c r="H355" s="23"/>
      <c r="I355" s="23"/>
    </row>
    <row r="356" spans="7:9" x14ac:dyDescent="0.2">
      <c r="G356" s="23"/>
      <c r="H356" s="23"/>
      <c r="I356" s="23"/>
    </row>
    <row r="357" spans="7:9" x14ac:dyDescent="0.2">
      <c r="G357" s="23"/>
      <c r="H357" s="23"/>
      <c r="I357" s="23"/>
    </row>
    <row r="358" spans="7:9" x14ac:dyDescent="0.2">
      <c r="G358" s="23"/>
      <c r="H358" s="23"/>
      <c r="I358" s="23"/>
    </row>
    <row r="359" spans="7:9" x14ac:dyDescent="0.2">
      <c r="G359" s="23"/>
      <c r="H359" s="23"/>
      <c r="I359" s="23"/>
    </row>
    <row r="360" spans="7:9" x14ac:dyDescent="0.2">
      <c r="G360" s="23"/>
      <c r="H360" s="23"/>
      <c r="I360" s="23"/>
    </row>
    <row r="361" spans="7:9" x14ac:dyDescent="0.2">
      <c r="G361" s="23"/>
      <c r="H361" s="23"/>
      <c r="I361" s="23"/>
    </row>
    <row r="362" spans="7:9" x14ac:dyDescent="0.2">
      <c r="G362" s="23"/>
      <c r="H362" s="23"/>
      <c r="I362" s="23"/>
    </row>
    <row r="363" spans="7:9" x14ac:dyDescent="0.2">
      <c r="G363" s="23"/>
      <c r="H363" s="23"/>
      <c r="I363" s="23"/>
    </row>
    <row r="364" spans="7:9" x14ac:dyDescent="0.2">
      <c r="G364" s="23"/>
      <c r="H364" s="23"/>
      <c r="I364" s="23"/>
    </row>
    <row r="365" spans="7:9" x14ac:dyDescent="0.2">
      <c r="G365" s="23"/>
      <c r="H365" s="23"/>
      <c r="I365" s="23"/>
    </row>
    <row r="366" spans="7:9" x14ac:dyDescent="0.2">
      <c r="G366" s="23"/>
      <c r="H366" s="23"/>
      <c r="I366" s="23"/>
    </row>
    <row r="367" spans="7:9" x14ac:dyDescent="0.2">
      <c r="G367" s="23"/>
      <c r="H367" s="23"/>
      <c r="I367" s="23"/>
    </row>
    <row r="368" spans="7:9" x14ac:dyDescent="0.2">
      <c r="G368" s="23"/>
      <c r="H368" s="23"/>
      <c r="I368" s="23"/>
    </row>
    <row r="369" spans="7:9" x14ac:dyDescent="0.2">
      <c r="G369" s="23"/>
      <c r="H369" s="23"/>
      <c r="I369" s="23"/>
    </row>
    <row r="370" spans="7:9" x14ac:dyDescent="0.2">
      <c r="G370" s="23"/>
      <c r="H370" s="23"/>
      <c r="I370" s="23"/>
    </row>
    <row r="371" spans="7:9" x14ac:dyDescent="0.2">
      <c r="G371" s="23"/>
      <c r="H371" s="23"/>
      <c r="I371" s="23"/>
    </row>
    <row r="372" spans="7:9" x14ac:dyDescent="0.2">
      <c r="G372" s="23"/>
      <c r="H372" s="23"/>
      <c r="I372" s="23"/>
    </row>
    <row r="373" spans="7:9" x14ac:dyDescent="0.2">
      <c r="G373" s="23"/>
      <c r="H373" s="23"/>
      <c r="I373" s="23"/>
    </row>
    <row r="374" spans="7:9" x14ac:dyDescent="0.2">
      <c r="G374" s="23"/>
      <c r="H374" s="23"/>
      <c r="I374" s="23"/>
    </row>
    <row r="375" spans="7:9" x14ac:dyDescent="0.2">
      <c r="G375" s="23"/>
      <c r="H375" s="23"/>
      <c r="I375" s="23"/>
    </row>
    <row r="376" spans="7:9" x14ac:dyDescent="0.2">
      <c r="G376" s="23"/>
      <c r="H376" s="23"/>
      <c r="I376" s="23"/>
    </row>
    <row r="377" spans="7:9" x14ac:dyDescent="0.2">
      <c r="G377" s="23"/>
      <c r="H377" s="23"/>
      <c r="I377" s="23"/>
    </row>
    <row r="378" spans="7:9" x14ac:dyDescent="0.2">
      <c r="G378" s="23"/>
      <c r="H378" s="23"/>
      <c r="I378" s="23"/>
    </row>
    <row r="379" spans="7:9" x14ac:dyDescent="0.2">
      <c r="G379" s="23"/>
      <c r="H379" s="23"/>
      <c r="I379" s="23"/>
    </row>
    <row r="380" spans="7:9" x14ac:dyDescent="0.2">
      <c r="G380" s="23"/>
      <c r="H380" s="23"/>
      <c r="I380" s="23"/>
    </row>
    <row r="381" spans="7:9" x14ac:dyDescent="0.2">
      <c r="G381" s="23"/>
      <c r="H381" s="23"/>
      <c r="I381" s="23"/>
    </row>
    <row r="382" spans="7:9" x14ac:dyDescent="0.2">
      <c r="G382" s="23"/>
      <c r="H382" s="23"/>
      <c r="I382" s="23"/>
    </row>
    <row r="383" spans="7:9" x14ac:dyDescent="0.2">
      <c r="G383" s="23"/>
      <c r="H383" s="23"/>
      <c r="I383" s="23"/>
    </row>
    <row r="384" spans="7:9" x14ac:dyDescent="0.2">
      <c r="G384" s="23"/>
      <c r="H384" s="23"/>
      <c r="I384" s="23"/>
    </row>
    <row r="385" spans="7:9" x14ac:dyDescent="0.2">
      <c r="G385" s="23"/>
      <c r="H385" s="23"/>
      <c r="I385" s="23"/>
    </row>
    <row r="386" spans="7:9" x14ac:dyDescent="0.2">
      <c r="G386" s="23"/>
      <c r="H386" s="23"/>
      <c r="I386" s="23"/>
    </row>
    <row r="387" spans="7:9" x14ac:dyDescent="0.2">
      <c r="G387" s="23"/>
      <c r="H387" s="23"/>
      <c r="I387" s="23"/>
    </row>
    <row r="388" spans="7:9" x14ac:dyDescent="0.2">
      <c r="G388" s="23"/>
      <c r="H388" s="23"/>
      <c r="I388" s="23"/>
    </row>
    <row r="389" spans="7:9" x14ac:dyDescent="0.2">
      <c r="G389" s="23"/>
      <c r="H389" s="23"/>
      <c r="I389" s="23"/>
    </row>
    <row r="390" spans="7:9" x14ac:dyDescent="0.2">
      <c r="G390" s="23"/>
      <c r="H390" s="23"/>
      <c r="I390" s="23"/>
    </row>
    <row r="391" spans="7:9" x14ac:dyDescent="0.2">
      <c r="G391" s="23"/>
      <c r="H391" s="23"/>
      <c r="I391" s="23"/>
    </row>
    <row r="392" spans="7:9" x14ac:dyDescent="0.2">
      <c r="G392" s="23"/>
      <c r="H392" s="23"/>
      <c r="I392" s="23"/>
    </row>
    <row r="393" spans="7:9" x14ac:dyDescent="0.2">
      <c r="G393" s="23"/>
      <c r="H393" s="23"/>
      <c r="I393" s="23"/>
    </row>
    <row r="394" spans="7:9" x14ac:dyDescent="0.2">
      <c r="G394" s="23"/>
      <c r="H394" s="23"/>
      <c r="I394" s="23"/>
    </row>
    <row r="395" spans="7:9" x14ac:dyDescent="0.2">
      <c r="G395" s="23"/>
      <c r="H395" s="23"/>
      <c r="I395" s="23"/>
    </row>
    <row r="396" spans="7:9" x14ac:dyDescent="0.2">
      <c r="G396" s="23"/>
      <c r="H396" s="23"/>
      <c r="I396" s="23"/>
    </row>
    <row r="397" spans="7:9" x14ac:dyDescent="0.2">
      <c r="G397" s="23"/>
      <c r="H397" s="23"/>
      <c r="I397" s="23"/>
    </row>
    <row r="398" spans="7:9" x14ac:dyDescent="0.2">
      <c r="G398" s="23"/>
      <c r="H398" s="23"/>
      <c r="I398" s="23"/>
    </row>
    <row r="399" spans="7:9" x14ac:dyDescent="0.2">
      <c r="G399" s="23"/>
      <c r="H399" s="23"/>
      <c r="I399" s="23"/>
    </row>
    <row r="400" spans="7:9" x14ac:dyDescent="0.2">
      <c r="G400" s="23"/>
      <c r="H400" s="23"/>
      <c r="I400" s="23"/>
    </row>
    <row r="401" spans="7:9" x14ac:dyDescent="0.2">
      <c r="G401" s="23"/>
      <c r="H401" s="23"/>
      <c r="I401" s="23"/>
    </row>
    <row r="402" spans="7:9" x14ac:dyDescent="0.2">
      <c r="G402" s="23"/>
      <c r="H402" s="23"/>
      <c r="I402" s="23"/>
    </row>
    <row r="403" spans="7:9" x14ac:dyDescent="0.2">
      <c r="G403" s="23"/>
      <c r="H403" s="23"/>
      <c r="I403" s="23"/>
    </row>
    <row r="404" spans="7:9" x14ac:dyDescent="0.2">
      <c r="G404" s="23"/>
      <c r="H404" s="23"/>
      <c r="I404" s="23"/>
    </row>
    <row r="405" spans="7:9" x14ac:dyDescent="0.2">
      <c r="G405" s="23"/>
      <c r="H405" s="23"/>
      <c r="I405" s="23"/>
    </row>
    <row r="406" spans="7:9" x14ac:dyDescent="0.2">
      <c r="G406" s="23"/>
      <c r="H406" s="23"/>
      <c r="I406" s="23"/>
    </row>
    <row r="407" spans="7:9" x14ac:dyDescent="0.2">
      <c r="G407" s="23"/>
      <c r="H407" s="23"/>
      <c r="I407" s="23"/>
    </row>
    <row r="408" spans="7:9" x14ac:dyDescent="0.2">
      <c r="G408" s="23"/>
      <c r="H408" s="23"/>
      <c r="I408" s="23"/>
    </row>
    <row r="409" spans="7:9" x14ac:dyDescent="0.2">
      <c r="G409" s="23"/>
      <c r="H409" s="23"/>
      <c r="I409" s="23"/>
    </row>
    <row r="410" spans="7:9" x14ac:dyDescent="0.2">
      <c r="G410" s="23"/>
      <c r="H410" s="23"/>
      <c r="I410" s="23"/>
    </row>
    <row r="411" spans="7:9" x14ac:dyDescent="0.2">
      <c r="G411" s="23"/>
      <c r="H411" s="23"/>
      <c r="I411" s="23"/>
    </row>
    <row r="412" spans="7:9" x14ac:dyDescent="0.2">
      <c r="G412" s="23"/>
      <c r="H412" s="23"/>
      <c r="I412" s="23"/>
    </row>
    <row r="413" spans="7:9" x14ac:dyDescent="0.2">
      <c r="G413" s="23"/>
      <c r="H413" s="23"/>
      <c r="I413" s="23"/>
    </row>
    <row r="414" spans="7:9" x14ac:dyDescent="0.2">
      <c r="G414" s="23"/>
      <c r="H414" s="23"/>
      <c r="I414" s="23"/>
    </row>
    <row r="415" spans="7:9" x14ac:dyDescent="0.2">
      <c r="G415" s="23"/>
      <c r="H415" s="23"/>
      <c r="I415" s="23"/>
    </row>
    <row r="416" spans="7:9" x14ac:dyDescent="0.2">
      <c r="G416" s="23"/>
      <c r="H416" s="23"/>
      <c r="I416" s="23"/>
    </row>
    <row r="417" spans="7:9" x14ac:dyDescent="0.2">
      <c r="G417" s="23"/>
      <c r="H417" s="23"/>
      <c r="I417" s="23"/>
    </row>
    <row r="418" spans="7:9" x14ac:dyDescent="0.2">
      <c r="G418" s="23"/>
      <c r="H418" s="23"/>
      <c r="I418" s="23"/>
    </row>
    <row r="419" spans="7:9" x14ac:dyDescent="0.2">
      <c r="G419" s="23"/>
      <c r="H419" s="23"/>
      <c r="I419" s="23"/>
    </row>
    <row r="420" spans="7:9" x14ac:dyDescent="0.2">
      <c r="G420" s="23"/>
      <c r="H420" s="23"/>
      <c r="I420" s="23"/>
    </row>
    <row r="421" spans="7:9" x14ac:dyDescent="0.2">
      <c r="G421" s="23"/>
      <c r="H421" s="23"/>
      <c r="I421" s="23"/>
    </row>
    <row r="422" spans="7:9" x14ac:dyDescent="0.2">
      <c r="G422" s="23"/>
      <c r="H422" s="23"/>
      <c r="I422" s="23"/>
    </row>
    <row r="423" spans="7:9" x14ac:dyDescent="0.2">
      <c r="G423" s="23"/>
      <c r="H423" s="23"/>
      <c r="I423" s="23"/>
    </row>
    <row r="424" spans="7:9" x14ac:dyDescent="0.2">
      <c r="G424" s="23"/>
      <c r="H424" s="23"/>
      <c r="I424" s="23"/>
    </row>
    <row r="425" spans="7:9" x14ac:dyDescent="0.2">
      <c r="G425" s="23"/>
      <c r="H425" s="23"/>
      <c r="I425" s="23"/>
    </row>
    <row r="426" spans="7:9" x14ac:dyDescent="0.2">
      <c r="G426" s="23"/>
      <c r="H426" s="23"/>
      <c r="I426" s="23"/>
    </row>
    <row r="427" spans="7:9" x14ac:dyDescent="0.2">
      <c r="G427" s="23"/>
      <c r="H427" s="23"/>
      <c r="I427" s="23"/>
    </row>
    <row r="428" spans="7:9" x14ac:dyDescent="0.2">
      <c r="G428" s="23"/>
      <c r="H428" s="23"/>
      <c r="I428" s="23"/>
    </row>
    <row r="429" spans="7:9" x14ac:dyDescent="0.2">
      <c r="G429" s="23"/>
      <c r="H429" s="23"/>
      <c r="I429" s="23"/>
    </row>
    <row r="430" spans="7:9" x14ac:dyDescent="0.2">
      <c r="G430" s="23"/>
      <c r="H430" s="23"/>
      <c r="I430" s="23"/>
    </row>
    <row r="431" spans="7:9" x14ac:dyDescent="0.2">
      <c r="G431" s="23"/>
      <c r="H431" s="23"/>
      <c r="I431" s="23"/>
    </row>
    <row r="432" spans="7:9" x14ac:dyDescent="0.2">
      <c r="G432" s="23"/>
      <c r="H432" s="23"/>
      <c r="I432" s="23"/>
    </row>
    <row r="433" spans="7:9" x14ac:dyDescent="0.2">
      <c r="G433" s="23"/>
      <c r="H433" s="23"/>
      <c r="I433" s="23"/>
    </row>
    <row r="434" spans="7:9" x14ac:dyDescent="0.2">
      <c r="G434" s="23"/>
      <c r="H434" s="23"/>
      <c r="I434" s="23"/>
    </row>
    <row r="435" spans="7:9" x14ac:dyDescent="0.2">
      <c r="G435" s="23"/>
      <c r="H435" s="23"/>
      <c r="I435" s="23"/>
    </row>
    <row r="436" spans="7:9" x14ac:dyDescent="0.2">
      <c r="G436" s="23"/>
      <c r="H436" s="23"/>
      <c r="I436" s="23"/>
    </row>
    <row r="437" spans="7:9" x14ac:dyDescent="0.2">
      <c r="G437" s="23"/>
      <c r="H437" s="23"/>
      <c r="I437" s="23"/>
    </row>
    <row r="438" spans="7:9" x14ac:dyDescent="0.2">
      <c r="G438" s="23"/>
      <c r="H438" s="23"/>
      <c r="I438" s="23"/>
    </row>
    <row r="439" spans="7:9" x14ac:dyDescent="0.2">
      <c r="G439" s="23"/>
      <c r="H439" s="23"/>
      <c r="I439" s="23"/>
    </row>
    <row r="440" spans="7:9" x14ac:dyDescent="0.2">
      <c r="G440" s="23"/>
      <c r="H440" s="23"/>
      <c r="I440" s="23"/>
    </row>
    <row r="441" spans="7:9" x14ac:dyDescent="0.2">
      <c r="G441" s="23"/>
      <c r="H441" s="23"/>
      <c r="I441" s="23"/>
    </row>
    <row r="442" spans="7:9" x14ac:dyDescent="0.2">
      <c r="G442" s="23"/>
      <c r="H442" s="23"/>
      <c r="I442" s="23"/>
    </row>
    <row r="443" spans="7:9" x14ac:dyDescent="0.2">
      <c r="G443" s="23"/>
      <c r="H443" s="23"/>
      <c r="I443" s="23"/>
    </row>
    <row r="444" spans="7:9" x14ac:dyDescent="0.2">
      <c r="G444" s="23"/>
      <c r="H444" s="23"/>
      <c r="I444" s="23"/>
    </row>
    <row r="445" spans="7:9" x14ac:dyDescent="0.2">
      <c r="G445" s="23"/>
      <c r="H445" s="23"/>
      <c r="I445" s="23"/>
    </row>
    <row r="446" spans="7:9" x14ac:dyDescent="0.2">
      <c r="G446" s="23"/>
      <c r="H446" s="23"/>
      <c r="I446" s="23"/>
    </row>
    <row r="447" spans="7:9" x14ac:dyDescent="0.2">
      <c r="G447" s="23"/>
      <c r="H447" s="23"/>
      <c r="I447" s="23"/>
    </row>
    <row r="448" spans="7:9" x14ac:dyDescent="0.2">
      <c r="G448" s="23"/>
      <c r="H448" s="23"/>
      <c r="I448" s="23"/>
    </row>
    <row r="449" spans="7:9" x14ac:dyDescent="0.2">
      <c r="G449" s="23"/>
      <c r="H449" s="23"/>
      <c r="I449" s="23"/>
    </row>
    <row r="450" spans="7:9" x14ac:dyDescent="0.2">
      <c r="G450" s="23"/>
      <c r="H450" s="23"/>
      <c r="I450" s="23"/>
    </row>
    <row r="451" spans="7:9" x14ac:dyDescent="0.2">
      <c r="G451" s="23"/>
      <c r="H451" s="23"/>
      <c r="I451" s="23"/>
    </row>
    <row r="452" spans="7:9" x14ac:dyDescent="0.2">
      <c r="G452" s="23"/>
      <c r="H452" s="23"/>
      <c r="I452" s="23"/>
    </row>
    <row r="453" spans="7:9" x14ac:dyDescent="0.2">
      <c r="G453" s="23"/>
      <c r="H453" s="23"/>
      <c r="I453" s="23"/>
    </row>
    <row r="454" spans="7:9" x14ac:dyDescent="0.2">
      <c r="G454" s="23"/>
      <c r="H454" s="23"/>
      <c r="I454" s="23"/>
    </row>
    <row r="455" spans="7:9" x14ac:dyDescent="0.2">
      <c r="G455" s="23"/>
      <c r="H455" s="23"/>
      <c r="I455" s="23"/>
    </row>
    <row r="456" spans="7:9" x14ac:dyDescent="0.2">
      <c r="G456" s="23"/>
      <c r="H456" s="23"/>
      <c r="I456" s="23"/>
    </row>
    <row r="457" spans="7:9" x14ac:dyDescent="0.2">
      <c r="G457" s="23"/>
      <c r="H457" s="23"/>
      <c r="I457" s="23"/>
    </row>
    <row r="458" spans="7:9" x14ac:dyDescent="0.2">
      <c r="G458" s="23"/>
      <c r="H458" s="23"/>
      <c r="I458" s="23"/>
    </row>
    <row r="459" spans="7:9" x14ac:dyDescent="0.2">
      <c r="G459" s="23"/>
      <c r="H459" s="23"/>
      <c r="I459" s="23"/>
    </row>
    <row r="460" spans="7:9" x14ac:dyDescent="0.2">
      <c r="G460" s="23"/>
      <c r="H460" s="23"/>
      <c r="I460" s="23"/>
    </row>
    <row r="461" spans="7:9" x14ac:dyDescent="0.2">
      <c r="G461" s="23"/>
      <c r="H461" s="23"/>
      <c r="I461" s="23"/>
    </row>
    <row r="462" spans="7:9" x14ac:dyDescent="0.2">
      <c r="G462" s="23"/>
      <c r="H462" s="23"/>
      <c r="I462" s="23"/>
    </row>
    <row r="463" spans="7:9" x14ac:dyDescent="0.2">
      <c r="G463" s="23"/>
      <c r="H463" s="23"/>
      <c r="I463" s="23"/>
    </row>
    <row r="464" spans="7:9" x14ac:dyDescent="0.2">
      <c r="G464" s="23"/>
      <c r="H464" s="23"/>
      <c r="I464" s="23"/>
    </row>
    <row r="465" spans="7:9" x14ac:dyDescent="0.2">
      <c r="G465" s="23"/>
      <c r="H465" s="23"/>
      <c r="I465" s="23"/>
    </row>
    <row r="466" spans="7:9" x14ac:dyDescent="0.2">
      <c r="G466" s="23"/>
      <c r="H466" s="23"/>
      <c r="I466" s="23"/>
    </row>
    <row r="467" spans="7:9" x14ac:dyDescent="0.2">
      <c r="G467" s="23"/>
      <c r="H467" s="23"/>
      <c r="I467" s="23"/>
    </row>
    <row r="468" spans="7:9" x14ac:dyDescent="0.2">
      <c r="G468" s="23"/>
      <c r="H468" s="23"/>
      <c r="I468" s="23"/>
    </row>
    <row r="469" spans="7:9" x14ac:dyDescent="0.2">
      <c r="G469" s="23"/>
      <c r="H469" s="23"/>
      <c r="I469" s="23"/>
    </row>
    <row r="470" spans="7:9" x14ac:dyDescent="0.2">
      <c r="G470" s="23"/>
      <c r="H470" s="23"/>
      <c r="I470" s="23"/>
    </row>
    <row r="471" spans="7:9" x14ac:dyDescent="0.2">
      <c r="G471" s="23"/>
      <c r="H471" s="23"/>
      <c r="I471" s="23"/>
    </row>
    <row r="472" spans="7:9" x14ac:dyDescent="0.2">
      <c r="G472" s="23"/>
      <c r="H472" s="23"/>
      <c r="I472" s="23"/>
    </row>
    <row r="473" spans="7:9" x14ac:dyDescent="0.2">
      <c r="G473" s="23"/>
      <c r="H473" s="23"/>
      <c r="I473" s="23"/>
    </row>
    <row r="474" spans="7:9" x14ac:dyDescent="0.2">
      <c r="G474" s="23"/>
      <c r="H474" s="23"/>
      <c r="I474" s="23"/>
    </row>
    <row r="475" spans="7:9" x14ac:dyDescent="0.2">
      <c r="G475" s="23"/>
      <c r="H475" s="23"/>
      <c r="I475" s="23"/>
    </row>
    <row r="476" spans="7:9" x14ac:dyDescent="0.2">
      <c r="G476" s="23"/>
      <c r="H476" s="23"/>
      <c r="I476" s="23"/>
    </row>
    <row r="477" spans="7:9" x14ac:dyDescent="0.2">
      <c r="G477" s="23"/>
      <c r="H477" s="23"/>
      <c r="I477" s="23"/>
    </row>
    <row r="478" spans="7:9" x14ac:dyDescent="0.2">
      <c r="G478" s="23"/>
      <c r="H478" s="23"/>
      <c r="I478" s="23"/>
    </row>
    <row r="479" spans="7:9" x14ac:dyDescent="0.2">
      <c r="G479" s="23"/>
      <c r="H479" s="23"/>
      <c r="I479" s="23"/>
    </row>
    <row r="480" spans="7:9" x14ac:dyDescent="0.2">
      <c r="G480" s="23"/>
      <c r="H480" s="23"/>
      <c r="I480" s="23"/>
    </row>
    <row r="481" spans="7:9" x14ac:dyDescent="0.2">
      <c r="G481" s="23"/>
      <c r="H481" s="23"/>
      <c r="I481" s="23"/>
    </row>
    <row r="482" spans="7:9" x14ac:dyDescent="0.2">
      <c r="G482" s="23"/>
      <c r="H482" s="23"/>
      <c r="I482" s="23"/>
    </row>
    <row r="483" spans="7:9" x14ac:dyDescent="0.2">
      <c r="G483" s="23"/>
      <c r="H483" s="23"/>
      <c r="I483" s="23"/>
    </row>
    <row r="484" spans="7:9" x14ac:dyDescent="0.2">
      <c r="G484" s="23"/>
      <c r="H484" s="23"/>
      <c r="I484" s="23"/>
    </row>
    <row r="485" spans="7:9" x14ac:dyDescent="0.2">
      <c r="G485" s="23"/>
      <c r="H485" s="23"/>
      <c r="I485" s="23"/>
    </row>
    <row r="486" spans="7:9" x14ac:dyDescent="0.2">
      <c r="G486" s="23"/>
      <c r="H486" s="23"/>
      <c r="I486" s="23"/>
    </row>
    <row r="487" spans="7:9" x14ac:dyDescent="0.2">
      <c r="G487" s="23"/>
      <c r="H487" s="23"/>
      <c r="I487" s="23"/>
    </row>
    <row r="488" spans="7:9" x14ac:dyDescent="0.2">
      <c r="G488" s="23"/>
      <c r="H488" s="23"/>
      <c r="I488" s="23"/>
    </row>
    <row r="489" spans="7:9" x14ac:dyDescent="0.2">
      <c r="G489" s="23"/>
      <c r="H489" s="23"/>
      <c r="I489" s="23"/>
    </row>
    <row r="490" spans="7:9" x14ac:dyDescent="0.2">
      <c r="G490" s="23"/>
      <c r="H490" s="23"/>
      <c r="I490" s="23"/>
    </row>
    <row r="491" spans="7:9" x14ac:dyDescent="0.2">
      <c r="G491" s="23"/>
      <c r="H491" s="23"/>
      <c r="I491" s="23"/>
    </row>
    <row r="492" spans="7:9" x14ac:dyDescent="0.2">
      <c r="G492" s="23"/>
      <c r="H492" s="23"/>
      <c r="I492" s="23"/>
    </row>
    <row r="493" spans="7:9" x14ac:dyDescent="0.2">
      <c r="G493" s="23"/>
      <c r="H493" s="23"/>
      <c r="I493" s="23"/>
    </row>
    <row r="494" spans="7:9" x14ac:dyDescent="0.2">
      <c r="G494" s="23"/>
      <c r="H494" s="23"/>
      <c r="I494" s="23"/>
    </row>
    <row r="495" spans="7:9" x14ac:dyDescent="0.2">
      <c r="G495" s="23"/>
      <c r="H495" s="23"/>
      <c r="I495" s="23"/>
    </row>
    <row r="496" spans="7:9" x14ac:dyDescent="0.2">
      <c r="G496" s="23"/>
      <c r="H496" s="23"/>
      <c r="I496" s="23"/>
    </row>
    <row r="497" spans="7:9" x14ac:dyDescent="0.2">
      <c r="G497" s="23"/>
      <c r="H497" s="23"/>
      <c r="I497" s="23"/>
    </row>
    <row r="498" spans="7:9" x14ac:dyDescent="0.2">
      <c r="G498" s="23"/>
      <c r="H498" s="23"/>
      <c r="I498" s="23"/>
    </row>
    <row r="499" spans="7:9" x14ac:dyDescent="0.2">
      <c r="G499" s="23"/>
      <c r="H499" s="23"/>
      <c r="I499" s="23"/>
    </row>
    <row r="500" spans="7:9" x14ac:dyDescent="0.2">
      <c r="G500" s="23"/>
      <c r="H500" s="23"/>
      <c r="I500" s="23"/>
    </row>
    <row r="501" spans="7:9" x14ac:dyDescent="0.2">
      <c r="G501" s="23"/>
      <c r="H501" s="23"/>
      <c r="I501" s="23"/>
    </row>
    <row r="502" spans="7:9" x14ac:dyDescent="0.2">
      <c r="G502" s="23"/>
      <c r="H502" s="23"/>
      <c r="I502" s="23"/>
    </row>
    <row r="503" spans="7:9" x14ac:dyDescent="0.2">
      <c r="G503" s="23"/>
      <c r="H503" s="23"/>
      <c r="I503" s="23"/>
    </row>
    <row r="504" spans="7:9" x14ac:dyDescent="0.2">
      <c r="G504" s="23"/>
      <c r="H504" s="23"/>
      <c r="I504" s="23"/>
    </row>
    <row r="505" spans="7:9" x14ac:dyDescent="0.2">
      <c r="G505" s="23"/>
      <c r="H505" s="23"/>
      <c r="I505" s="23"/>
    </row>
    <row r="506" spans="7:9" x14ac:dyDescent="0.2">
      <c r="G506" s="23"/>
      <c r="H506" s="23"/>
      <c r="I506" s="23"/>
    </row>
    <row r="507" spans="7:9" x14ac:dyDescent="0.2">
      <c r="G507" s="23"/>
      <c r="H507" s="23"/>
      <c r="I507" s="23"/>
    </row>
    <row r="508" spans="7:9" x14ac:dyDescent="0.2">
      <c r="G508" s="23"/>
      <c r="H508" s="23"/>
      <c r="I508" s="23"/>
    </row>
    <row r="509" spans="7:9" x14ac:dyDescent="0.2">
      <c r="G509" s="23"/>
      <c r="H509" s="23"/>
      <c r="I509" s="23"/>
    </row>
    <row r="510" spans="7:9" x14ac:dyDescent="0.2">
      <c r="G510" s="23"/>
      <c r="H510" s="23"/>
      <c r="I510" s="23"/>
    </row>
    <row r="511" spans="7:9" x14ac:dyDescent="0.2">
      <c r="G511" s="23"/>
      <c r="H511" s="23"/>
      <c r="I511" s="23"/>
    </row>
    <row r="512" spans="7:9" x14ac:dyDescent="0.2">
      <c r="G512" s="23"/>
      <c r="H512" s="23"/>
      <c r="I512" s="23"/>
    </row>
    <row r="513" spans="7:9" x14ac:dyDescent="0.2">
      <c r="G513" s="23"/>
      <c r="H513" s="23"/>
      <c r="I513" s="23"/>
    </row>
    <row r="514" spans="7:9" x14ac:dyDescent="0.2">
      <c r="G514" s="23"/>
      <c r="H514" s="23"/>
      <c r="I514" s="23"/>
    </row>
    <row r="515" spans="7:9" x14ac:dyDescent="0.2">
      <c r="G515" s="23"/>
      <c r="H515" s="23"/>
      <c r="I515" s="23"/>
    </row>
    <row r="516" spans="7:9" x14ac:dyDescent="0.2">
      <c r="G516" s="23"/>
      <c r="H516" s="23"/>
      <c r="I516" s="23"/>
    </row>
    <row r="517" spans="7:9" x14ac:dyDescent="0.2">
      <c r="G517" s="23"/>
      <c r="H517" s="23"/>
      <c r="I517" s="23"/>
    </row>
    <row r="518" spans="7:9" x14ac:dyDescent="0.2">
      <c r="G518" s="23"/>
      <c r="H518" s="23"/>
      <c r="I518" s="23"/>
    </row>
    <row r="519" spans="7:9" x14ac:dyDescent="0.2">
      <c r="G519" s="23"/>
      <c r="H519" s="23"/>
      <c r="I519" s="23"/>
    </row>
    <row r="520" spans="7:9" x14ac:dyDescent="0.2">
      <c r="G520" s="23"/>
      <c r="H520" s="23"/>
      <c r="I520" s="23"/>
    </row>
    <row r="521" spans="7:9" x14ac:dyDescent="0.2">
      <c r="G521" s="23"/>
      <c r="H521" s="23"/>
      <c r="I521" s="23"/>
    </row>
    <row r="522" spans="7:9" x14ac:dyDescent="0.2">
      <c r="G522" s="23"/>
      <c r="H522" s="23"/>
      <c r="I522" s="23"/>
    </row>
    <row r="523" spans="7:9" x14ac:dyDescent="0.2">
      <c r="G523" s="23"/>
      <c r="H523" s="23"/>
      <c r="I523" s="23"/>
    </row>
    <row r="524" spans="7:9" x14ac:dyDescent="0.2">
      <c r="G524" s="23"/>
      <c r="H524" s="23"/>
      <c r="I524" s="23"/>
    </row>
    <row r="525" spans="7:9" x14ac:dyDescent="0.2">
      <c r="G525" s="23"/>
      <c r="H525" s="23"/>
      <c r="I525" s="23"/>
    </row>
    <row r="526" spans="7:9" x14ac:dyDescent="0.2">
      <c r="G526" s="23"/>
      <c r="H526" s="23"/>
      <c r="I526" s="23"/>
    </row>
    <row r="527" spans="7:9" x14ac:dyDescent="0.2">
      <c r="G527" s="23"/>
      <c r="H527" s="23"/>
      <c r="I527" s="23"/>
    </row>
    <row r="528" spans="7:9" x14ac:dyDescent="0.2">
      <c r="G528" s="23"/>
      <c r="H528" s="23"/>
      <c r="I528" s="23"/>
    </row>
    <row r="529" spans="7:9" x14ac:dyDescent="0.2">
      <c r="G529" s="23"/>
      <c r="H529" s="23"/>
      <c r="I529" s="23"/>
    </row>
    <row r="530" spans="7:9" x14ac:dyDescent="0.2">
      <c r="G530" s="23"/>
      <c r="H530" s="23"/>
      <c r="I530" s="23"/>
    </row>
    <row r="531" spans="7:9" x14ac:dyDescent="0.2">
      <c r="G531" s="23"/>
      <c r="H531" s="23"/>
      <c r="I531" s="23"/>
    </row>
    <row r="532" spans="7:9" x14ac:dyDescent="0.2">
      <c r="G532" s="23"/>
      <c r="H532" s="23"/>
      <c r="I532" s="23"/>
    </row>
    <row r="533" spans="7:9" x14ac:dyDescent="0.2">
      <c r="G533" s="23"/>
      <c r="H533" s="23"/>
      <c r="I533" s="23"/>
    </row>
    <row r="534" spans="7:9" x14ac:dyDescent="0.2">
      <c r="G534" s="23"/>
      <c r="H534" s="23"/>
      <c r="I534" s="23"/>
    </row>
    <row r="535" spans="7:9" x14ac:dyDescent="0.2">
      <c r="G535" s="23"/>
      <c r="H535" s="23"/>
      <c r="I535" s="23"/>
    </row>
    <row r="536" spans="7:9" x14ac:dyDescent="0.2">
      <c r="G536" s="23"/>
      <c r="H536" s="23"/>
      <c r="I536" s="23"/>
    </row>
    <row r="537" spans="7:9" x14ac:dyDescent="0.2">
      <c r="G537" s="23"/>
      <c r="H537" s="23"/>
      <c r="I537" s="23"/>
    </row>
    <row r="538" spans="7:9" x14ac:dyDescent="0.2">
      <c r="G538" s="23"/>
      <c r="H538" s="23"/>
      <c r="I538" s="23"/>
    </row>
    <row r="539" spans="7:9" x14ac:dyDescent="0.2">
      <c r="G539" s="23"/>
      <c r="H539" s="23"/>
      <c r="I539" s="23"/>
    </row>
    <row r="540" spans="7:9" x14ac:dyDescent="0.2">
      <c r="G540" s="23"/>
      <c r="H540" s="23"/>
      <c r="I540" s="23"/>
    </row>
    <row r="541" spans="7:9" x14ac:dyDescent="0.2">
      <c r="G541" s="23"/>
      <c r="H541" s="23"/>
      <c r="I541" s="23"/>
    </row>
    <row r="542" spans="7:9" x14ac:dyDescent="0.2">
      <c r="G542" s="23"/>
      <c r="H542" s="23"/>
      <c r="I542" s="23"/>
    </row>
    <row r="543" spans="7:9" x14ac:dyDescent="0.2">
      <c r="G543" s="23"/>
      <c r="H543" s="23"/>
      <c r="I543" s="23"/>
    </row>
    <row r="544" spans="7:9" x14ac:dyDescent="0.2">
      <c r="G544" s="23"/>
      <c r="H544" s="23"/>
      <c r="I544" s="23"/>
    </row>
    <row r="545" spans="7:9" x14ac:dyDescent="0.2">
      <c r="G545" s="23"/>
      <c r="H545" s="23"/>
      <c r="I545" s="23"/>
    </row>
    <row r="546" spans="7:9" x14ac:dyDescent="0.2">
      <c r="G546" s="23"/>
      <c r="H546" s="23"/>
      <c r="I546" s="23"/>
    </row>
    <row r="547" spans="7:9" x14ac:dyDescent="0.2">
      <c r="G547" s="23"/>
      <c r="H547" s="23"/>
      <c r="I547" s="23"/>
    </row>
    <row r="548" spans="7:9" x14ac:dyDescent="0.2">
      <c r="G548" s="23"/>
      <c r="H548" s="23"/>
      <c r="I548" s="23"/>
    </row>
    <row r="549" spans="7:9" x14ac:dyDescent="0.2">
      <c r="G549" s="23"/>
      <c r="H549" s="23"/>
      <c r="I549" s="23"/>
    </row>
    <row r="550" spans="7:9" x14ac:dyDescent="0.2">
      <c r="G550" s="23"/>
      <c r="H550" s="23"/>
      <c r="I550" s="23"/>
    </row>
    <row r="551" spans="7:9" x14ac:dyDescent="0.2">
      <c r="G551" s="23"/>
      <c r="H551" s="23"/>
      <c r="I551" s="23"/>
    </row>
    <row r="552" spans="7:9" x14ac:dyDescent="0.2">
      <c r="G552" s="23"/>
      <c r="H552" s="23"/>
      <c r="I552" s="23"/>
    </row>
    <row r="553" spans="7:9" x14ac:dyDescent="0.2">
      <c r="G553" s="23"/>
      <c r="H553" s="23"/>
      <c r="I553" s="23"/>
    </row>
    <row r="554" spans="7:9" x14ac:dyDescent="0.2">
      <c r="G554" s="23"/>
      <c r="H554" s="23"/>
      <c r="I554" s="23"/>
    </row>
    <row r="555" spans="7:9" x14ac:dyDescent="0.2">
      <c r="G555" s="23"/>
      <c r="H555" s="23"/>
      <c r="I555" s="23"/>
    </row>
    <row r="556" spans="7:9" x14ac:dyDescent="0.2">
      <c r="G556" s="23"/>
      <c r="H556" s="23"/>
      <c r="I556" s="23"/>
    </row>
    <row r="557" spans="7:9" x14ac:dyDescent="0.2">
      <c r="G557" s="23"/>
      <c r="H557" s="23"/>
      <c r="I557" s="23"/>
    </row>
    <row r="558" spans="7:9" x14ac:dyDescent="0.2">
      <c r="G558" s="23"/>
      <c r="H558" s="23"/>
      <c r="I558" s="23"/>
    </row>
    <row r="559" spans="7:9" x14ac:dyDescent="0.2">
      <c r="G559" s="23"/>
      <c r="H559" s="23"/>
      <c r="I559" s="23"/>
    </row>
    <row r="560" spans="7:9" x14ac:dyDescent="0.2">
      <c r="G560" s="23"/>
      <c r="H560" s="23"/>
      <c r="I560" s="23"/>
    </row>
    <row r="561" spans="7:9" x14ac:dyDescent="0.2">
      <c r="G561" s="23"/>
      <c r="H561" s="23"/>
      <c r="I561" s="23"/>
    </row>
    <row r="562" spans="7:9" x14ac:dyDescent="0.2">
      <c r="G562" s="23"/>
      <c r="H562" s="23"/>
      <c r="I562" s="23"/>
    </row>
    <row r="563" spans="7:9" x14ac:dyDescent="0.2">
      <c r="G563" s="23"/>
      <c r="H563" s="23"/>
      <c r="I563" s="23"/>
    </row>
    <row r="564" spans="7:9" x14ac:dyDescent="0.2">
      <c r="G564" s="23"/>
      <c r="H564" s="23"/>
      <c r="I564" s="23"/>
    </row>
    <row r="565" spans="7:9" x14ac:dyDescent="0.2">
      <c r="G565" s="23"/>
      <c r="H565" s="23"/>
      <c r="I565" s="23"/>
    </row>
    <row r="566" spans="7:9" x14ac:dyDescent="0.2">
      <c r="G566" s="23"/>
      <c r="H566" s="23"/>
      <c r="I566" s="23"/>
    </row>
    <row r="567" spans="7:9" x14ac:dyDescent="0.2">
      <c r="G567" s="23"/>
      <c r="H567" s="23"/>
      <c r="I567" s="23"/>
    </row>
    <row r="568" spans="7:9" x14ac:dyDescent="0.2">
      <c r="G568" s="23"/>
      <c r="H568" s="23"/>
      <c r="I568" s="23"/>
    </row>
    <row r="569" spans="7:9" x14ac:dyDescent="0.2">
      <c r="G569" s="23"/>
      <c r="H569" s="23"/>
      <c r="I569" s="23"/>
    </row>
    <row r="570" spans="7:9" x14ac:dyDescent="0.2">
      <c r="G570" s="23"/>
      <c r="H570" s="23"/>
      <c r="I570" s="23"/>
    </row>
    <row r="571" spans="7:9" x14ac:dyDescent="0.2">
      <c r="G571" s="23"/>
      <c r="H571" s="23"/>
      <c r="I571" s="23"/>
    </row>
    <row r="572" spans="7:9" x14ac:dyDescent="0.2">
      <c r="G572" s="23"/>
      <c r="H572" s="23"/>
      <c r="I572" s="23"/>
    </row>
    <row r="573" spans="7:9" x14ac:dyDescent="0.2">
      <c r="G573" s="23"/>
      <c r="H573" s="23"/>
      <c r="I573" s="23"/>
    </row>
    <row r="574" spans="7:9" x14ac:dyDescent="0.2">
      <c r="G574" s="23"/>
      <c r="H574" s="23"/>
      <c r="I574" s="23"/>
    </row>
    <row r="575" spans="7:9" x14ac:dyDescent="0.2">
      <c r="G575" s="23"/>
      <c r="H575" s="23"/>
      <c r="I575" s="23"/>
    </row>
    <row r="576" spans="7:9" x14ac:dyDescent="0.2">
      <c r="G576" s="23"/>
      <c r="H576" s="23"/>
      <c r="I576" s="23"/>
    </row>
    <row r="577" spans="7:9" x14ac:dyDescent="0.2">
      <c r="G577" s="23"/>
      <c r="H577" s="23"/>
      <c r="I577" s="23"/>
    </row>
    <row r="578" spans="7:9" x14ac:dyDescent="0.2">
      <c r="G578" s="23"/>
      <c r="H578" s="23"/>
      <c r="I578" s="23"/>
    </row>
    <row r="579" spans="7:9" x14ac:dyDescent="0.2">
      <c r="G579" s="23"/>
      <c r="H579" s="23"/>
      <c r="I579" s="23"/>
    </row>
    <row r="580" spans="7:9" x14ac:dyDescent="0.2">
      <c r="G580" s="23"/>
      <c r="H580" s="23"/>
      <c r="I580" s="23"/>
    </row>
    <row r="581" spans="7:9" x14ac:dyDescent="0.2">
      <c r="G581" s="23"/>
      <c r="H581" s="23"/>
      <c r="I581" s="23"/>
    </row>
    <row r="582" spans="7:9" x14ac:dyDescent="0.2">
      <c r="G582" s="23"/>
      <c r="H582" s="23"/>
      <c r="I582" s="23"/>
    </row>
    <row r="583" spans="7:9" x14ac:dyDescent="0.2">
      <c r="G583" s="23"/>
      <c r="H583" s="23"/>
      <c r="I583" s="23"/>
    </row>
    <row r="584" spans="7:9" x14ac:dyDescent="0.2">
      <c r="G584" s="23"/>
      <c r="H584" s="23"/>
      <c r="I584" s="23"/>
    </row>
    <row r="585" spans="7:9" x14ac:dyDescent="0.2">
      <c r="G585" s="23"/>
      <c r="H585" s="23"/>
      <c r="I585" s="23"/>
    </row>
    <row r="586" spans="7:9" x14ac:dyDescent="0.2">
      <c r="G586" s="23"/>
      <c r="H586" s="23"/>
      <c r="I586" s="23"/>
    </row>
    <row r="587" spans="7:9" x14ac:dyDescent="0.2">
      <c r="G587" s="23"/>
      <c r="H587" s="23"/>
      <c r="I587" s="23"/>
    </row>
    <row r="588" spans="7:9" x14ac:dyDescent="0.2">
      <c r="G588" s="23"/>
      <c r="H588" s="23"/>
      <c r="I588" s="23"/>
    </row>
    <row r="589" spans="7:9" x14ac:dyDescent="0.2">
      <c r="G589" s="23"/>
      <c r="H589" s="23"/>
      <c r="I589" s="23"/>
    </row>
    <row r="590" spans="7:9" x14ac:dyDescent="0.2">
      <c r="G590" s="23"/>
      <c r="H590" s="23"/>
      <c r="I590" s="23"/>
    </row>
    <row r="591" spans="7:9" x14ac:dyDescent="0.2">
      <c r="G591" s="23"/>
      <c r="H591" s="23"/>
      <c r="I591" s="23"/>
    </row>
    <row r="592" spans="7:9" x14ac:dyDescent="0.2">
      <c r="G592" s="23"/>
      <c r="H592" s="23"/>
      <c r="I592" s="23"/>
    </row>
    <row r="593" spans="7:9" x14ac:dyDescent="0.2">
      <c r="G593" s="23"/>
      <c r="H593" s="23"/>
      <c r="I593" s="23"/>
    </row>
    <row r="594" spans="7:9" x14ac:dyDescent="0.2">
      <c r="G594" s="23"/>
      <c r="H594" s="23"/>
      <c r="I594" s="23"/>
    </row>
    <row r="595" spans="7:9" x14ac:dyDescent="0.2">
      <c r="G595" s="23"/>
      <c r="H595" s="23"/>
      <c r="I595" s="23"/>
    </row>
    <row r="596" spans="7:9" x14ac:dyDescent="0.2">
      <c r="G596" s="23"/>
      <c r="H596" s="23"/>
      <c r="I596" s="23"/>
    </row>
    <row r="597" spans="7:9" x14ac:dyDescent="0.2">
      <c r="G597" s="23"/>
      <c r="H597" s="23"/>
      <c r="I597" s="23"/>
    </row>
    <row r="598" spans="7:9" x14ac:dyDescent="0.2">
      <c r="G598" s="23"/>
      <c r="H598" s="23"/>
      <c r="I598" s="23"/>
    </row>
    <row r="599" spans="7:9" x14ac:dyDescent="0.2">
      <c r="G599" s="23"/>
      <c r="H599" s="23"/>
      <c r="I599" s="23"/>
    </row>
    <row r="600" spans="7:9" x14ac:dyDescent="0.2">
      <c r="G600" s="23"/>
      <c r="H600" s="23"/>
      <c r="I600" s="23"/>
    </row>
    <row r="601" spans="7:9" x14ac:dyDescent="0.2">
      <c r="G601" s="23"/>
      <c r="H601" s="23"/>
      <c r="I601" s="23"/>
    </row>
    <row r="602" spans="7:9" x14ac:dyDescent="0.2">
      <c r="G602" s="23"/>
      <c r="H602" s="23"/>
      <c r="I602" s="23"/>
    </row>
    <row r="603" spans="7:9" x14ac:dyDescent="0.2">
      <c r="G603" s="23"/>
      <c r="H603" s="23"/>
      <c r="I603" s="23"/>
    </row>
    <row r="604" spans="7:9" x14ac:dyDescent="0.2">
      <c r="G604" s="23"/>
      <c r="H604" s="23"/>
      <c r="I604" s="23"/>
    </row>
    <row r="605" spans="7:9" x14ac:dyDescent="0.2">
      <c r="G605" s="23"/>
      <c r="H605" s="23"/>
      <c r="I605" s="23"/>
    </row>
    <row r="606" spans="7:9" x14ac:dyDescent="0.2">
      <c r="G606" s="23"/>
      <c r="H606" s="23"/>
      <c r="I606" s="23"/>
    </row>
    <row r="607" spans="7:9" x14ac:dyDescent="0.2">
      <c r="G607" s="23"/>
      <c r="H607" s="23"/>
      <c r="I607" s="23"/>
    </row>
    <row r="608" spans="7:9" x14ac:dyDescent="0.2">
      <c r="G608" s="23"/>
      <c r="H608" s="23"/>
      <c r="I608" s="23"/>
    </row>
    <row r="609" spans="7:9" x14ac:dyDescent="0.2">
      <c r="G609" s="23"/>
      <c r="H609" s="23"/>
      <c r="I609" s="23"/>
    </row>
    <row r="610" spans="7:9" x14ac:dyDescent="0.2">
      <c r="G610" s="23"/>
      <c r="H610" s="23"/>
      <c r="I610" s="23"/>
    </row>
    <row r="611" spans="7:9" x14ac:dyDescent="0.2">
      <c r="G611" s="23"/>
      <c r="H611" s="23"/>
      <c r="I611" s="23"/>
    </row>
    <row r="612" spans="7:9" x14ac:dyDescent="0.2">
      <c r="G612" s="23"/>
      <c r="H612" s="23"/>
      <c r="I612" s="23"/>
    </row>
    <row r="613" spans="7:9" x14ac:dyDescent="0.2">
      <c r="G613" s="23"/>
      <c r="H613" s="23"/>
      <c r="I613" s="23"/>
    </row>
    <row r="614" spans="7:9" x14ac:dyDescent="0.2">
      <c r="G614" s="23"/>
      <c r="H614" s="23"/>
      <c r="I614" s="23"/>
    </row>
    <row r="615" spans="7:9" x14ac:dyDescent="0.2">
      <c r="G615" s="23"/>
      <c r="H615" s="23"/>
      <c r="I615" s="23"/>
    </row>
    <row r="616" spans="7:9" x14ac:dyDescent="0.2">
      <c r="G616" s="23"/>
      <c r="H616" s="23"/>
      <c r="I616" s="23"/>
    </row>
    <row r="617" spans="7:9" x14ac:dyDescent="0.2">
      <c r="G617" s="23"/>
      <c r="H617" s="23"/>
      <c r="I617" s="23"/>
    </row>
    <row r="618" spans="7:9" x14ac:dyDescent="0.2">
      <c r="G618" s="23"/>
      <c r="H618" s="23"/>
      <c r="I618" s="23"/>
    </row>
    <row r="619" spans="7:9" x14ac:dyDescent="0.2">
      <c r="G619" s="23"/>
      <c r="H619" s="23"/>
      <c r="I619" s="23"/>
    </row>
    <row r="620" spans="7:9" x14ac:dyDescent="0.2">
      <c r="G620" s="23"/>
      <c r="H620" s="23"/>
      <c r="I620" s="23"/>
    </row>
    <row r="621" spans="7:9" x14ac:dyDescent="0.2">
      <c r="G621" s="23"/>
      <c r="H621" s="23"/>
      <c r="I621" s="23"/>
    </row>
    <row r="622" spans="7:9" x14ac:dyDescent="0.2">
      <c r="G622" s="23"/>
      <c r="H622" s="23"/>
      <c r="I622" s="23"/>
    </row>
    <row r="623" spans="7:9" x14ac:dyDescent="0.2">
      <c r="G623" s="23"/>
      <c r="H623" s="23"/>
      <c r="I623" s="23"/>
    </row>
    <row r="624" spans="7:9" x14ac:dyDescent="0.2">
      <c r="G624" s="23"/>
      <c r="H624" s="23"/>
      <c r="I624" s="23"/>
    </row>
    <row r="625" spans="7:9" x14ac:dyDescent="0.2">
      <c r="G625" s="23"/>
      <c r="H625" s="23"/>
      <c r="I625" s="23"/>
    </row>
    <row r="626" spans="7:9" x14ac:dyDescent="0.2">
      <c r="G626" s="23"/>
      <c r="H626" s="23"/>
      <c r="I626" s="23"/>
    </row>
    <row r="627" spans="7:9" x14ac:dyDescent="0.2">
      <c r="G627" s="23"/>
      <c r="H627" s="23"/>
      <c r="I627" s="23"/>
    </row>
    <row r="628" spans="7:9" x14ac:dyDescent="0.2">
      <c r="G628" s="23"/>
      <c r="H628" s="23"/>
      <c r="I628" s="23"/>
    </row>
    <row r="629" spans="7:9" x14ac:dyDescent="0.2">
      <c r="G629" s="23"/>
      <c r="H629" s="23"/>
      <c r="I629" s="23"/>
    </row>
    <row r="630" spans="7:9" x14ac:dyDescent="0.2">
      <c r="G630" s="23"/>
      <c r="H630" s="23"/>
      <c r="I630" s="23"/>
    </row>
    <row r="631" spans="7:9" x14ac:dyDescent="0.2">
      <c r="G631" s="23"/>
      <c r="H631" s="23"/>
      <c r="I631" s="23"/>
    </row>
    <row r="632" spans="7:9" x14ac:dyDescent="0.2">
      <c r="G632" s="23"/>
      <c r="H632" s="23"/>
      <c r="I632" s="23"/>
    </row>
    <row r="633" spans="7:9" x14ac:dyDescent="0.2">
      <c r="G633" s="23"/>
      <c r="H633" s="23"/>
      <c r="I633" s="23"/>
    </row>
    <row r="634" spans="7:9" x14ac:dyDescent="0.2">
      <c r="G634" s="23"/>
      <c r="H634" s="23"/>
      <c r="I634" s="23"/>
    </row>
    <row r="635" spans="7:9" x14ac:dyDescent="0.2">
      <c r="G635" s="23"/>
      <c r="H635" s="23"/>
      <c r="I635" s="23"/>
    </row>
    <row r="636" spans="7:9" x14ac:dyDescent="0.2">
      <c r="G636" s="23"/>
      <c r="H636" s="23"/>
      <c r="I636" s="23"/>
    </row>
    <row r="637" spans="7:9" x14ac:dyDescent="0.2">
      <c r="G637" s="23"/>
      <c r="H637" s="23"/>
      <c r="I637" s="23"/>
    </row>
    <row r="638" spans="7:9" x14ac:dyDescent="0.2">
      <c r="G638" s="23"/>
      <c r="H638" s="23"/>
      <c r="I638" s="23"/>
    </row>
    <row r="639" spans="7:9" x14ac:dyDescent="0.2">
      <c r="G639" s="23"/>
      <c r="H639" s="23"/>
      <c r="I639" s="23"/>
    </row>
    <row r="640" spans="7:9" x14ac:dyDescent="0.2">
      <c r="G640" s="23"/>
      <c r="H640" s="23"/>
      <c r="I640" s="23"/>
    </row>
    <row r="641" spans="7:9" x14ac:dyDescent="0.2">
      <c r="G641" s="23"/>
      <c r="H641" s="23"/>
      <c r="I641" s="23"/>
    </row>
    <row r="642" spans="7:9" x14ac:dyDescent="0.2">
      <c r="G642" s="23"/>
      <c r="H642" s="23"/>
      <c r="I642" s="23"/>
    </row>
    <row r="643" spans="7:9" x14ac:dyDescent="0.2">
      <c r="G643" s="23"/>
      <c r="H643" s="23"/>
      <c r="I643" s="23"/>
    </row>
    <row r="644" spans="7:9" x14ac:dyDescent="0.2">
      <c r="G644" s="23"/>
      <c r="H644" s="23"/>
      <c r="I644" s="23"/>
    </row>
    <row r="645" spans="7:9" x14ac:dyDescent="0.2">
      <c r="G645" s="23"/>
      <c r="H645" s="23"/>
      <c r="I645" s="23"/>
    </row>
    <row r="646" spans="7:9" x14ac:dyDescent="0.2">
      <c r="G646" s="23"/>
      <c r="H646" s="23"/>
      <c r="I646" s="23"/>
    </row>
    <row r="647" spans="7:9" x14ac:dyDescent="0.2">
      <c r="G647" s="23"/>
      <c r="H647" s="23"/>
      <c r="I647" s="23"/>
    </row>
    <row r="648" spans="7:9" x14ac:dyDescent="0.2">
      <c r="G648" s="23"/>
      <c r="H648" s="23"/>
      <c r="I648" s="23"/>
    </row>
    <row r="649" spans="7:9" x14ac:dyDescent="0.2">
      <c r="G649" s="23"/>
      <c r="H649" s="23"/>
      <c r="I649" s="23"/>
    </row>
    <row r="650" spans="7:9" x14ac:dyDescent="0.2">
      <c r="G650" s="23"/>
      <c r="H650" s="23"/>
      <c r="I650" s="23"/>
    </row>
    <row r="651" spans="7:9" x14ac:dyDescent="0.2">
      <c r="G651" s="23"/>
      <c r="H651" s="23"/>
      <c r="I651" s="23"/>
    </row>
    <row r="652" spans="7:9" x14ac:dyDescent="0.2">
      <c r="G652" s="23"/>
      <c r="H652" s="23"/>
      <c r="I652" s="23"/>
    </row>
    <row r="653" spans="7:9" x14ac:dyDescent="0.2">
      <c r="G653" s="23"/>
      <c r="H653" s="23"/>
      <c r="I653" s="23"/>
    </row>
    <row r="654" spans="7:9" x14ac:dyDescent="0.2">
      <c r="G654" s="23"/>
      <c r="H654" s="23"/>
      <c r="I654" s="23"/>
    </row>
    <row r="655" spans="7:9" x14ac:dyDescent="0.2">
      <c r="G655" s="23"/>
      <c r="H655" s="23"/>
      <c r="I655" s="23"/>
    </row>
    <row r="656" spans="7:9" x14ac:dyDescent="0.2">
      <c r="G656" s="23"/>
      <c r="H656" s="23"/>
      <c r="I656" s="23"/>
    </row>
    <row r="657" spans="7:9" x14ac:dyDescent="0.2">
      <c r="G657" s="23"/>
      <c r="H657" s="23"/>
      <c r="I657" s="23"/>
    </row>
    <row r="658" spans="7:9" x14ac:dyDescent="0.2">
      <c r="G658" s="23"/>
      <c r="H658" s="23"/>
      <c r="I658" s="23"/>
    </row>
    <row r="659" spans="7:9" x14ac:dyDescent="0.2">
      <c r="G659" s="23"/>
      <c r="H659" s="23"/>
      <c r="I659" s="23"/>
    </row>
    <row r="660" spans="7:9" x14ac:dyDescent="0.2">
      <c r="G660" s="23"/>
      <c r="H660" s="23"/>
      <c r="I660" s="23"/>
    </row>
    <row r="661" spans="7:9" x14ac:dyDescent="0.2">
      <c r="G661" s="23"/>
      <c r="H661" s="23"/>
      <c r="I661" s="23"/>
    </row>
    <row r="662" spans="7:9" x14ac:dyDescent="0.2">
      <c r="G662" s="23"/>
      <c r="H662" s="23"/>
      <c r="I662" s="23"/>
    </row>
    <row r="663" spans="7:9" x14ac:dyDescent="0.2">
      <c r="G663" s="23"/>
      <c r="H663" s="23"/>
      <c r="I663" s="23"/>
    </row>
    <row r="664" spans="7:9" x14ac:dyDescent="0.2">
      <c r="G664" s="23"/>
      <c r="H664" s="23"/>
      <c r="I664" s="23"/>
    </row>
    <row r="665" spans="7:9" x14ac:dyDescent="0.2">
      <c r="G665" s="23"/>
      <c r="H665" s="23"/>
      <c r="I665" s="23"/>
    </row>
    <row r="666" spans="7:9" x14ac:dyDescent="0.2">
      <c r="G666" s="23"/>
      <c r="H666" s="23"/>
      <c r="I666" s="23"/>
    </row>
    <row r="667" spans="7:9" x14ac:dyDescent="0.2">
      <c r="G667" s="23"/>
      <c r="H667" s="23"/>
      <c r="I667" s="23"/>
    </row>
    <row r="668" spans="7:9" x14ac:dyDescent="0.2">
      <c r="G668" s="23"/>
      <c r="H668" s="23"/>
      <c r="I668" s="23"/>
    </row>
    <row r="669" spans="7:9" x14ac:dyDescent="0.2">
      <c r="G669" s="23"/>
      <c r="H669" s="23"/>
      <c r="I669" s="23"/>
    </row>
    <row r="670" spans="7:9" x14ac:dyDescent="0.2">
      <c r="G670" s="23"/>
      <c r="H670" s="23"/>
      <c r="I670" s="23"/>
    </row>
    <row r="671" spans="7:9" x14ac:dyDescent="0.2">
      <c r="G671" s="23"/>
      <c r="H671" s="23"/>
      <c r="I671" s="23"/>
    </row>
    <row r="672" spans="7:9" x14ac:dyDescent="0.2">
      <c r="G672" s="23"/>
      <c r="H672" s="23"/>
      <c r="I672" s="23"/>
    </row>
    <row r="673" spans="7:9" x14ac:dyDescent="0.2">
      <c r="G673" s="23"/>
      <c r="H673" s="23"/>
      <c r="I673" s="23"/>
    </row>
    <row r="674" spans="7:9" x14ac:dyDescent="0.2">
      <c r="G674" s="23"/>
      <c r="H674" s="23"/>
      <c r="I674" s="23"/>
    </row>
    <row r="675" spans="7:9" x14ac:dyDescent="0.2">
      <c r="G675" s="23"/>
      <c r="H675" s="23"/>
      <c r="I675" s="23"/>
    </row>
    <row r="676" spans="7:9" x14ac:dyDescent="0.2">
      <c r="G676" s="23"/>
      <c r="H676" s="23"/>
      <c r="I676" s="23"/>
    </row>
    <row r="677" spans="7:9" x14ac:dyDescent="0.2">
      <c r="G677" s="23"/>
      <c r="H677" s="23"/>
      <c r="I677" s="23"/>
    </row>
    <row r="678" spans="7:9" x14ac:dyDescent="0.2">
      <c r="G678" s="23"/>
      <c r="H678" s="23"/>
      <c r="I678" s="23"/>
    </row>
    <row r="679" spans="7:9" x14ac:dyDescent="0.2">
      <c r="G679" s="23"/>
      <c r="H679" s="23"/>
      <c r="I679" s="23"/>
    </row>
    <row r="680" spans="7:9" x14ac:dyDescent="0.2">
      <c r="G680" s="23"/>
      <c r="H680" s="23"/>
      <c r="I680" s="23"/>
    </row>
    <row r="681" spans="7:9" x14ac:dyDescent="0.2">
      <c r="G681" s="23"/>
      <c r="H681" s="23"/>
      <c r="I681" s="23"/>
    </row>
    <row r="682" spans="7:9" x14ac:dyDescent="0.2">
      <c r="G682" s="23"/>
      <c r="H682" s="23"/>
      <c r="I682" s="23"/>
    </row>
    <row r="683" spans="7:9" x14ac:dyDescent="0.2">
      <c r="G683" s="23"/>
      <c r="H683" s="23"/>
      <c r="I683" s="23"/>
    </row>
    <row r="684" spans="7:9" x14ac:dyDescent="0.2">
      <c r="G684" s="23"/>
      <c r="H684" s="23"/>
      <c r="I684" s="23"/>
    </row>
    <row r="685" spans="7:9" x14ac:dyDescent="0.2">
      <c r="G685" s="23"/>
      <c r="H685" s="23"/>
      <c r="I685" s="23"/>
    </row>
    <row r="686" spans="7:9" x14ac:dyDescent="0.2">
      <c r="G686" s="23"/>
      <c r="H686" s="23"/>
      <c r="I686" s="23"/>
    </row>
    <row r="687" spans="7:9" x14ac:dyDescent="0.2">
      <c r="G687" s="23"/>
      <c r="H687" s="23"/>
      <c r="I687" s="23"/>
    </row>
    <row r="688" spans="7:9" x14ac:dyDescent="0.2">
      <c r="G688" s="23"/>
      <c r="H688" s="23"/>
      <c r="I688" s="23"/>
    </row>
    <row r="689" spans="7:9" x14ac:dyDescent="0.2">
      <c r="G689" s="23"/>
      <c r="H689" s="23"/>
      <c r="I689" s="23"/>
    </row>
    <row r="690" spans="7:9" x14ac:dyDescent="0.2">
      <c r="G690" s="23"/>
      <c r="H690" s="23"/>
      <c r="I690" s="23"/>
    </row>
    <row r="691" spans="7:9" x14ac:dyDescent="0.2">
      <c r="G691" s="23"/>
      <c r="H691" s="23"/>
      <c r="I691" s="23"/>
    </row>
    <row r="692" spans="7:9" x14ac:dyDescent="0.2">
      <c r="G692" s="23"/>
      <c r="H692" s="23"/>
      <c r="I692" s="23"/>
    </row>
    <row r="693" spans="7:9" x14ac:dyDescent="0.2">
      <c r="G693" s="23"/>
      <c r="H693" s="23"/>
      <c r="I693" s="23"/>
    </row>
    <row r="694" spans="7:9" x14ac:dyDescent="0.2">
      <c r="G694" s="23"/>
      <c r="H694" s="23"/>
      <c r="I694" s="23"/>
    </row>
    <row r="695" spans="7:9" x14ac:dyDescent="0.2">
      <c r="G695" s="23"/>
      <c r="H695" s="23"/>
      <c r="I695" s="23"/>
    </row>
    <row r="696" spans="7:9" x14ac:dyDescent="0.2">
      <c r="G696" s="23"/>
      <c r="H696" s="23"/>
      <c r="I696" s="23"/>
    </row>
    <row r="697" spans="7:9" x14ac:dyDescent="0.2">
      <c r="G697" s="23"/>
      <c r="H697" s="23"/>
      <c r="I697" s="23"/>
    </row>
    <row r="698" spans="7:9" x14ac:dyDescent="0.2">
      <c r="G698" s="23"/>
      <c r="H698" s="23"/>
      <c r="I698" s="23"/>
    </row>
    <row r="699" spans="7:9" x14ac:dyDescent="0.2">
      <c r="G699" s="23"/>
      <c r="H699" s="23"/>
      <c r="I699" s="23"/>
    </row>
    <row r="700" spans="7:9" x14ac:dyDescent="0.2">
      <c r="G700" s="23"/>
      <c r="H700" s="23"/>
      <c r="I700" s="23"/>
    </row>
    <row r="701" spans="7:9" x14ac:dyDescent="0.2">
      <c r="G701" s="23"/>
      <c r="H701" s="23"/>
      <c r="I701" s="23"/>
    </row>
    <row r="702" spans="7:9" x14ac:dyDescent="0.2">
      <c r="G702" s="23"/>
      <c r="H702" s="23"/>
      <c r="I702" s="23"/>
    </row>
    <row r="703" spans="7:9" x14ac:dyDescent="0.2">
      <c r="G703" s="23"/>
      <c r="H703" s="23"/>
      <c r="I703" s="23"/>
    </row>
    <row r="704" spans="7:9" x14ac:dyDescent="0.2">
      <c r="G704" s="23"/>
      <c r="H704" s="23"/>
      <c r="I704" s="23"/>
    </row>
    <row r="705" spans="7:9" x14ac:dyDescent="0.2">
      <c r="G705" s="23"/>
      <c r="H705" s="23"/>
      <c r="I705" s="23"/>
    </row>
    <row r="706" spans="7:9" x14ac:dyDescent="0.2">
      <c r="G706" s="23"/>
      <c r="H706" s="23"/>
      <c r="I706" s="23"/>
    </row>
    <row r="707" spans="7:9" x14ac:dyDescent="0.2">
      <c r="G707" s="23"/>
      <c r="H707" s="23"/>
      <c r="I707" s="23"/>
    </row>
    <row r="708" spans="7:9" x14ac:dyDescent="0.2">
      <c r="G708" s="23"/>
      <c r="H708" s="23"/>
      <c r="I708" s="23"/>
    </row>
    <row r="709" spans="7:9" x14ac:dyDescent="0.2">
      <c r="G709" s="23"/>
      <c r="H709" s="23"/>
      <c r="I709" s="23"/>
    </row>
    <row r="710" spans="7:9" x14ac:dyDescent="0.2">
      <c r="G710" s="23"/>
      <c r="H710" s="23"/>
      <c r="I710" s="23"/>
    </row>
    <row r="711" spans="7:9" x14ac:dyDescent="0.2">
      <c r="G711" s="23"/>
      <c r="H711" s="23"/>
      <c r="I711" s="23"/>
    </row>
    <row r="712" spans="7:9" x14ac:dyDescent="0.2">
      <c r="G712" s="23"/>
      <c r="H712" s="23"/>
      <c r="I712" s="23"/>
    </row>
    <row r="713" spans="7:9" x14ac:dyDescent="0.2">
      <c r="G713" s="23"/>
      <c r="H713" s="23"/>
      <c r="I713" s="23"/>
    </row>
    <row r="714" spans="7:9" x14ac:dyDescent="0.2">
      <c r="G714" s="23"/>
      <c r="H714" s="23"/>
      <c r="I714" s="23"/>
    </row>
    <row r="715" spans="7:9" x14ac:dyDescent="0.2">
      <c r="G715" s="23"/>
      <c r="H715" s="23"/>
      <c r="I715" s="23"/>
    </row>
    <row r="716" spans="7:9" x14ac:dyDescent="0.2">
      <c r="G716" s="23"/>
      <c r="H716" s="23"/>
      <c r="I716" s="23"/>
    </row>
    <row r="717" spans="7:9" x14ac:dyDescent="0.2">
      <c r="G717" s="23"/>
      <c r="H717" s="23"/>
      <c r="I717" s="23"/>
    </row>
    <row r="718" spans="7:9" x14ac:dyDescent="0.2">
      <c r="G718" s="23"/>
      <c r="H718" s="23"/>
      <c r="I718" s="23"/>
    </row>
    <row r="719" spans="7:9" x14ac:dyDescent="0.2">
      <c r="G719" s="23"/>
      <c r="H719" s="23"/>
      <c r="I719" s="23"/>
    </row>
    <row r="720" spans="7:9" x14ac:dyDescent="0.2">
      <c r="G720" s="23"/>
      <c r="H720" s="23"/>
      <c r="I720" s="23"/>
    </row>
    <row r="721" spans="7:9" x14ac:dyDescent="0.2">
      <c r="G721" s="23"/>
      <c r="H721" s="23"/>
      <c r="I721" s="23"/>
    </row>
    <row r="722" spans="7:9" x14ac:dyDescent="0.2">
      <c r="G722" s="23"/>
      <c r="H722" s="23"/>
      <c r="I722" s="23"/>
    </row>
    <row r="723" spans="7:9" x14ac:dyDescent="0.2">
      <c r="G723" s="23"/>
      <c r="H723" s="23"/>
      <c r="I723" s="23"/>
    </row>
    <row r="724" spans="7:9" x14ac:dyDescent="0.2">
      <c r="G724" s="23"/>
      <c r="H724" s="23"/>
      <c r="I724" s="23"/>
    </row>
    <row r="725" spans="7:9" x14ac:dyDescent="0.2">
      <c r="G725" s="23"/>
      <c r="H725" s="23"/>
      <c r="I725" s="23"/>
    </row>
    <row r="726" spans="7:9" x14ac:dyDescent="0.2">
      <c r="G726" s="23"/>
      <c r="H726" s="23"/>
      <c r="I726" s="23"/>
    </row>
    <row r="727" spans="7:9" x14ac:dyDescent="0.2">
      <c r="G727" s="23"/>
      <c r="H727" s="23"/>
      <c r="I727" s="23"/>
    </row>
    <row r="728" spans="7:9" x14ac:dyDescent="0.2">
      <c r="G728" s="23"/>
      <c r="H728" s="23"/>
      <c r="I728" s="23"/>
    </row>
    <row r="729" spans="7:9" x14ac:dyDescent="0.2">
      <c r="G729" s="23"/>
      <c r="H729" s="23"/>
      <c r="I729" s="23"/>
    </row>
    <row r="730" spans="7:9" x14ac:dyDescent="0.2">
      <c r="G730" s="23"/>
      <c r="H730" s="23"/>
      <c r="I730" s="23"/>
    </row>
    <row r="731" spans="7:9" x14ac:dyDescent="0.2">
      <c r="G731" s="23"/>
      <c r="H731" s="23"/>
      <c r="I731" s="23"/>
    </row>
    <row r="732" spans="7:9" x14ac:dyDescent="0.2">
      <c r="G732" s="23"/>
      <c r="H732" s="23"/>
      <c r="I732" s="23"/>
    </row>
    <row r="733" spans="7:9" x14ac:dyDescent="0.2">
      <c r="G733" s="23"/>
      <c r="H733" s="23"/>
      <c r="I733" s="23"/>
    </row>
    <row r="734" spans="7:9" x14ac:dyDescent="0.2">
      <c r="G734" s="23"/>
      <c r="H734" s="23"/>
      <c r="I734" s="23"/>
    </row>
    <row r="735" spans="7:9" x14ac:dyDescent="0.2">
      <c r="G735" s="23"/>
      <c r="H735" s="23"/>
      <c r="I735" s="23"/>
    </row>
    <row r="736" spans="7:9" x14ac:dyDescent="0.2">
      <c r="G736" s="23"/>
      <c r="H736" s="23"/>
      <c r="I736" s="23"/>
    </row>
    <row r="737" spans="7:9" x14ac:dyDescent="0.2">
      <c r="G737" s="23"/>
      <c r="H737" s="23"/>
      <c r="I737" s="23"/>
    </row>
    <row r="738" spans="7:9" x14ac:dyDescent="0.2">
      <c r="G738" s="23"/>
      <c r="H738" s="23"/>
      <c r="I738" s="23"/>
    </row>
    <row r="739" spans="7:9" x14ac:dyDescent="0.2">
      <c r="G739" s="23"/>
      <c r="H739" s="23"/>
      <c r="I739" s="23"/>
    </row>
    <row r="740" spans="7:9" x14ac:dyDescent="0.2">
      <c r="G740" s="23"/>
      <c r="H740" s="23"/>
      <c r="I740" s="23"/>
    </row>
    <row r="741" spans="7:9" x14ac:dyDescent="0.2">
      <c r="G741" s="23"/>
      <c r="H741" s="23"/>
      <c r="I741" s="23"/>
    </row>
    <row r="742" spans="7:9" x14ac:dyDescent="0.2">
      <c r="G742" s="23"/>
      <c r="H742" s="23"/>
      <c r="I742" s="23"/>
    </row>
    <row r="743" spans="7:9" x14ac:dyDescent="0.2">
      <c r="G743" s="23"/>
      <c r="H743" s="23"/>
      <c r="I743" s="23"/>
    </row>
    <row r="744" spans="7:9" x14ac:dyDescent="0.2">
      <c r="G744" s="23"/>
      <c r="H744" s="23"/>
      <c r="I744" s="23"/>
    </row>
    <row r="745" spans="7:9" x14ac:dyDescent="0.2">
      <c r="G745" s="23"/>
      <c r="H745" s="23"/>
      <c r="I745" s="23"/>
    </row>
    <row r="746" spans="7:9" x14ac:dyDescent="0.2">
      <c r="G746" s="23"/>
      <c r="H746" s="23"/>
      <c r="I746" s="23"/>
    </row>
    <row r="747" spans="7:9" x14ac:dyDescent="0.2">
      <c r="G747" s="23"/>
      <c r="H747" s="23"/>
      <c r="I747" s="23"/>
    </row>
    <row r="748" spans="7:9" x14ac:dyDescent="0.2">
      <c r="G748" s="23"/>
      <c r="H748" s="23"/>
      <c r="I748" s="23"/>
    </row>
    <row r="749" spans="7:9" x14ac:dyDescent="0.2">
      <c r="G749" s="23"/>
      <c r="H749" s="23"/>
      <c r="I749" s="23"/>
    </row>
    <row r="750" spans="7:9" x14ac:dyDescent="0.2">
      <c r="G750" s="23"/>
      <c r="H750" s="23"/>
      <c r="I750" s="23"/>
    </row>
    <row r="751" spans="7:9" x14ac:dyDescent="0.2">
      <c r="G751" s="23"/>
      <c r="H751" s="23"/>
      <c r="I751" s="23"/>
    </row>
    <row r="752" spans="7:9" x14ac:dyDescent="0.2">
      <c r="G752" s="23"/>
      <c r="H752" s="23"/>
      <c r="I752" s="23"/>
    </row>
    <row r="753" spans="7:9" x14ac:dyDescent="0.2">
      <c r="G753" s="23"/>
      <c r="H753" s="23"/>
      <c r="I753" s="23"/>
    </row>
    <row r="754" spans="7:9" x14ac:dyDescent="0.2">
      <c r="G754" s="23"/>
      <c r="H754" s="23"/>
      <c r="I754" s="23"/>
    </row>
    <row r="755" spans="7:9" x14ac:dyDescent="0.2">
      <c r="G755" s="23"/>
      <c r="H755" s="23"/>
      <c r="I755" s="23"/>
    </row>
    <row r="756" spans="7:9" x14ac:dyDescent="0.2">
      <c r="G756" s="23"/>
      <c r="H756" s="23"/>
      <c r="I756" s="23"/>
    </row>
    <row r="757" spans="7:9" x14ac:dyDescent="0.2">
      <c r="G757" s="23"/>
      <c r="H757" s="23"/>
      <c r="I757" s="23"/>
    </row>
    <row r="758" spans="7:9" x14ac:dyDescent="0.2">
      <c r="G758" s="23"/>
      <c r="H758" s="23"/>
      <c r="I758" s="23"/>
    </row>
    <row r="759" spans="7:9" x14ac:dyDescent="0.2">
      <c r="G759" s="23"/>
      <c r="H759" s="23"/>
      <c r="I759" s="23"/>
    </row>
    <row r="760" spans="7:9" x14ac:dyDescent="0.2">
      <c r="G760" s="23"/>
      <c r="H760" s="23"/>
      <c r="I760" s="23"/>
    </row>
    <row r="761" spans="7:9" x14ac:dyDescent="0.2">
      <c r="G761" s="23"/>
      <c r="H761" s="23"/>
      <c r="I761" s="23"/>
    </row>
    <row r="762" spans="7:9" x14ac:dyDescent="0.2">
      <c r="G762" s="23"/>
      <c r="H762" s="23"/>
      <c r="I762" s="23"/>
    </row>
    <row r="763" spans="7:9" x14ac:dyDescent="0.2">
      <c r="G763" s="23"/>
      <c r="H763" s="23"/>
      <c r="I763" s="23"/>
    </row>
    <row r="764" spans="7:9" x14ac:dyDescent="0.2">
      <c r="G764" s="23"/>
      <c r="H764" s="23"/>
      <c r="I764" s="23"/>
    </row>
    <row r="765" spans="7:9" x14ac:dyDescent="0.2">
      <c r="G765" s="23"/>
      <c r="H765" s="23"/>
      <c r="I765" s="23"/>
    </row>
    <row r="766" spans="7:9" x14ac:dyDescent="0.2">
      <c r="G766" s="23"/>
      <c r="H766" s="23"/>
      <c r="I766" s="23"/>
    </row>
    <row r="767" spans="7:9" x14ac:dyDescent="0.2">
      <c r="G767" s="23"/>
      <c r="H767" s="23"/>
      <c r="I767" s="23"/>
    </row>
    <row r="768" spans="7:9" x14ac:dyDescent="0.2">
      <c r="G768" s="23"/>
      <c r="H768" s="23"/>
      <c r="I768" s="23"/>
    </row>
    <row r="769" spans="7:9" x14ac:dyDescent="0.2">
      <c r="G769" s="23"/>
      <c r="H769" s="23"/>
      <c r="I769" s="23"/>
    </row>
    <row r="770" spans="7:9" x14ac:dyDescent="0.2">
      <c r="G770" s="23"/>
      <c r="H770" s="23"/>
      <c r="I770" s="23"/>
    </row>
    <row r="771" spans="7:9" x14ac:dyDescent="0.2">
      <c r="G771" s="23"/>
      <c r="H771" s="23"/>
      <c r="I771" s="23"/>
    </row>
    <row r="772" spans="7:9" x14ac:dyDescent="0.2">
      <c r="G772" s="23"/>
      <c r="H772" s="23"/>
      <c r="I772" s="23"/>
    </row>
    <row r="773" spans="7:9" x14ac:dyDescent="0.2">
      <c r="G773" s="23"/>
      <c r="H773" s="23"/>
      <c r="I773" s="23"/>
    </row>
    <row r="774" spans="7:9" x14ac:dyDescent="0.2">
      <c r="G774" s="23"/>
      <c r="H774" s="23"/>
      <c r="I774" s="23"/>
    </row>
    <row r="775" spans="7:9" x14ac:dyDescent="0.2">
      <c r="G775" s="23"/>
      <c r="H775" s="23"/>
      <c r="I775" s="23"/>
    </row>
    <row r="776" spans="7:9" x14ac:dyDescent="0.2">
      <c r="G776" s="23"/>
      <c r="H776" s="23"/>
      <c r="I776" s="23"/>
    </row>
    <row r="777" spans="7:9" x14ac:dyDescent="0.2">
      <c r="G777" s="23"/>
      <c r="H777" s="23"/>
      <c r="I777" s="23"/>
    </row>
    <row r="778" spans="7:9" x14ac:dyDescent="0.2">
      <c r="G778" s="23"/>
      <c r="H778" s="23"/>
      <c r="I778" s="23"/>
    </row>
    <row r="779" spans="7:9" x14ac:dyDescent="0.2">
      <c r="G779" s="23"/>
      <c r="H779" s="23"/>
      <c r="I779" s="23"/>
    </row>
    <row r="780" spans="7:9" x14ac:dyDescent="0.2">
      <c r="G780" s="23"/>
      <c r="H780" s="23"/>
      <c r="I780" s="23"/>
    </row>
    <row r="781" spans="7:9" x14ac:dyDescent="0.2">
      <c r="G781" s="23"/>
      <c r="H781" s="23"/>
      <c r="I781" s="23"/>
    </row>
    <row r="782" spans="7:9" x14ac:dyDescent="0.2">
      <c r="G782" s="23"/>
      <c r="H782" s="23"/>
      <c r="I782" s="23"/>
    </row>
    <row r="783" spans="7:9" x14ac:dyDescent="0.2">
      <c r="G783" s="23"/>
      <c r="H783" s="23"/>
      <c r="I783" s="23"/>
    </row>
    <row r="784" spans="7:9" x14ac:dyDescent="0.2">
      <c r="G784" s="23"/>
      <c r="H784" s="23"/>
      <c r="I784" s="23"/>
    </row>
    <row r="785" spans="7:9" x14ac:dyDescent="0.2">
      <c r="G785" s="23"/>
      <c r="H785" s="23"/>
      <c r="I785" s="23"/>
    </row>
    <row r="786" spans="7:9" x14ac:dyDescent="0.2">
      <c r="G786" s="23"/>
      <c r="H786" s="23"/>
      <c r="I786" s="23"/>
    </row>
    <row r="787" spans="7:9" x14ac:dyDescent="0.2">
      <c r="G787" s="23"/>
      <c r="H787" s="23"/>
      <c r="I787" s="23"/>
    </row>
    <row r="788" spans="7:9" x14ac:dyDescent="0.2">
      <c r="G788" s="23"/>
      <c r="H788" s="23"/>
      <c r="I788" s="23"/>
    </row>
    <row r="789" spans="7:9" x14ac:dyDescent="0.2">
      <c r="G789" s="23"/>
      <c r="H789" s="23"/>
      <c r="I789" s="23"/>
    </row>
    <row r="790" spans="7:9" x14ac:dyDescent="0.2">
      <c r="G790" s="23"/>
      <c r="H790" s="23"/>
      <c r="I790" s="23"/>
    </row>
    <row r="791" spans="7:9" x14ac:dyDescent="0.2">
      <c r="G791" s="23"/>
      <c r="H791" s="23"/>
      <c r="I791" s="23"/>
    </row>
    <row r="792" spans="7:9" x14ac:dyDescent="0.2">
      <c r="G792" s="23"/>
      <c r="H792" s="23"/>
      <c r="I792" s="23"/>
    </row>
    <row r="793" spans="7:9" x14ac:dyDescent="0.2">
      <c r="G793" s="23"/>
      <c r="H793" s="23"/>
      <c r="I793" s="23"/>
    </row>
    <row r="794" spans="7:9" x14ac:dyDescent="0.2">
      <c r="G794" s="23"/>
      <c r="H794" s="23"/>
      <c r="I794" s="23"/>
    </row>
    <row r="795" spans="7:9" x14ac:dyDescent="0.2">
      <c r="G795" s="23"/>
      <c r="H795" s="23"/>
      <c r="I795" s="23"/>
    </row>
    <row r="796" spans="7:9" x14ac:dyDescent="0.2">
      <c r="G796" s="23"/>
      <c r="H796" s="23"/>
      <c r="I796" s="23"/>
    </row>
    <row r="797" spans="7:9" x14ac:dyDescent="0.2">
      <c r="G797" s="23"/>
      <c r="H797" s="23"/>
      <c r="I797" s="23"/>
    </row>
    <row r="798" spans="7:9" x14ac:dyDescent="0.2">
      <c r="G798" s="23"/>
      <c r="H798" s="23"/>
      <c r="I798" s="23"/>
    </row>
    <row r="799" spans="7:9" x14ac:dyDescent="0.2">
      <c r="G799" s="23"/>
      <c r="H799" s="23"/>
      <c r="I799" s="23"/>
    </row>
    <row r="800" spans="7:9" x14ac:dyDescent="0.2">
      <c r="G800" s="23"/>
      <c r="H800" s="23"/>
      <c r="I800" s="23"/>
    </row>
    <row r="801" spans="7:9" x14ac:dyDescent="0.2">
      <c r="G801" s="23"/>
      <c r="H801" s="23"/>
      <c r="I801" s="23"/>
    </row>
    <row r="802" spans="7:9" x14ac:dyDescent="0.2">
      <c r="G802" s="23"/>
      <c r="H802" s="23"/>
      <c r="I802" s="23"/>
    </row>
    <row r="803" spans="7:9" x14ac:dyDescent="0.2">
      <c r="G803" s="23"/>
      <c r="H803" s="23"/>
      <c r="I803" s="23"/>
    </row>
    <row r="804" spans="7:9" x14ac:dyDescent="0.2">
      <c r="G804" s="23"/>
      <c r="H804" s="23"/>
      <c r="I804" s="23"/>
    </row>
    <row r="805" spans="7:9" x14ac:dyDescent="0.2">
      <c r="G805" s="23"/>
      <c r="H805" s="23"/>
      <c r="I805" s="23"/>
    </row>
    <row r="806" spans="7:9" x14ac:dyDescent="0.2">
      <c r="G806" s="23"/>
      <c r="H806" s="23"/>
      <c r="I806" s="23"/>
    </row>
    <row r="807" spans="7:9" x14ac:dyDescent="0.2">
      <c r="G807" s="23"/>
      <c r="H807" s="23"/>
      <c r="I807" s="23"/>
    </row>
    <row r="808" spans="7:9" x14ac:dyDescent="0.2">
      <c r="G808" s="23"/>
      <c r="H808" s="23"/>
      <c r="I808" s="23"/>
    </row>
    <row r="809" spans="7:9" x14ac:dyDescent="0.2">
      <c r="G809" s="23"/>
      <c r="H809" s="23"/>
      <c r="I809" s="23"/>
    </row>
    <row r="810" spans="7:9" x14ac:dyDescent="0.2">
      <c r="G810" s="23"/>
      <c r="H810" s="23"/>
      <c r="I810" s="23"/>
    </row>
    <row r="811" spans="7:9" x14ac:dyDescent="0.2">
      <c r="G811" s="23"/>
      <c r="H811" s="23"/>
      <c r="I811" s="23"/>
    </row>
    <row r="812" spans="7:9" x14ac:dyDescent="0.2">
      <c r="G812" s="23"/>
      <c r="H812" s="23"/>
      <c r="I812" s="23"/>
    </row>
    <row r="813" spans="7:9" x14ac:dyDescent="0.2">
      <c r="G813" s="23"/>
      <c r="H813" s="23"/>
      <c r="I813" s="23"/>
    </row>
    <row r="814" spans="7:9" x14ac:dyDescent="0.2">
      <c r="G814" s="23"/>
      <c r="H814" s="23"/>
      <c r="I814" s="23"/>
    </row>
    <row r="815" spans="7:9" x14ac:dyDescent="0.2">
      <c r="G815" s="23"/>
      <c r="H815" s="23"/>
      <c r="I815" s="23"/>
    </row>
    <row r="816" spans="7:9" x14ac:dyDescent="0.2">
      <c r="G816" s="23"/>
      <c r="H816" s="23"/>
      <c r="I816" s="23"/>
    </row>
    <row r="817" spans="7:9" x14ac:dyDescent="0.2">
      <c r="G817" s="23"/>
      <c r="H817" s="23"/>
      <c r="I817" s="23"/>
    </row>
    <row r="818" spans="7:9" x14ac:dyDescent="0.2">
      <c r="G818" s="23"/>
      <c r="H818" s="23"/>
      <c r="I818" s="23"/>
    </row>
    <row r="819" spans="7:9" x14ac:dyDescent="0.2">
      <c r="G819" s="23"/>
      <c r="H819" s="23"/>
      <c r="I819" s="23"/>
    </row>
    <row r="820" spans="7:9" x14ac:dyDescent="0.2">
      <c r="G820" s="23"/>
      <c r="H820" s="23"/>
      <c r="I820" s="23"/>
    </row>
    <row r="821" spans="7:9" x14ac:dyDescent="0.2">
      <c r="G821" s="23"/>
      <c r="H821" s="23"/>
      <c r="I821" s="23"/>
    </row>
    <row r="822" spans="7:9" x14ac:dyDescent="0.2">
      <c r="G822" s="23"/>
      <c r="H822" s="23"/>
      <c r="I822" s="23"/>
    </row>
    <row r="823" spans="7:9" x14ac:dyDescent="0.2">
      <c r="G823" s="23"/>
      <c r="H823" s="23"/>
      <c r="I823" s="23"/>
    </row>
    <row r="824" spans="7:9" x14ac:dyDescent="0.2">
      <c r="G824" s="23"/>
      <c r="H824" s="23"/>
      <c r="I824" s="23"/>
    </row>
    <row r="825" spans="7:9" x14ac:dyDescent="0.2">
      <c r="G825" s="23"/>
      <c r="H825" s="23"/>
      <c r="I825" s="23"/>
    </row>
    <row r="826" spans="7:9" x14ac:dyDescent="0.2">
      <c r="G826" s="23"/>
      <c r="H826" s="23"/>
      <c r="I826" s="23"/>
    </row>
    <row r="827" spans="7:9" x14ac:dyDescent="0.2">
      <c r="G827" s="23"/>
      <c r="H827" s="23"/>
      <c r="I827" s="23"/>
    </row>
    <row r="828" spans="7:9" x14ac:dyDescent="0.2">
      <c r="G828" s="23"/>
      <c r="H828" s="23"/>
      <c r="I828" s="23"/>
    </row>
    <row r="829" spans="7:9" x14ac:dyDescent="0.2">
      <c r="G829" s="23"/>
      <c r="H829" s="23"/>
      <c r="I829" s="23"/>
    </row>
    <row r="830" spans="7:9" x14ac:dyDescent="0.2">
      <c r="G830" s="23"/>
      <c r="H830" s="23"/>
      <c r="I830" s="23"/>
    </row>
    <row r="831" spans="7:9" x14ac:dyDescent="0.2">
      <c r="G831" s="23"/>
      <c r="H831" s="23"/>
      <c r="I831" s="23"/>
    </row>
    <row r="832" spans="7:9" x14ac:dyDescent="0.2">
      <c r="G832" s="23"/>
      <c r="H832" s="23"/>
      <c r="I832" s="23"/>
    </row>
    <row r="833" spans="7:9" x14ac:dyDescent="0.2">
      <c r="G833" s="23"/>
      <c r="H833" s="23"/>
      <c r="I833" s="23"/>
    </row>
    <row r="834" spans="7:9" x14ac:dyDescent="0.2">
      <c r="G834" s="23"/>
      <c r="H834" s="23"/>
      <c r="I834" s="23"/>
    </row>
    <row r="835" spans="7:9" x14ac:dyDescent="0.2">
      <c r="G835" s="23"/>
      <c r="H835" s="23"/>
      <c r="I835" s="23"/>
    </row>
    <row r="836" spans="7:9" x14ac:dyDescent="0.2">
      <c r="G836" s="23"/>
      <c r="H836" s="23"/>
      <c r="I836" s="23"/>
    </row>
    <row r="837" spans="7:9" x14ac:dyDescent="0.2">
      <c r="G837" s="23"/>
      <c r="H837" s="23"/>
      <c r="I837" s="23"/>
    </row>
    <row r="838" spans="7:9" x14ac:dyDescent="0.2">
      <c r="G838" s="23"/>
      <c r="H838" s="23"/>
      <c r="I838" s="23"/>
    </row>
    <row r="839" spans="7:9" x14ac:dyDescent="0.2">
      <c r="G839" s="23"/>
      <c r="H839" s="23"/>
      <c r="I839" s="23"/>
    </row>
    <row r="840" spans="7:9" x14ac:dyDescent="0.2">
      <c r="G840" s="23"/>
      <c r="H840" s="23"/>
      <c r="I840" s="23"/>
    </row>
    <row r="841" spans="7:9" x14ac:dyDescent="0.2">
      <c r="G841" s="23"/>
      <c r="H841" s="23"/>
      <c r="I841" s="23"/>
    </row>
    <row r="842" spans="7:9" x14ac:dyDescent="0.2">
      <c r="G842" s="23"/>
      <c r="H842" s="23"/>
      <c r="I842" s="23"/>
    </row>
    <row r="843" spans="7:9" x14ac:dyDescent="0.2">
      <c r="G843" s="23"/>
      <c r="H843" s="23"/>
      <c r="I843" s="23"/>
    </row>
    <row r="844" spans="7:9" x14ac:dyDescent="0.2">
      <c r="G844" s="23"/>
      <c r="H844" s="23"/>
      <c r="I844" s="23"/>
    </row>
    <row r="845" spans="7:9" x14ac:dyDescent="0.2">
      <c r="G845" s="23"/>
      <c r="H845" s="23"/>
      <c r="I845" s="23"/>
    </row>
    <row r="846" spans="7:9" x14ac:dyDescent="0.2">
      <c r="G846" s="23"/>
      <c r="H846" s="23"/>
      <c r="I846" s="23"/>
    </row>
    <row r="847" spans="7:9" x14ac:dyDescent="0.2">
      <c r="G847" s="23"/>
      <c r="H847" s="23"/>
      <c r="I847" s="23"/>
    </row>
    <row r="848" spans="7:9" x14ac:dyDescent="0.2">
      <c r="G848" s="23"/>
      <c r="H848" s="23"/>
      <c r="I848" s="23"/>
    </row>
    <row r="849" spans="7:9" x14ac:dyDescent="0.2">
      <c r="G849" s="23"/>
      <c r="H849" s="23"/>
      <c r="I849" s="23"/>
    </row>
    <row r="850" spans="7:9" x14ac:dyDescent="0.2">
      <c r="G850" s="23"/>
      <c r="H850" s="23"/>
      <c r="I850" s="23"/>
    </row>
    <row r="851" spans="7:9" x14ac:dyDescent="0.2">
      <c r="G851" s="23"/>
      <c r="H851" s="23"/>
      <c r="I851" s="23"/>
    </row>
    <row r="852" spans="7:9" x14ac:dyDescent="0.2">
      <c r="G852" s="23"/>
      <c r="H852" s="23"/>
      <c r="I852" s="23"/>
    </row>
    <row r="853" spans="7:9" x14ac:dyDescent="0.2">
      <c r="G853" s="23"/>
      <c r="H853" s="23"/>
      <c r="I853" s="23"/>
    </row>
    <row r="854" spans="7:9" x14ac:dyDescent="0.2">
      <c r="G854" s="23"/>
      <c r="H854" s="23"/>
      <c r="I854" s="23"/>
    </row>
    <row r="855" spans="7:9" x14ac:dyDescent="0.2">
      <c r="G855" s="23"/>
      <c r="H855" s="23"/>
      <c r="I855" s="23"/>
    </row>
    <row r="856" spans="7:9" x14ac:dyDescent="0.2">
      <c r="G856" s="23"/>
      <c r="H856" s="23"/>
      <c r="I856" s="23"/>
    </row>
    <row r="857" spans="7:9" x14ac:dyDescent="0.2">
      <c r="G857" s="23"/>
      <c r="H857" s="23"/>
      <c r="I857" s="23"/>
    </row>
    <row r="858" spans="7:9" x14ac:dyDescent="0.2">
      <c r="G858" s="23"/>
      <c r="H858" s="23"/>
      <c r="I858" s="23"/>
    </row>
    <row r="859" spans="7:9" x14ac:dyDescent="0.2">
      <c r="G859" s="23"/>
      <c r="H859" s="23"/>
      <c r="I859" s="23"/>
    </row>
    <row r="860" spans="7:9" x14ac:dyDescent="0.2">
      <c r="G860" s="23"/>
      <c r="H860" s="23"/>
      <c r="I860" s="23"/>
    </row>
    <row r="861" spans="7:9" x14ac:dyDescent="0.2">
      <c r="G861" s="23"/>
      <c r="H861" s="23"/>
      <c r="I861" s="23"/>
    </row>
    <row r="862" spans="7:9" x14ac:dyDescent="0.2">
      <c r="G862" s="23"/>
      <c r="H862" s="23"/>
      <c r="I862" s="23"/>
    </row>
    <row r="863" spans="7:9" x14ac:dyDescent="0.2">
      <c r="G863" s="23"/>
      <c r="H863" s="23"/>
      <c r="I863" s="23"/>
    </row>
    <row r="864" spans="7:9" x14ac:dyDescent="0.2">
      <c r="G864" s="23"/>
      <c r="H864" s="23"/>
      <c r="I864" s="23"/>
    </row>
    <row r="865" spans="7:9" x14ac:dyDescent="0.2">
      <c r="G865" s="23"/>
      <c r="H865" s="23"/>
      <c r="I865" s="23"/>
    </row>
    <row r="866" spans="7:9" x14ac:dyDescent="0.2">
      <c r="G866" s="23"/>
      <c r="H866" s="23"/>
      <c r="I866" s="23"/>
    </row>
    <row r="867" spans="7:9" x14ac:dyDescent="0.2">
      <c r="G867" s="23"/>
      <c r="H867" s="23"/>
      <c r="I867" s="23"/>
    </row>
    <row r="868" spans="7:9" x14ac:dyDescent="0.2">
      <c r="G868" s="23"/>
      <c r="H868" s="23"/>
      <c r="I868" s="23"/>
    </row>
    <row r="869" spans="7:9" x14ac:dyDescent="0.2">
      <c r="G869" s="23"/>
      <c r="H869" s="23"/>
      <c r="I869" s="23"/>
    </row>
    <row r="870" spans="7:9" x14ac:dyDescent="0.2">
      <c r="G870" s="23"/>
      <c r="H870" s="23"/>
      <c r="I870" s="23"/>
    </row>
    <row r="871" spans="7:9" x14ac:dyDescent="0.2">
      <c r="G871" s="23"/>
      <c r="H871" s="23"/>
      <c r="I871" s="23"/>
    </row>
    <row r="872" spans="7:9" x14ac:dyDescent="0.2">
      <c r="G872" s="23"/>
      <c r="H872" s="23"/>
      <c r="I872" s="23"/>
    </row>
    <row r="873" spans="7:9" x14ac:dyDescent="0.2">
      <c r="G873" s="23"/>
      <c r="H873" s="23"/>
      <c r="I873" s="23"/>
    </row>
    <row r="874" spans="7:9" x14ac:dyDescent="0.2">
      <c r="G874" s="23"/>
      <c r="H874" s="23"/>
      <c r="I874" s="23"/>
    </row>
    <row r="875" spans="7:9" x14ac:dyDescent="0.2">
      <c r="G875" s="23"/>
      <c r="H875" s="23"/>
      <c r="I875" s="23"/>
    </row>
    <row r="876" spans="7:9" x14ac:dyDescent="0.2">
      <c r="G876" s="23"/>
      <c r="H876" s="23"/>
      <c r="I876" s="23"/>
    </row>
    <row r="877" spans="7:9" x14ac:dyDescent="0.2">
      <c r="G877" s="23"/>
      <c r="H877" s="23"/>
      <c r="I877" s="23"/>
    </row>
    <row r="878" spans="7:9" x14ac:dyDescent="0.2">
      <c r="G878" s="23"/>
      <c r="H878" s="23"/>
      <c r="I878" s="23"/>
    </row>
    <row r="879" spans="7:9" x14ac:dyDescent="0.2">
      <c r="G879" s="23"/>
      <c r="H879" s="23"/>
      <c r="I879" s="23"/>
    </row>
    <row r="880" spans="7:9" x14ac:dyDescent="0.2">
      <c r="G880" s="23"/>
      <c r="H880" s="23"/>
      <c r="I880" s="23"/>
    </row>
    <row r="881" spans="7:9" x14ac:dyDescent="0.2">
      <c r="G881" s="23"/>
      <c r="H881" s="23"/>
      <c r="I881" s="23"/>
    </row>
    <row r="882" spans="7:9" x14ac:dyDescent="0.2">
      <c r="G882" s="23"/>
      <c r="H882" s="23"/>
      <c r="I882" s="23"/>
    </row>
    <row r="883" spans="7:9" x14ac:dyDescent="0.2">
      <c r="G883" s="23"/>
      <c r="H883" s="23"/>
      <c r="I883" s="23"/>
    </row>
    <row r="884" spans="7:9" x14ac:dyDescent="0.2">
      <c r="G884" s="23"/>
      <c r="H884" s="23"/>
      <c r="I884" s="23"/>
    </row>
    <row r="885" spans="7:9" x14ac:dyDescent="0.2">
      <c r="G885" s="23"/>
      <c r="H885" s="23"/>
      <c r="I885" s="23"/>
    </row>
    <row r="886" spans="7:9" x14ac:dyDescent="0.2">
      <c r="G886" s="23"/>
      <c r="H886" s="23"/>
      <c r="I886" s="23"/>
    </row>
    <row r="887" spans="7:9" x14ac:dyDescent="0.2">
      <c r="G887" s="23"/>
      <c r="H887" s="23"/>
      <c r="I887" s="23"/>
    </row>
    <row r="888" spans="7:9" x14ac:dyDescent="0.2">
      <c r="G888" s="23"/>
      <c r="H888" s="23"/>
      <c r="I888" s="23"/>
    </row>
    <row r="889" spans="7:9" x14ac:dyDescent="0.2">
      <c r="G889" s="23"/>
      <c r="H889" s="23"/>
      <c r="I889" s="23"/>
    </row>
    <row r="890" spans="7:9" x14ac:dyDescent="0.2">
      <c r="G890" s="23"/>
      <c r="H890" s="23"/>
      <c r="I890" s="23"/>
    </row>
    <row r="891" spans="7:9" x14ac:dyDescent="0.2">
      <c r="G891" s="23"/>
      <c r="H891" s="23"/>
      <c r="I891" s="23"/>
    </row>
    <row r="892" spans="7:9" x14ac:dyDescent="0.2">
      <c r="G892" s="23"/>
      <c r="H892" s="23"/>
      <c r="I892" s="23"/>
    </row>
    <row r="893" spans="7:9" x14ac:dyDescent="0.2">
      <c r="G893" s="23"/>
      <c r="H893" s="23"/>
      <c r="I893" s="23"/>
    </row>
    <row r="894" spans="7:9" x14ac:dyDescent="0.2">
      <c r="G894" s="23"/>
      <c r="H894" s="23"/>
      <c r="I894" s="23"/>
    </row>
    <row r="895" spans="7:9" x14ac:dyDescent="0.2">
      <c r="G895" s="23"/>
      <c r="H895" s="23"/>
      <c r="I895" s="23"/>
    </row>
    <row r="896" spans="7:9" x14ac:dyDescent="0.2">
      <c r="G896" s="23"/>
      <c r="H896" s="23"/>
      <c r="I896" s="23"/>
    </row>
    <row r="897" spans="7:9" x14ac:dyDescent="0.2">
      <c r="G897" s="23"/>
      <c r="H897" s="23"/>
      <c r="I897" s="23"/>
    </row>
    <row r="898" spans="7:9" x14ac:dyDescent="0.2">
      <c r="G898" s="23"/>
      <c r="H898" s="23"/>
      <c r="I898" s="23"/>
    </row>
    <row r="899" spans="7:9" x14ac:dyDescent="0.2">
      <c r="G899" s="23"/>
      <c r="H899" s="23"/>
      <c r="I899" s="23"/>
    </row>
    <row r="900" spans="7:9" x14ac:dyDescent="0.2">
      <c r="G900" s="23"/>
      <c r="H900" s="23"/>
      <c r="I900" s="23"/>
    </row>
    <row r="901" spans="7:9" x14ac:dyDescent="0.2">
      <c r="G901" s="23"/>
      <c r="H901" s="23"/>
      <c r="I901" s="23"/>
    </row>
    <row r="902" spans="7:9" x14ac:dyDescent="0.2">
      <c r="G902" s="23"/>
      <c r="H902" s="23"/>
      <c r="I902" s="23"/>
    </row>
    <row r="903" spans="7:9" x14ac:dyDescent="0.2">
      <c r="G903" s="23"/>
      <c r="H903" s="23"/>
      <c r="I903" s="23"/>
    </row>
    <row r="904" spans="7:9" x14ac:dyDescent="0.2">
      <c r="G904" s="23"/>
      <c r="H904" s="23"/>
      <c r="I904" s="23"/>
    </row>
    <row r="905" spans="7:9" x14ac:dyDescent="0.2">
      <c r="G905" s="23"/>
      <c r="H905" s="23"/>
      <c r="I905" s="23"/>
    </row>
    <row r="906" spans="7:9" x14ac:dyDescent="0.2">
      <c r="G906" s="23"/>
      <c r="H906" s="23"/>
      <c r="I906" s="23"/>
    </row>
    <row r="907" spans="7:9" x14ac:dyDescent="0.2">
      <c r="G907" s="23"/>
      <c r="H907" s="23"/>
      <c r="I907" s="23"/>
    </row>
    <row r="908" spans="7:9" x14ac:dyDescent="0.2">
      <c r="G908" s="23"/>
      <c r="H908" s="23"/>
      <c r="I908" s="23"/>
    </row>
    <row r="909" spans="7:9" x14ac:dyDescent="0.2">
      <c r="G909" s="23"/>
      <c r="H909" s="23"/>
      <c r="I909" s="23"/>
    </row>
    <row r="910" spans="7:9" x14ac:dyDescent="0.2">
      <c r="G910" s="23"/>
      <c r="H910" s="23"/>
      <c r="I910" s="23"/>
    </row>
    <row r="911" spans="7:9" x14ac:dyDescent="0.2">
      <c r="G911" s="23"/>
      <c r="H911" s="23"/>
      <c r="I911" s="23"/>
    </row>
    <row r="912" spans="7:9" x14ac:dyDescent="0.2">
      <c r="G912" s="23"/>
      <c r="H912" s="23"/>
      <c r="I912" s="23"/>
    </row>
    <row r="913" spans="7:9" x14ac:dyDescent="0.2">
      <c r="G913" s="23"/>
      <c r="H913" s="23"/>
      <c r="I913" s="23"/>
    </row>
    <row r="914" spans="7:9" x14ac:dyDescent="0.2">
      <c r="G914" s="23"/>
      <c r="H914" s="23"/>
      <c r="I914" s="23"/>
    </row>
    <row r="915" spans="7:9" x14ac:dyDescent="0.2">
      <c r="G915" s="23"/>
      <c r="H915" s="23"/>
      <c r="I915" s="23"/>
    </row>
    <row r="916" spans="7:9" x14ac:dyDescent="0.2">
      <c r="G916" s="23"/>
      <c r="H916" s="23"/>
      <c r="I916" s="23"/>
    </row>
    <row r="917" spans="7:9" x14ac:dyDescent="0.2">
      <c r="G917" s="23"/>
      <c r="H917" s="23"/>
      <c r="I917" s="23"/>
    </row>
    <row r="918" spans="7:9" x14ac:dyDescent="0.2">
      <c r="G918" s="23"/>
      <c r="H918" s="23"/>
      <c r="I918" s="23"/>
    </row>
    <row r="919" spans="7:9" x14ac:dyDescent="0.2">
      <c r="G919" s="23"/>
      <c r="H919" s="23"/>
      <c r="I919" s="23"/>
    </row>
    <row r="920" spans="7:9" x14ac:dyDescent="0.2">
      <c r="G920" s="23"/>
      <c r="H920" s="23"/>
      <c r="I920" s="23"/>
    </row>
    <row r="921" spans="7:9" x14ac:dyDescent="0.2">
      <c r="G921" s="23"/>
      <c r="H921" s="23"/>
      <c r="I921" s="23"/>
    </row>
    <row r="922" spans="7:9" x14ac:dyDescent="0.2">
      <c r="G922" s="23"/>
      <c r="H922" s="23"/>
      <c r="I922" s="23"/>
    </row>
    <row r="923" spans="7:9" x14ac:dyDescent="0.2">
      <c r="G923" s="23"/>
      <c r="H923" s="23"/>
      <c r="I923" s="23"/>
    </row>
    <row r="924" spans="7:9" x14ac:dyDescent="0.2">
      <c r="G924" s="23"/>
      <c r="H924" s="23"/>
      <c r="I924" s="23"/>
    </row>
    <row r="925" spans="7:9" x14ac:dyDescent="0.2">
      <c r="G925" s="23"/>
      <c r="H925" s="23"/>
      <c r="I925" s="23"/>
    </row>
    <row r="926" spans="7:9" x14ac:dyDescent="0.2">
      <c r="G926" s="23"/>
      <c r="H926" s="23"/>
      <c r="I926" s="23"/>
    </row>
    <row r="927" spans="7:9" x14ac:dyDescent="0.2">
      <c r="G927" s="23"/>
      <c r="H927" s="23"/>
      <c r="I927" s="23"/>
    </row>
    <row r="928" spans="7:9" x14ac:dyDescent="0.2">
      <c r="G928" s="23"/>
      <c r="H928" s="23"/>
      <c r="I928" s="23"/>
    </row>
    <row r="929" spans="7:9" x14ac:dyDescent="0.2">
      <c r="G929" s="23"/>
      <c r="H929" s="23"/>
      <c r="I929" s="23"/>
    </row>
    <row r="930" spans="7:9" x14ac:dyDescent="0.2">
      <c r="G930" s="23"/>
      <c r="H930" s="23"/>
      <c r="I930" s="23"/>
    </row>
    <row r="931" spans="7:9" x14ac:dyDescent="0.2">
      <c r="G931" s="23"/>
      <c r="H931" s="23"/>
      <c r="I931" s="23"/>
    </row>
    <row r="932" spans="7:9" x14ac:dyDescent="0.2">
      <c r="G932" s="23"/>
      <c r="H932" s="23"/>
      <c r="I932" s="23"/>
    </row>
    <row r="933" spans="7:9" x14ac:dyDescent="0.2">
      <c r="G933" s="23"/>
      <c r="H933" s="23"/>
      <c r="I933" s="23"/>
    </row>
    <row r="934" spans="7:9" x14ac:dyDescent="0.2">
      <c r="G934" s="23"/>
      <c r="H934" s="23"/>
      <c r="I934" s="23"/>
    </row>
    <row r="935" spans="7:9" x14ac:dyDescent="0.2">
      <c r="G935" s="23"/>
      <c r="H935" s="23"/>
      <c r="I935" s="23"/>
    </row>
    <row r="936" spans="7:9" x14ac:dyDescent="0.2">
      <c r="G936" s="23"/>
      <c r="H936" s="23"/>
      <c r="I936" s="23"/>
    </row>
    <row r="937" spans="7:9" x14ac:dyDescent="0.2">
      <c r="G937" s="23"/>
      <c r="H937" s="23"/>
      <c r="I937" s="23"/>
    </row>
    <row r="938" spans="7:9" x14ac:dyDescent="0.2">
      <c r="G938" s="23"/>
      <c r="H938" s="23"/>
      <c r="I938" s="23"/>
    </row>
    <row r="939" spans="7:9" x14ac:dyDescent="0.2">
      <c r="G939" s="23"/>
      <c r="H939" s="23"/>
      <c r="I939" s="23"/>
    </row>
    <row r="940" spans="7:9" x14ac:dyDescent="0.2">
      <c r="G940" s="23"/>
      <c r="H940" s="23"/>
      <c r="I940" s="23"/>
    </row>
    <row r="941" spans="7:9" x14ac:dyDescent="0.2">
      <c r="G941" s="23"/>
      <c r="H941" s="23"/>
      <c r="I941" s="23"/>
    </row>
    <row r="942" spans="7:9" x14ac:dyDescent="0.2">
      <c r="G942" s="23"/>
      <c r="H942" s="23"/>
      <c r="I942" s="23"/>
    </row>
    <row r="943" spans="7:9" x14ac:dyDescent="0.2">
      <c r="G943" s="23"/>
      <c r="H943" s="23"/>
      <c r="I943" s="23"/>
    </row>
    <row r="944" spans="7:9" x14ac:dyDescent="0.2">
      <c r="G944" s="23"/>
      <c r="H944" s="23"/>
      <c r="I944" s="23"/>
    </row>
    <row r="945" spans="7:9" x14ac:dyDescent="0.2">
      <c r="G945" s="23"/>
      <c r="H945" s="23"/>
      <c r="I945" s="23"/>
    </row>
    <row r="946" spans="7:9" x14ac:dyDescent="0.2">
      <c r="G946" s="23"/>
      <c r="H946" s="23"/>
      <c r="I946" s="23"/>
    </row>
    <row r="947" spans="7:9" x14ac:dyDescent="0.2">
      <c r="G947" s="23"/>
      <c r="H947" s="23"/>
      <c r="I947" s="23"/>
    </row>
    <row r="948" spans="7:9" x14ac:dyDescent="0.2">
      <c r="G948" s="23"/>
      <c r="H948" s="23"/>
      <c r="I948" s="23"/>
    </row>
    <row r="949" spans="7:9" x14ac:dyDescent="0.2">
      <c r="G949" s="23"/>
      <c r="H949" s="23"/>
      <c r="I949" s="23"/>
    </row>
    <row r="950" spans="7:9" x14ac:dyDescent="0.2">
      <c r="G950" s="23"/>
      <c r="H950" s="23"/>
      <c r="I950" s="23"/>
    </row>
    <row r="951" spans="7:9" x14ac:dyDescent="0.2">
      <c r="G951" s="23"/>
      <c r="H951" s="23"/>
      <c r="I951" s="23"/>
    </row>
    <row r="952" spans="7:9" x14ac:dyDescent="0.2">
      <c r="G952" s="23"/>
      <c r="H952" s="23"/>
      <c r="I952" s="23"/>
    </row>
    <row r="953" spans="7:9" x14ac:dyDescent="0.2">
      <c r="G953" s="23"/>
      <c r="H953" s="23"/>
      <c r="I953" s="23"/>
    </row>
    <row r="954" spans="7:9" x14ac:dyDescent="0.2">
      <c r="G954" s="23"/>
      <c r="H954" s="23"/>
      <c r="I954" s="23"/>
    </row>
    <row r="955" spans="7:9" x14ac:dyDescent="0.2">
      <c r="G955" s="23"/>
      <c r="H955" s="23"/>
      <c r="I955" s="23"/>
    </row>
    <row r="956" spans="7:9" x14ac:dyDescent="0.2">
      <c r="G956" s="23"/>
      <c r="H956" s="23"/>
      <c r="I956" s="23"/>
    </row>
    <row r="957" spans="7:9" x14ac:dyDescent="0.2">
      <c r="G957" s="23"/>
      <c r="H957" s="23"/>
      <c r="I957" s="23"/>
    </row>
    <row r="958" spans="7:9" x14ac:dyDescent="0.2">
      <c r="G958" s="23"/>
      <c r="H958" s="23"/>
      <c r="I958" s="23"/>
    </row>
    <row r="959" spans="7:9" x14ac:dyDescent="0.2">
      <c r="G959" s="23"/>
      <c r="H959" s="23"/>
      <c r="I959" s="23"/>
    </row>
    <row r="960" spans="7:9" x14ac:dyDescent="0.2">
      <c r="G960" s="23"/>
      <c r="H960" s="23"/>
      <c r="I960" s="23"/>
    </row>
    <row r="961" spans="7:9" x14ac:dyDescent="0.2">
      <c r="G961" s="23"/>
      <c r="H961" s="23"/>
      <c r="I961" s="23"/>
    </row>
    <row r="962" spans="7:9" x14ac:dyDescent="0.2">
      <c r="G962" s="23"/>
      <c r="H962" s="23"/>
      <c r="I962" s="23"/>
    </row>
    <row r="963" spans="7:9" x14ac:dyDescent="0.2">
      <c r="G963" s="23"/>
      <c r="H963" s="23"/>
      <c r="I963" s="23"/>
    </row>
    <row r="964" spans="7:9" x14ac:dyDescent="0.2">
      <c r="G964" s="23"/>
      <c r="H964" s="23"/>
      <c r="I964" s="23"/>
    </row>
    <row r="965" spans="7:9" x14ac:dyDescent="0.2">
      <c r="G965" s="23"/>
      <c r="H965" s="23"/>
      <c r="I965" s="23"/>
    </row>
    <row r="966" spans="7:9" x14ac:dyDescent="0.2">
      <c r="G966" s="23"/>
      <c r="H966" s="23"/>
      <c r="I966" s="23"/>
    </row>
    <row r="967" spans="7:9" x14ac:dyDescent="0.2">
      <c r="G967" s="23"/>
      <c r="H967" s="23"/>
      <c r="I967" s="23"/>
    </row>
    <row r="968" spans="7:9" x14ac:dyDescent="0.2">
      <c r="G968" s="23"/>
      <c r="H968" s="23"/>
      <c r="I968" s="23"/>
    </row>
    <row r="969" spans="7:9" x14ac:dyDescent="0.2">
      <c r="G969" s="23"/>
      <c r="H969" s="23"/>
      <c r="I969" s="23"/>
    </row>
    <row r="970" spans="7:9" x14ac:dyDescent="0.2">
      <c r="G970" s="23"/>
      <c r="H970" s="23"/>
      <c r="I970" s="23"/>
    </row>
    <row r="971" spans="7:9" x14ac:dyDescent="0.2">
      <c r="G971" s="23"/>
      <c r="H971" s="23"/>
      <c r="I971" s="23"/>
    </row>
    <row r="972" spans="7:9" x14ac:dyDescent="0.2">
      <c r="G972" s="23"/>
      <c r="H972" s="23"/>
      <c r="I972" s="23"/>
    </row>
    <row r="973" spans="7:9" x14ac:dyDescent="0.2">
      <c r="G973" s="23"/>
      <c r="H973" s="23"/>
      <c r="I973" s="23"/>
    </row>
    <row r="974" spans="7:9" x14ac:dyDescent="0.2">
      <c r="G974" s="23"/>
      <c r="H974" s="23"/>
      <c r="I974" s="23"/>
    </row>
    <row r="975" spans="7:9" x14ac:dyDescent="0.2">
      <c r="G975" s="23"/>
      <c r="H975" s="23"/>
      <c r="I975" s="23"/>
    </row>
    <row r="976" spans="7:9" x14ac:dyDescent="0.2">
      <c r="G976" s="23"/>
      <c r="H976" s="23"/>
      <c r="I976" s="23"/>
    </row>
    <row r="977" spans="7:9" x14ac:dyDescent="0.2">
      <c r="G977" s="23"/>
      <c r="H977" s="23"/>
      <c r="I977" s="23"/>
    </row>
    <row r="978" spans="7:9" x14ac:dyDescent="0.2">
      <c r="G978" s="23"/>
      <c r="H978" s="23"/>
      <c r="I978" s="23"/>
    </row>
    <row r="979" spans="7:9" x14ac:dyDescent="0.2">
      <c r="G979" s="23"/>
      <c r="H979" s="23"/>
      <c r="I979" s="23"/>
    </row>
    <row r="980" spans="7:9" x14ac:dyDescent="0.2">
      <c r="G980" s="23"/>
      <c r="H980" s="23"/>
      <c r="I980" s="23"/>
    </row>
    <row r="981" spans="7:9" x14ac:dyDescent="0.2">
      <c r="G981" s="23"/>
      <c r="H981" s="23"/>
      <c r="I981" s="23"/>
    </row>
    <row r="982" spans="7:9" x14ac:dyDescent="0.2">
      <c r="G982" s="23"/>
      <c r="H982" s="23"/>
      <c r="I982" s="23"/>
    </row>
    <row r="983" spans="7:9" x14ac:dyDescent="0.2">
      <c r="G983" s="23"/>
      <c r="H983" s="23"/>
      <c r="I983" s="23"/>
    </row>
    <row r="984" spans="7:9" x14ac:dyDescent="0.2">
      <c r="G984" s="23"/>
      <c r="H984" s="23"/>
      <c r="I984" s="23"/>
    </row>
    <row r="985" spans="7:9" x14ac:dyDescent="0.2">
      <c r="G985" s="23"/>
      <c r="H985" s="23"/>
      <c r="I985" s="23"/>
    </row>
    <row r="986" spans="7:9" x14ac:dyDescent="0.2">
      <c r="G986" s="23"/>
      <c r="H986" s="23"/>
      <c r="I986" s="23"/>
    </row>
    <row r="987" spans="7:9" x14ac:dyDescent="0.2">
      <c r="G987" s="23"/>
      <c r="H987" s="23"/>
      <c r="I987" s="23"/>
    </row>
    <row r="988" spans="7:9" x14ac:dyDescent="0.2">
      <c r="G988" s="23"/>
      <c r="H988" s="23"/>
      <c r="I988" s="23"/>
    </row>
    <row r="989" spans="7:9" x14ac:dyDescent="0.2">
      <c r="G989" s="23"/>
      <c r="H989" s="23"/>
      <c r="I989" s="23"/>
    </row>
    <row r="990" spans="7:9" x14ac:dyDescent="0.2">
      <c r="G990" s="23"/>
      <c r="H990" s="23"/>
      <c r="I990" s="23"/>
    </row>
    <row r="991" spans="7:9" x14ac:dyDescent="0.2">
      <c r="G991" s="23"/>
      <c r="H991" s="23"/>
      <c r="I991" s="23"/>
    </row>
    <row r="992" spans="7:9" x14ac:dyDescent="0.2">
      <c r="G992" s="23"/>
      <c r="H992" s="23"/>
      <c r="I992" s="23"/>
    </row>
    <row r="993" spans="7:9" x14ac:dyDescent="0.2">
      <c r="G993" s="23"/>
      <c r="H993" s="23"/>
      <c r="I993" s="23"/>
    </row>
    <row r="994" spans="7:9" x14ac:dyDescent="0.2">
      <c r="G994" s="23"/>
      <c r="H994" s="23"/>
      <c r="I994" s="23"/>
    </row>
    <row r="995" spans="7:9" x14ac:dyDescent="0.2">
      <c r="G995" s="23"/>
      <c r="H995" s="23"/>
      <c r="I995" s="23"/>
    </row>
    <row r="996" spans="7:9" x14ac:dyDescent="0.2">
      <c r="G996" s="23"/>
      <c r="H996" s="23"/>
      <c r="I996" s="23"/>
    </row>
    <row r="997" spans="7:9" x14ac:dyDescent="0.2">
      <c r="G997" s="23"/>
      <c r="H997" s="23"/>
      <c r="I997" s="23"/>
    </row>
    <row r="998" spans="7:9" x14ac:dyDescent="0.2">
      <c r="G998" s="23"/>
      <c r="H998" s="23"/>
      <c r="I998" s="23"/>
    </row>
    <row r="999" spans="7:9" x14ac:dyDescent="0.2">
      <c r="G999" s="23"/>
      <c r="H999" s="23"/>
      <c r="I999" s="23"/>
    </row>
    <row r="1000" spans="7:9" x14ac:dyDescent="0.2">
      <c r="G1000" s="23"/>
      <c r="H1000" s="23"/>
      <c r="I1000" s="23"/>
    </row>
    <row r="1001" spans="7:9" x14ac:dyDescent="0.2">
      <c r="G1001" s="23"/>
      <c r="H1001" s="23"/>
      <c r="I1001" s="23"/>
    </row>
    <row r="1002" spans="7:9" x14ac:dyDescent="0.2">
      <c r="G1002" s="23"/>
      <c r="H1002" s="23"/>
      <c r="I1002" s="23"/>
    </row>
    <row r="1003" spans="7:9" x14ac:dyDescent="0.2">
      <c r="G1003" s="23"/>
      <c r="H1003" s="23"/>
      <c r="I1003" s="23"/>
    </row>
    <row r="1004" spans="7:9" x14ac:dyDescent="0.2">
      <c r="G1004" s="23"/>
      <c r="H1004" s="23"/>
      <c r="I1004" s="23"/>
    </row>
    <row r="1005" spans="7:9" x14ac:dyDescent="0.2">
      <c r="G1005" s="23"/>
      <c r="H1005" s="23"/>
      <c r="I1005" s="23"/>
    </row>
    <row r="1006" spans="7:9" x14ac:dyDescent="0.2">
      <c r="G1006" s="23"/>
      <c r="H1006" s="23"/>
      <c r="I1006" s="23"/>
    </row>
    <row r="1007" spans="7:9" x14ac:dyDescent="0.2">
      <c r="G1007" s="23"/>
      <c r="H1007" s="23"/>
      <c r="I1007" s="23"/>
    </row>
    <row r="1008" spans="7:9" x14ac:dyDescent="0.2">
      <c r="G1008" s="23"/>
      <c r="H1008" s="23"/>
      <c r="I1008" s="23"/>
    </row>
    <row r="1009" spans="7:9" x14ac:dyDescent="0.2">
      <c r="G1009" s="23"/>
      <c r="H1009" s="23"/>
      <c r="I1009" s="23"/>
    </row>
    <row r="1010" spans="7:9" x14ac:dyDescent="0.2">
      <c r="G1010" s="23"/>
      <c r="H1010" s="23"/>
      <c r="I1010" s="23"/>
    </row>
    <row r="1011" spans="7:9" x14ac:dyDescent="0.2">
      <c r="G1011" s="23"/>
      <c r="H1011" s="23"/>
      <c r="I1011" s="23"/>
    </row>
    <row r="1012" spans="7:9" x14ac:dyDescent="0.2">
      <c r="G1012" s="23"/>
      <c r="H1012" s="23"/>
      <c r="I1012" s="23"/>
    </row>
    <row r="1013" spans="7:9" x14ac:dyDescent="0.2">
      <c r="G1013" s="23"/>
      <c r="H1013" s="23"/>
      <c r="I1013" s="23"/>
    </row>
    <row r="1014" spans="7:9" x14ac:dyDescent="0.2">
      <c r="G1014" s="23"/>
      <c r="H1014" s="23"/>
      <c r="I1014" s="23"/>
    </row>
    <row r="1015" spans="7:9" x14ac:dyDescent="0.2">
      <c r="G1015" s="23"/>
      <c r="H1015" s="23"/>
      <c r="I1015" s="23"/>
    </row>
    <row r="1016" spans="7:9" x14ac:dyDescent="0.2">
      <c r="G1016" s="23"/>
      <c r="H1016" s="23"/>
      <c r="I1016" s="23"/>
    </row>
    <row r="1017" spans="7:9" x14ac:dyDescent="0.2">
      <c r="G1017" s="23"/>
      <c r="H1017" s="23"/>
      <c r="I1017" s="23"/>
    </row>
    <row r="1018" spans="7:9" x14ac:dyDescent="0.2">
      <c r="G1018" s="23"/>
      <c r="H1018" s="23"/>
      <c r="I1018" s="23"/>
    </row>
    <row r="1019" spans="7:9" x14ac:dyDescent="0.2">
      <c r="G1019" s="23"/>
      <c r="H1019" s="23"/>
      <c r="I1019" s="23"/>
    </row>
    <row r="1020" spans="7:9" x14ac:dyDescent="0.2">
      <c r="G1020" s="23"/>
      <c r="H1020" s="23"/>
      <c r="I1020" s="23"/>
    </row>
    <row r="1021" spans="7:9" x14ac:dyDescent="0.2">
      <c r="G1021" s="23"/>
      <c r="H1021" s="23"/>
      <c r="I1021" s="23"/>
    </row>
    <row r="1022" spans="7:9" x14ac:dyDescent="0.2">
      <c r="G1022" s="23"/>
      <c r="H1022" s="23"/>
      <c r="I1022" s="23"/>
    </row>
    <row r="1023" spans="7:9" x14ac:dyDescent="0.2">
      <c r="G1023" s="23"/>
      <c r="H1023" s="23"/>
      <c r="I1023" s="23"/>
    </row>
    <row r="1024" spans="7:9" x14ac:dyDescent="0.2">
      <c r="G1024" s="23"/>
      <c r="H1024" s="23"/>
      <c r="I1024" s="23"/>
    </row>
    <row r="1025" spans="7:9" x14ac:dyDescent="0.2">
      <c r="G1025" s="23"/>
      <c r="H1025" s="23"/>
      <c r="I1025" s="23"/>
    </row>
    <row r="1026" spans="7:9" x14ac:dyDescent="0.2">
      <c r="G1026" s="23"/>
      <c r="H1026" s="23"/>
      <c r="I1026" s="23"/>
    </row>
    <row r="1027" spans="7:9" x14ac:dyDescent="0.2">
      <c r="G1027" s="23"/>
      <c r="H1027" s="23"/>
      <c r="I1027" s="23"/>
    </row>
    <row r="1028" spans="7:9" x14ac:dyDescent="0.2">
      <c r="G1028" s="23"/>
      <c r="H1028" s="23"/>
      <c r="I1028" s="23"/>
    </row>
    <row r="1029" spans="7:9" x14ac:dyDescent="0.2">
      <c r="G1029" s="23"/>
      <c r="H1029" s="23"/>
      <c r="I1029" s="23"/>
    </row>
    <row r="1030" spans="7:9" x14ac:dyDescent="0.2">
      <c r="G1030" s="23"/>
      <c r="H1030" s="23"/>
      <c r="I1030" s="23"/>
    </row>
    <row r="1031" spans="7:9" x14ac:dyDescent="0.2">
      <c r="G1031" s="23"/>
      <c r="H1031" s="23"/>
      <c r="I1031" s="23"/>
    </row>
    <row r="1032" spans="7:9" x14ac:dyDescent="0.2">
      <c r="G1032" s="23"/>
      <c r="H1032" s="23"/>
      <c r="I1032" s="23"/>
    </row>
    <row r="1033" spans="7:9" x14ac:dyDescent="0.2">
      <c r="G1033" s="23"/>
      <c r="H1033" s="23"/>
      <c r="I1033" s="23"/>
    </row>
    <row r="1034" spans="7:9" x14ac:dyDescent="0.2">
      <c r="G1034" s="23"/>
      <c r="H1034" s="23"/>
      <c r="I1034" s="23"/>
    </row>
    <row r="1035" spans="7:9" x14ac:dyDescent="0.2">
      <c r="G1035" s="23"/>
      <c r="H1035" s="23"/>
      <c r="I1035" s="23"/>
    </row>
    <row r="1036" spans="7:9" x14ac:dyDescent="0.2">
      <c r="G1036" s="23"/>
      <c r="H1036" s="23"/>
      <c r="I1036" s="23"/>
    </row>
    <row r="1037" spans="7:9" x14ac:dyDescent="0.2">
      <c r="G1037" s="23"/>
      <c r="H1037" s="23"/>
      <c r="I1037" s="23"/>
    </row>
    <row r="1038" spans="7:9" x14ac:dyDescent="0.2">
      <c r="G1038" s="23"/>
      <c r="H1038" s="23"/>
      <c r="I1038" s="23"/>
    </row>
    <row r="1039" spans="7:9" x14ac:dyDescent="0.2">
      <c r="G1039" s="23"/>
      <c r="H1039" s="23"/>
      <c r="I1039" s="23"/>
    </row>
    <row r="1040" spans="7:9" x14ac:dyDescent="0.2">
      <c r="G1040" s="23"/>
      <c r="H1040" s="23"/>
      <c r="I1040" s="23"/>
    </row>
    <row r="1041" spans="7:9" x14ac:dyDescent="0.2">
      <c r="G1041" s="23"/>
      <c r="H1041" s="23"/>
      <c r="I1041" s="23"/>
    </row>
    <row r="1042" spans="7:9" x14ac:dyDescent="0.2">
      <c r="G1042" s="23"/>
      <c r="H1042" s="23"/>
      <c r="I1042" s="23"/>
    </row>
    <row r="1043" spans="7:9" x14ac:dyDescent="0.2">
      <c r="G1043" s="23"/>
      <c r="H1043" s="23"/>
      <c r="I1043" s="23"/>
    </row>
    <row r="1044" spans="7:9" x14ac:dyDescent="0.2">
      <c r="G1044" s="23"/>
      <c r="H1044" s="23"/>
      <c r="I1044" s="23"/>
    </row>
    <row r="1045" spans="7:9" x14ac:dyDescent="0.2">
      <c r="G1045" s="23"/>
      <c r="H1045" s="23"/>
      <c r="I1045" s="23"/>
    </row>
    <row r="1046" spans="7:9" x14ac:dyDescent="0.2">
      <c r="G1046" s="23"/>
      <c r="H1046" s="23"/>
      <c r="I1046" s="23"/>
    </row>
    <row r="1047" spans="7:9" x14ac:dyDescent="0.2">
      <c r="G1047" s="23"/>
      <c r="H1047" s="23"/>
      <c r="I1047" s="23"/>
    </row>
    <row r="1048" spans="7:9" x14ac:dyDescent="0.2">
      <c r="G1048" s="23"/>
      <c r="H1048" s="23"/>
      <c r="I1048" s="23"/>
    </row>
    <row r="1049" spans="7:9" x14ac:dyDescent="0.2">
      <c r="G1049" s="23"/>
      <c r="H1049" s="23"/>
      <c r="I1049" s="23"/>
    </row>
    <row r="1050" spans="7:9" x14ac:dyDescent="0.2">
      <c r="G1050" s="23"/>
      <c r="H1050" s="23"/>
      <c r="I1050" s="23"/>
    </row>
    <row r="1051" spans="7:9" x14ac:dyDescent="0.2">
      <c r="G1051" s="23"/>
      <c r="H1051" s="23"/>
      <c r="I1051" s="23"/>
    </row>
    <row r="1052" spans="7:9" x14ac:dyDescent="0.2">
      <c r="G1052" s="23"/>
      <c r="H1052" s="23"/>
      <c r="I1052" s="23"/>
    </row>
    <row r="1053" spans="7:9" x14ac:dyDescent="0.2">
      <c r="G1053" s="23"/>
      <c r="H1053" s="23"/>
      <c r="I1053" s="23"/>
    </row>
    <row r="1054" spans="7:9" x14ac:dyDescent="0.2">
      <c r="G1054" s="23"/>
      <c r="H1054" s="23"/>
      <c r="I1054" s="23"/>
    </row>
    <row r="1055" spans="7:9" x14ac:dyDescent="0.2">
      <c r="G1055" s="23"/>
      <c r="H1055" s="23"/>
      <c r="I1055" s="23"/>
    </row>
    <row r="1056" spans="7:9" x14ac:dyDescent="0.2">
      <c r="G1056" s="23"/>
      <c r="H1056" s="23"/>
      <c r="I1056" s="23"/>
    </row>
    <row r="1057" spans="7:9" x14ac:dyDescent="0.2">
      <c r="G1057" s="23"/>
      <c r="H1057" s="23"/>
      <c r="I1057" s="23"/>
    </row>
    <row r="1058" spans="7:9" x14ac:dyDescent="0.2">
      <c r="G1058" s="23"/>
      <c r="H1058" s="23"/>
      <c r="I1058" s="23"/>
    </row>
    <row r="1059" spans="7:9" x14ac:dyDescent="0.2">
      <c r="G1059" s="23"/>
      <c r="H1059" s="23"/>
      <c r="I1059" s="23"/>
    </row>
    <row r="1060" spans="7:9" x14ac:dyDescent="0.2">
      <c r="G1060" s="23"/>
      <c r="H1060" s="23"/>
      <c r="I1060" s="23"/>
    </row>
    <row r="1061" spans="7:9" x14ac:dyDescent="0.2">
      <c r="G1061" s="23"/>
      <c r="H1061" s="23"/>
      <c r="I1061" s="23"/>
    </row>
    <row r="1062" spans="7:9" x14ac:dyDescent="0.2">
      <c r="G1062" s="23"/>
      <c r="H1062" s="23"/>
      <c r="I1062" s="23"/>
    </row>
    <row r="1063" spans="7:9" x14ac:dyDescent="0.2">
      <c r="G1063" s="23"/>
      <c r="H1063" s="23"/>
      <c r="I1063" s="23"/>
    </row>
    <row r="1064" spans="7:9" x14ac:dyDescent="0.2">
      <c r="G1064" s="23"/>
      <c r="H1064" s="23"/>
      <c r="I1064" s="23"/>
    </row>
    <row r="1065" spans="7:9" x14ac:dyDescent="0.2">
      <c r="G1065" s="23"/>
      <c r="H1065" s="23"/>
      <c r="I1065" s="23"/>
    </row>
    <row r="1066" spans="7:9" x14ac:dyDescent="0.2">
      <c r="G1066" s="23"/>
      <c r="H1066" s="23"/>
      <c r="I1066" s="23"/>
    </row>
    <row r="1067" spans="7:9" x14ac:dyDescent="0.2">
      <c r="G1067" s="23"/>
      <c r="H1067" s="23"/>
      <c r="I1067" s="23"/>
    </row>
    <row r="1068" spans="7:9" x14ac:dyDescent="0.2">
      <c r="G1068" s="23"/>
      <c r="H1068" s="23"/>
      <c r="I1068" s="23"/>
    </row>
    <row r="1069" spans="7:9" x14ac:dyDescent="0.2">
      <c r="G1069" s="23"/>
      <c r="H1069" s="23"/>
      <c r="I1069" s="23"/>
    </row>
    <row r="1070" spans="7:9" x14ac:dyDescent="0.2">
      <c r="G1070" s="23"/>
      <c r="H1070" s="23"/>
      <c r="I1070" s="23"/>
    </row>
    <row r="1071" spans="7:9" x14ac:dyDescent="0.2">
      <c r="G1071" s="23"/>
      <c r="H1071" s="23"/>
      <c r="I1071" s="23"/>
    </row>
    <row r="1072" spans="7:9" x14ac:dyDescent="0.2">
      <c r="G1072" s="23"/>
      <c r="H1072" s="23"/>
      <c r="I1072" s="23"/>
    </row>
    <row r="1073" spans="7:9" x14ac:dyDescent="0.2">
      <c r="G1073" s="23"/>
      <c r="H1073" s="23"/>
      <c r="I1073" s="23"/>
    </row>
    <row r="1074" spans="7:9" x14ac:dyDescent="0.2">
      <c r="G1074" s="23"/>
      <c r="H1074" s="23"/>
      <c r="I1074" s="23"/>
    </row>
    <row r="1075" spans="7:9" x14ac:dyDescent="0.2">
      <c r="G1075" s="23"/>
      <c r="H1075" s="23"/>
      <c r="I1075" s="23"/>
    </row>
    <row r="1076" spans="7:9" x14ac:dyDescent="0.2">
      <c r="G1076" s="23"/>
      <c r="H1076" s="23"/>
      <c r="I1076" s="23"/>
    </row>
    <row r="1077" spans="7:9" x14ac:dyDescent="0.2">
      <c r="G1077" s="23"/>
      <c r="H1077" s="23"/>
      <c r="I1077" s="23"/>
    </row>
    <row r="1078" spans="7:9" x14ac:dyDescent="0.2">
      <c r="G1078" s="23"/>
      <c r="H1078" s="23"/>
      <c r="I1078" s="23"/>
    </row>
    <row r="1079" spans="7:9" x14ac:dyDescent="0.2">
      <c r="G1079" s="23"/>
      <c r="H1079" s="23"/>
      <c r="I1079" s="23"/>
    </row>
    <row r="1080" spans="7:9" x14ac:dyDescent="0.2">
      <c r="G1080" s="23"/>
      <c r="H1080" s="23"/>
      <c r="I1080" s="23"/>
    </row>
    <row r="1081" spans="7:9" x14ac:dyDescent="0.2">
      <c r="G1081" s="23"/>
      <c r="H1081" s="23"/>
      <c r="I1081" s="23"/>
    </row>
    <row r="1082" spans="7:9" x14ac:dyDescent="0.2">
      <c r="G1082" s="23"/>
      <c r="H1082" s="23"/>
      <c r="I1082" s="23"/>
    </row>
    <row r="1083" spans="7:9" x14ac:dyDescent="0.2">
      <c r="G1083" s="23"/>
      <c r="H1083" s="23"/>
      <c r="I1083" s="23"/>
    </row>
    <row r="1084" spans="7:9" x14ac:dyDescent="0.2">
      <c r="G1084" s="23"/>
      <c r="H1084" s="23"/>
      <c r="I1084" s="23"/>
    </row>
    <row r="1085" spans="7:9" x14ac:dyDescent="0.2">
      <c r="G1085" s="23"/>
      <c r="H1085" s="23"/>
      <c r="I1085" s="23"/>
    </row>
    <row r="1086" spans="7:9" x14ac:dyDescent="0.2">
      <c r="G1086" s="23"/>
      <c r="H1086" s="23"/>
      <c r="I1086" s="23"/>
    </row>
    <row r="1087" spans="7:9" x14ac:dyDescent="0.2">
      <c r="G1087" s="23"/>
      <c r="H1087" s="23"/>
      <c r="I1087" s="23"/>
    </row>
    <row r="1088" spans="7:9" x14ac:dyDescent="0.2">
      <c r="G1088" s="23"/>
      <c r="H1088" s="23"/>
      <c r="I1088" s="23"/>
    </row>
    <row r="1089" spans="7:9" x14ac:dyDescent="0.2">
      <c r="G1089" s="23"/>
      <c r="H1089" s="23"/>
      <c r="I1089" s="23"/>
    </row>
    <row r="1090" spans="7:9" x14ac:dyDescent="0.2">
      <c r="G1090" s="23"/>
      <c r="H1090" s="23"/>
      <c r="I1090" s="23"/>
    </row>
    <row r="1091" spans="7:9" x14ac:dyDescent="0.2">
      <c r="G1091" s="23"/>
      <c r="H1091" s="23"/>
      <c r="I1091" s="23"/>
    </row>
    <row r="1092" spans="7:9" x14ac:dyDescent="0.2">
      <c r="G1092" s="23"/>
      <c r="H1092" s="23"/>
      <c r="I1092" s="23"/>
    </row>
    <row r="1093" spans="7:9" x14ac:dyDescent="0.2">
      <c r="G1093" s="23"/>
      <c r="H1093" s="23"/>
      <c r="I1093" s="23"/>
    </row>
    <row r="1094" spans="7:9" x14ac:dyDescent="0.2">
      <c r="G1094" s="23"/>
      <c r="H1094" s="23"/>
      <c r="I1094" s="23"/>
    </row>
    <row r="1095" spans="7:9" x14ac:dyDescent="0.2">
      <c r="G1095" s="23"/>
      <c r="H1095" s="23"/>
      <c r="I1095" s="23"/>
    </row>
    <row r="1096" spans="7:9" x14ac:dyDescent="0.2">
      <c r="G1096" s="23"/>
      <c r="H1096" s="23"/>
      <c r="I1096" s="23"/>
    </row>
    <row r="1097" spans="7:9" x14ac:dyDescent="0.2">
      <c r="G1097" s="23"/>
      <c r="H1097" s="23"/>
      <c r="I1097" s="23"/>
    </row>
    <row r="1098" spans="7:9" x14ac:dyDescent="0.2">
      <c r="G1098" s="23"/>
      <c r="H1098" s="23"/>
      <c r="I1098" s="23"/>
    </row>
    <row r="1099" spans="7:9" x14ac:dyDescent="0.2">
      <c r="G1099" s="23"/>
      <c r="H1099" s="23"/>
      <c r="I1099" s="23"/>
    </row>
    <row r="1100" spans="7:9" x14ac:dyDescent="0.2">
      <c r="G1100" s="23"/>
      <c r="H1100" s="23"/>
      <c r="I1100" s="23"/>
    </row>
    <row r="1101" spans="7:9" x14ac:dyDescent="0.2">
      <c r="G1101" s="23"/>
      <c r="H1101" s="23"/>
      <c r="I1101" s="23"/>
    </row>
    <row r="1102" spans="7:9" x14ac:dyDescent="0.2">
      <c r="G1102" s="23"/>
      <c r="H1102" s="23"/>
      <c r="I1102" s="23"/>
    </row>
    <row r="1103" spans="7:9" x14ac:dyDescent="0.2">
      <c r="G1103" s="23"/>
      <c r="H1103" s="23"/>
      <c r="I1103" s="23"/>
    </row>
    <row r="1104" spans="7:9" x14ac:dyDescent="0.2">
      <c r="G1104" s="23"/>
      <c r="H1104" s="23"/>
      <c r="I1104" s="23"/>
    </row>
    <row r="1105" spans="7:9" x14ac:dyDescent="0.2">
      <c r="G1105" s="23"/>
      <c r="H1105" s="23"/>
      <c r="I1105" s="23"/>
    </row>
    <row r="1106" spans="7:9" x14ac:dyDescent="0.2">
      <c r="G1106" s="23"/>
      <c r="H1106" s="23"/>
      <c r="I1106" s="23"/>
    </row>
    <row r="1107" spans="7:9" x14ac:dyDescent="0.2">
      <c r="G1107" s="23"/>
      <c r="H1107" s="23"/>
      <c r="I1107" s="23"/>
    </row>
    <row r="1108" spans="7:9" x14ac:dyDescent="0.2">
      <c r="G1108" s="23"/>
      <c r="H1108" s="23"/>
      <c r="I1108" s="23"/>
    </row>
    <row r="1109" spans="7:9" x14ac:dyDescent="0.2">
      <c r="G1109" s="23"/>
      <c r="H1109" s="23"/>
      <c r="I1109" s="23"/>
    </row>
    <row r="1110" spans="7:9" x14ac:dyDescent="0.2">
      <c r="G1110" s="23"/>
      <c r="H1110" s="23"/>
      <c r="I1110" s="23"/>
    </row>
    <row r="1111" spans="7:9" x14ac:dyDescent="0.2">
      <c r="G1111" s="23"/>
      <c r="H1111" s="23"/>
      <c r="I1111" s="23"/>
    </row>
    <row r="1112" spans="7:9" x14ac:dyDescent="0.2">
      <c r="G1112" s="23"/>
      <c r="H1112" s="23"/>
      <c r="I1112" s="23"/>
    </row>
    <row r="1113" spans="7:9" x14ac:dyDescent="0.2">
      <c r="G1113" s="23"/>
      <c r="H1113" s="23"/>
      <c r="I1113" s="23"/>
    </row>
    <row r="1114" spans="7:9" x14ac:dyDescent="0.2">
      <c r="G1114" s="23"/>
      <c r="H1114" s="23"/>
      <c r="I1114" s="23"/>
    </row>
    <row r="1115" spans="7:9" x14ac:dyDescent="0.2">
      <c r="G1115" s="23"/>
      <c r="H1115" s="23"/>
      <c r="I1115" s="23"/>
    </row>
    <row r="1116" spans="7:9" x14ac:dyDescent="0.2">
      <c r="G1116" s="23"/>
      <c r="H1116" s="23"/>
      <c r="I1116" s="23"/>
    </row>
    <row r="1117" spans="7:9" x14ac:dyDescent="0.2">
      <c r="G1117" s="23"/>
      <c r="H1117" s="23"/>
      <c r="I1117" s="23"/>
    </row>
    <row r="1118" spans="7:9" x14ac:dyDescent="0.2">
      <c r="G1118" s="23"/>
      <c r="H1118" s="23"/>
      <c r="I1118" s="23"/>
    </row>
    <row r="1119" spans="7:9" x14ac:dyDescent="0.2">
      <c r="G1119" s="23"/>
      <c r="H1119" s="23"/>
      <c r="I1119" s="23"/>
    </row>
    <row r="1120" spans="7:9" x14ac:dyDescent="0.2">
      <c r="G1120" s="23"/>
      <c r="H1120" s="23"/>
      <c r="I1120" s="23"/>
    </row>
    <row r="1121" spans="7:9" x14ac:dyDescent="0.2">
      <c r="G1121" s="23"/>
      <c r="H1121" s="23"/>
      <c r="I1121" s="23"/>
    </row>
    <row r="1122" spans="7:9" x14ac:dyDescent="0.2">
      <c r="G1122" s="23"/>
      <c r="H1122" s="23"/>
      <c r="I1122" s="23"/>
    </row>
    <row r="1123" spans="7:9" x14ac:dyDescent="0.2">
      <c r="G1123" s="23"/>
      <c r="H1123" s="23"/>
      <c r="I1123" s="23"/>
    </row>
    <row r="1124" spans="7:9" x14ac:dyDescent="0.2">
      <c r="G1124" s="23"/>
      <c r="H1124" s="23"/>
      <c r="I1124" s="23"/>
    </row>
    <row r="1125" spans="7:9" x14ac:dyDescent="0.2">
      <c r="G1125" s="23"/>
      <c r="H1125" s="23"/>
      <c r="I1125" s="23"/>
    </row>
    <row r="1126" spans="7:9" x14ac:dyDescent="0.2">
      <c r="G1126" s="23"/>
      <c r="H1126" s="23"/>
      <c r="I1126" s="23"/>
    </row>
    <row r="1127" spans="7:9" x14ac:dyDescent="0.2">
      <c r="G1127" s="23"/>
      <c r="H1127" s="23"/>
      <c r="I1127" s="23"/>
    </row>
    <row r="1128" spans="7:9" x14ac:dyDescent="0.2">
      <c r="G1128" s="23"/>
      <c r="H1128" s="23"/>
      <c r="I1128" s="23"/>
    </row>
    <row r="1129" spans="7:9" x14ac:dyDescent="0.2">
      <c r="G1129" s="23"/>
      <c r="H1129" s="23"/>
      <c r="I1129" s="23"/>
    </row>
    <row r="1130" spans="7:9" x14ac:dyDescent="0.2">
      <c r="G1130" s="23"/>
      <c r="H1130" s="23"/>
      <c r="I1130" s="23"/>
    </row>
    <row r="1131" spans="7:9" x14ac:dyDescent="0.2">
      <c r="G1131" s="23"/>
      <c r="H1131" s="23"/>
      <c r="I1131" s="23"/>
    </row>
    <row r="1132" spans="7:9" x14ac:dyDescent="0.2">
      <c r="G1132" s="23"/>
      <c r="H1132" s="23"/>
      <c r="I1132" s="23"/>
    </row>
    <row r="1133" spans="7:9" x14ac:dyDescent="0.2">
      <c r="G1133" s="23"/>
      <c r="H1133" s="23"/>
      <c r="I1133" s="23"/>
    </row>
    <row r="1134" spans="7:9" x14ac:dyDescent="0.2">
      <c r="G1134" s="23"/>
      <c r="H1134" s="23"/>
      <c r="I1134" s="23"/>
    </row>
    <row r="1135" spans="7:9" x14ac:dyDescent="0.2">
      <c r="G1135" s="23"/>
      <c r="H1135" s="23"/>
      <c r="I1135" s="23"/>
    </row>
    <row r="1136" spans="7:9" x14ac:dyDescent="0.2">
      <c r="G1136" s="23"/>
      <c r="H1136" s="23"/>
      <c r="I1136" s="23"/>
    </row>
    <row r="1137" spans="7:9" x14ac:dyDescent="0.2">
      <c r="G1137" s="23"/>
      <c r="H1137" s="23"/>
      <c r="I1137" s="23"/>
    </row>
    <row r="1138" spans="7:9" x14ac:dyDescent="0.2">
      <c r="G1138" s="23"/>
      <c r="H1138" s="23"/>
      <c r="I1138" s="23"/>
    </row>
    <row r="1139" spans="7:9" x14ac:dyDescent="0.2">
      <c r="G1139" s="23"/>
      <c r="H1139" s="23"/>
      <c r="I1139" s="23"/>
    </row>
    <row r="1140" spans="7:9" x14ac:dyDescent="0.2">
      <c r="G1140" s="23"/>
      <c r="H1140" s="23"/>
      <c r="I1140" s="23"/>
    </row>
    <row r="1141" spans="7:9" x14ac:dyDescent="0.2">
      <c r="G1141" s="23"/>
      <c r="H1141" s="23"/>
      <c r="I1141" s="23"/>
    </row>
    <row r="1142" spans="7:9" x14ac:dyDescent="0.2">
      <c r="G1142" s="23"/>
      <c r="H1142" s="23"/>
      <c r="I1142" s="23"/>
    </row>
    <row r="1143" spans="7:9" x14ac:dyDescent="0.2">
      <c r="G1143" s="23"/>
      <c r="H1143" s="23"/>
      <c r="I1143" s="23"/>
    </row>
    <row r="1144" spans="7:9" x14ac:dyDescent="0.2">
      <c r="G1144" s="23"/>
      <c r="H1144" s="23"/>
      <c r="I1144" s="23"/>
    </row>
    <row r="1145" spans="7:9" x14ac:dyDescent="0.2">
      <c r="G1145" s="23"/>
      <c r="H1145" s="23"/>
      <c r="I1145" s="23"/>
    </row>
    <row r="1146" spans="7:9" x14ac:dyDescent="0.2">
      <c r="G1146" s="23"/>
      <c r="H1146" s="23"/>
      <c r="I1146" s="23"/>
    </row>
    <row r="1147" spans="7:9" x14ac:dyDescent="0.2">
      <c r="G1147" s="23"/>
      <c r="H1147" s="23"/>
      <c r="I1147" s="23"/>
    </row>
    <row r="1148" spans="7:9" x14ac:dyDescent="0.2">
      <c r="G1148" s="23"/>
      <c r="H1148" s="23"/>
      <c r="I1148" s="23"/>
    </row>
    <row r="1149" spans="7:9" x14ac:dyDescent="0.2">
      <c r="G1149" s="23"/>
      <c r="H1149" s="23"/>
      <c r="I1149" s="23"/>
    </row>
    <row r="1150" spans="7:9" x14ac:dyDescent="0.2">
      <c r="G1150" s="23"/>
      <c r="H1150" s="23"/>
      <c r="I1150" s="23"/>
    </row>
    <row r="1151" spans="7:9" x14ac:dyDescent="0.2">
      <c r="G1151" s="23"/>
      <c r="H1151" s="23"/>
      <c r="I1151" s="23"/>
    </row>
    <row r="1152" spans="7:9" x14ac:dyDescent="0.2">
      <c r="G1152" s="23"/>
      <c r="H1152" s="23"/>
      <c r="I1152" s="23"/>
    </row>
    <row r="1153" spans="7:9" x14ac:dyDescent="0.2">
      <c r="G1153" s="23"/>
      <c r="H1153" s="23"/>
      <c r="I1153" s="23"/>
    </row>
    <row r="1154" spans="7:9" x14ac:dyDescent="0.2">
      <c r="G1154" s="23"/>
      <c r="H1154" s="23"/>
      <c r="I1154" s="23"/>
    </row>
    <row r="1155" spans="7:9" x14ac:dyDescent="0.2">
      <c r="G1155" s="23"/>
      <c r="H1155" s="23"/>
      <c r="I1155" s="23"/>
    </row>
    <row r="1156" spans="7:9" x14ac:dyDescent="0.2">
      <c r="G1156" s="23"/>
      <c r="H1156" s="23"/>
      <c r="I1156" s="23"/>
    </row>
    <row r="1157" spans="7:9" x14ac:dyDescent="0.2">
      <c r="G1157" s="23"/>
      <c r="H1157" s="23"/>
      <c r="I1157" s="23"/>
    </row>
    <row r="1158" spans="7:9" x14ac:dyDescent="0.2">
      <c r="G1158" s="23"/>
      <c r="H1158" s="23"/>
      <c r="I1158" s="23"/>
    </row>
    <row r="1159" spans="7:9" x14ac:dyDescent="0.2">
      <c r="G1159" s="23"/>
      <c r="H1159" s="23"/>
      <c r="I1159" s="23"/>
    </row>
    <row r="1160" spans="7:9" x14ac:dyDescent="0.2">
      <c r="G1160" s="23"/>
      <c r="H1160" s="23"/>
      <c r="I1160" s="23"/>
    </row>
    <row r="1161" spans="7:9" x14ac:dyDescent="0.2">
      <c r="G1161" s="23"/>
      <c r="H1161" s="23"/>
      <c r="I1161" s="23"/>
    </row>
    <row r="1162" spans="7:9" x14ac:dyDescent="0.2">
      <c r="G1162" s="23"/>
      <c r="H1162" s="23"/>
      <c r="I1162" s="23"/>
    </row>
    <row r="1163" spans="7:9" x14ac:dyDescent="0.2">
      <c r="G1163" s="23"/>
      <c r="H1163" s="23"/>
      <c r="I1163" s="23"/>
    </row>
    <row r="1164" spans="7:9" x14ac:dyDescent="0.2">
      <c r="G1164" s="23"/>
      <c r="H1164" s="23"/>
      <c r="I1164" s="23"/>
    </row>
    <row r="1165" spans="7:9" x14ac:dyDescent="0.2">
      <c r="G1165" s="23"/>
      <c r="H1165" s="23"/>
      <c r="I1165" s="23"/>
    </row>
    <row r="1166" spans="7:9" x14ac:dyDescent="0.2">
      <c r="G1166" s="23"/>
      <c r="H1166" s="23"/>
      <c r="I1166" s="23"/>
    </row>
    <row r="1167" spans="7:9" x14ac:dyDescent="0.2">
      <c r="G1167" s="23"/>
      <c r="H1167" s="23"/>
      <c r="I1167" s="23"/>
    </row>
    <row r="1168" spans="7:9" x14ac:dyDescent="0.2">
      <c r="G1168" s="23"/>
      <c r="H1168" s="23"/>
      <c r="I1168" s="23"/>
    </row>
    <row r="1169" spans="7:9" x14ac:dyDescent="0.2">
      <c r="G1169" s="23"/>
      <c r="H1169" s="23"/>
      <c r="I1169" s="23"/>
    </row>
    <row r="1170" spans="7:9" x14ac:dyDescent="0.2">
      <c r="G1170" s="23"/>
      <c r="H1170" s="23"/>
      <c r="I1170" s="23"/>
    </row>
    <row r="1171" spans="7:9" x14ac:dyDescent="0.2">
      <c r="G1171" s="23"/>
      <c r="H1171" s="23"/>
      <c r="I1171" s="23"/>
    </row>
    <row r="1172" spans="7:9" x14ac:dyDescent="0.2">
      <c r="G1172" s="23"/>
      <c r="H1172" s="23"/>
      <c r="I1172" s="23"/>
    </row>
    <row r="1173" spans="7:9" x14ac:dyDescent="0.2">
      <c r="G1173" s="23"/>
      <c r="H1173" s="23"/>
      <c r="I1173" s="23"/>
    </row>
    <row r="1174" spans="7:9" x14ac:dyDescent="0.2">
      <c r="G1174" s="23"/>
      <c r="H1174" s="23"/>
      <c r="I1174" s="23"/>
    </row>
    <row r="1175" spans="7:9" x14ac:dyDescent="0.2">
      <c r="G1175" s="23"/>
      <c r="H1175" s="23"/>
      <c r="I1175" s="23"/>
    </row>
    <row r="1176" spans="7:9" x14ac:dyDescent="0.2">
      <c r="G1176" s="23"/>
      <c r="H1176" s="23"/>
      <c r="I1176" s="23"/>
    </row>
    <row r="1177" spans="7:9" x14ac:dyDescent="0.2">
      <c r="G1177" s="23"/>
      <c r="H1177" s="23"/>
      <c r="I1177" s="23"/>
    </row>
    <row r="1178" spans="7:9" x14ac:dyDescent="0.2">
      <c r="G1178" s="23"/>
      <c r="H1178" s="23"/>
      <c r="I1178" s="23"/>
    </row>
    <row r="1179" spans="7:9" x14ac:dyDescent="0.2">
      <c r="G1179" s="23"/>
      <c r="H1179" s="23"/>
      <c r="I1179" s="23"/>
    </row>
    <row r="1180" spans="7:9" x14ac:dyDescent="0.2">
      <c r="G1180" s="23"/>
      <c r="H1180" s="23"/>
      <c r="I1180" s="23"/>
    </row>
    <row r="1181" spans="7:9" x14ac:dyDescent="0.2">
      <c r="G1181" s="23"/>
      <c r="H1181" s="23"/>
      <c r="I1181" s="23"/>
    </row>
    <row r="1182" spans="7:9" x14ac:dyDescent="0.2">
      <c r="G1182" s="23"/>
      <c r="H1182" s="23"/>
      <c r="I1182" s="23"/>
    </row>
    <row r="1183" spans="7:9" x14ac:dyDescent="0.2">
      <c r="G1183" s="23"/>
      <c r="H1183" s="23"/>
      <c r="I1183" s="23"/>
    </row>
    <row r="1184" spans="7:9" x14ac:dyDescent="0.2">
      <c r="G1184" s="23"/>
      <c r="H1184" s="23"/>
      <c r="I1184" s="23"/>
    </row>
    <row r="1185" spans="7:9" x14ac:dyDescent="0.2">
      <c r="G1185" s="23"/>
      <c r="H1185" s="23"/>
      <c r="I1185" s="23"/>
    </row>
    <row r="1186" spans="7:9" x14ac:dyDescent="0.2">
      <c r="G1186" s="23"/>
      <c r="H1186" s="23"/>
      <c r="I1186" s="23"/>
    </row>
    <row r="1187" spans="7:9" x14ac:dyDescent="0.2">
      <c r="G1187" s="23"/>
      <c r="H1187" s="23"/>
      <c r="I1187" s="23"/>
    </row>
    <row r="1188" spans="7:9" x14ac:dyDescent="0.2">
      <c r="G1188" s="23"/>
      <c r="H1188" s="23"/>
      <c r="I1188" s="23"/>
    </row>
    <row r="1189" spans="7:9" x14ac:dyDescent="0.2">
      <c r="G1189" s="23"/>
      <c r="H1189" s="23"/>
      <c r="I1189" s="23"/>
    </row>
    <row r="1190" spans="7:9" x14ac:dyDescent="0.2">
      <c r="G1190" s="23"/>
      <c r="H1190" s="23"/>
      <c r="I1190" s="23"/>
    </row>
    <row r="1191" spans="7:9" x14ac:dyDescent="0.2">
      <c r="G1191" s="23"/>
      <c r="H1191" s="23"/>
      <c r="I1191" s="23"/>
    </row>
    <row r="1192" spans="7:9" x14ac:dyDescent="0.2">
      <c r="G1192" s="23"/>
      <c r="H1192" s="23"/>
      <c r="I1192" s="23"/>
    </row>
    <row r="1193" spans="7:9" x14ac:dyDescent="0.2">
      <c r="G1193" s="23"/>
      <c r="H1193" s="23"/>
      <c r="I1193" s="23"/>
    </row>
    <row r="1194" spans="7:9" x14ac:dyDescent="0.2">
      <c r="G1194" s="23"/>
      <c r="H1194" s="23"/>
      <c r="I1194" s="23"/>
    </row>
    <row r="1195" spans="7:9" x14ac:dyDescent="0.2">
      <c r="G1195" s="23"/>
      <c r="H1195" s="23"/>
      <c r="I1195" s="23"/>
    </row>
    <row r="1196" spans="7:9" x14ac:dyDescent="0.2">
      <c r="G1196" s="23"/>
      <c r="H1196" s="23"/>
      <c r="I1196" s="23"/>
    </row>
    <row r="1197" spans="7:9" x14ac:dyDescent="0.2">
      <c r="G1197" s="23"/>
      <c r="H1197" s="23"/>
      <c r="I1197" s="23"/>
    </row>
    <row r="1198" spans="7:9" x14ac:dyDescent="0.2">
      <c r="G1198" s="23"/>
      <c r="H1198" s="23"/>
      <c r="I1198" s="23"/>
    </row>
    <row r="1199" spans="7:9" x14ac:dyDescent="0.2">
      <c r="G1199" s="23"/>
      <c r="H1199" s="23"/>
      <c r="I1199" s="23"/>
    </row>
    <row r="1200" spans="7:9" x14ac:dyDescent="0.2">
      <c r="G1200" s="23"/>
      <c r="H1200" s="23"/>
      <c r="I1200" s="23"/>
    </row>
    <row r="1201" spans="7:9" x14ac:dyDescent="0.2">
      <c r="G1201" s="23"/>
      <c r="H1201" s="23"/>
      <c r="I1201" s="23"/>
    </row>
    <row r="1202" spans="7:9" x14ac:dyDescent="0.2">
      <c r="G1202" s="23"/>
      <c r="H1202" s="23"/>
      <c r="I1202" s="23"/>
    </row>
    <row r="1203" spans="7:9" x14ac:dyDescent="0.2">
      <c r="G1203" s="23"/>
      <c r="H1203" s="23"/>
      <c r="I1203" s="23"/>
    </row>
    <row r="1204" spans="7:9" x14ac:dyDescent="0.2">
      <c r="G1204" s="23"/>
      <c r="H1204" s="23"/>
      <c r="I1204" s="23"/>
    </row>
    <row r="1205" spans="7:9" x14ac:dyDescent="0.2">
      <c r="G1205" s="23"/>
      <c r="H1205" s="23"/>
      <c r="I1205" s="23"/>
    </row>
    <row r="1206" spans="7:9" x14ac:dyDescent="0.2">
      <c r="G1206" s="23"/>
      <c r="H1206" s="23"/>
      <c r="I1206" s="23"/>
    </row>
    <row r="1207" spans="7:9" x14ac:dyDescent="0.2">
      <c r="G1207" s="23"/>
      <c r="H1207" s="23"/>
      <c r="I1207" s="23"/>
    </row>
    <row r="1208" spans="7:9" x14ac:dyDescent="0.2">
      <c r="G1208" s="23"/>
      <c r="H1208" s="23"/>
      <c r="I1208" s="23"/>
    </row>
    <row r="1209" spans="7:9" x14ac:dyDescent="0.2">
      <c r="G1209" s="23"/>
      <c r="H1209" s="23"/>
      <c r="I1209" s="23"/>
    </row>
    <row r="1210" spans="7:9" x14ac:dyDescent="0.2">
      <c r="G1210" s="23"/>
      <c r="H1210" s="23"/>
      <c r="I1210" s="23"/>
    </row>
    <row r="1211" spans="7:9" x14ac:dyDescent="0.2">
      <c r="G1211" s="23"/>
      <c r="H1211" s="23"/>
      <c r="I1211" s="23"/>
    </row>
    <row r="1212" spans="7:9" x14ac:dyDescent="0.2">
      <c r="G1212" s="23"/>
      <c r="H1212" s="23"/>
      <c r="I1212" s="23"/>
    </row>
    <row r="1213" spans="7:9" x14ac:dyDescent="0.2">
      <c r="G1213" s="23"/>
      <c r="H1213" s="23"/>
      <c r="I1213" s="23"/>
    </row>
    <row r="1214" spans="7:9" x14ac:dyDescent="0.2">
      <c r="G1214" s="23"/>
      <c r="H1214" s="23"/>
      <c r="I1214" s="23"/>
    </row>
    <row r="1215" spans="7:9" x14ac:dyDescent="0.2">
      <c r="G1215" s="23"/>
      <c r="H1215" s="23"/>
      <c r="I1215" s="23"/>
    </row>
    <row r="1216" spans="7:9" x14ac:dyDescent="0.2">
      <c r="G1216" s="23"/>
      <c r="H1216" s="23"/>
      <c r="I1216" s="23"/>
    </row>
    <row r="1217" spans="7:9" x14ac:dyDescent="0.2">
      <c r="G1217" s="23"/>
      <c r="H1217" s="23"/>
      <c r="I1217" s="23"/>
    </row>
    <row r="1218" spans="7:9" x14ac:dyDescent="0.2">
      <c r="G1218" s="23"/>
      <c r="H1218" s="23"/>
      <c r="I1218" s="23"/>
    </row>
    <row r="1219" spans="7:9" x14ac:dyDescent="0.2">
      <c r="G1219" s="23"/>
      <c r="H1219" s="23"/>
      <c r="I1219" s="23"/>
    </row>
    <row r="1220" spans="7:9" x14ac:dyDescent="0.2">
      <c r="G1220" s="23"/>
      <c r="H1220" s="23"/>
      <c r="I1220" s="23"/>
    </row>
    <row r="1221" spans="7:9" x14ac:dyDescent="0.2">
      <c r="G1221" s="23"/>
      <c r="H1221" s="23"/>
      <c r="I1221" s="23"/>
    </row>
    <row r="1222" spans="7:9" x14ac:dyDescent="0.2">
      <c r="G1222" s="23"/>
      <c r="H1222" s="23"/>
      <c r="I1222" s="23"/>
    </row>
    <row r="1223" spans="7:9" x14ac:dyDescent="0.2">
      <c r="G1223" s="23"/>
      <c r="H1223" s="23"/>
      <c r="I1223" s="23"/>
    </row>
    <row r="1224" spans="7:9" x14ac:dyDescent="0.2">
      <c r="G1224" s="23"/>
      <c r="H1224" s="23"/>
      <c r="I1224" s="23"/>
    </row>
    <row r="1225" spans="7:9" x14ac:dyDescent="0.2">
      <c r="G1225" s="23"/>
      <c r="H1225" s="23"/>
      <c r="I1225" s="23"/>
    </row>
    <row r="1226" spans="7:9" x14ac:dyDescent="0.2">
      <c r="G1226" s="23"/>
      <c r="H1226" s="23"/>
      <c r="I1226" s="23"/>
    </row>
    <row r="1227" spans="7:9" x14ac:dyDescent="0.2">
      <c r="G1227" s="23"/>
      <c r="H1227" s="23"/>
      <c r="I1227" s="23"/>
    </row>
    <row r="1228" spans="7:9" x14ac:dyDescent="0.2">
      <c r="G1228" s="23"/>
      <c r="H1228" s="23"/>
      <c r="I1228" s="23"/>
    </row>
    <row r="1229" spans="7:9" x14ac:dyDescent="0.2">
      <c r="G1229" s="23"/>
      <c r="H1229" s="23"/>
      <c r="I1229" s="23"/>
    </row>
    <row r="1230" spans="7:9" x14ac:dyDescent="0.2">
      <c r="G1230" s="23"/>
      <c r="H1230" s="23"/>
      <c r="I1230" s="23"/>
    </row>
    <row r="1231" spans="7:9" x14ac:dyDescent="0.2">
      <c r="G1231" s="23"/>
      <c r="H1231" s="23"/>
      <c r="I1231" s="23"/>
    </row>
    <row r="1232" spans="7:9" x14ac:dyDescent="0.2">
      <c r="G1232" s="23"/>
      <c r="H1232" s="23"/>
      <c r="I1232" s="23"/>
    </row>
    <row r="1233" spans="7:9" x14ac:dyDescent="0.2">
      <c r="G1233" s="23"/>
      <c r="H1233" s="23"/>
      <c r="I1233" s="23"/>
    </row>
    <row r="1234" spans="7:9" x14ac:dyDescent="0.2">
      <c r="G1234" s="23"/>
      <c r="H1234" s="23"/>
      <c r="I1234" s="23"/>
    </row>
    <row r="1235" spans="7:9" x14ac:dyDescent="0.2">
      <c r="G1235" s="23"/>
      <c r="H1235" s="23"/>
      <c r="I1235" s="23"/>
    </row>
    <row r="1236" spans="7:9" x14ac:dyDescent="0.2">
      <c r="G1236" s="23"/>
      <c r="H1236" s="23"/>
      <c r="I1236" s="23"/>
    </row>
    <row r="1237" spans="7:9" x14ac:dyDescent="0.2">
      <c r="G1237" s="23"/>
      <c r="H1237" s="23"/>
      <c r="I1237" s="23"/>
    </row>
    <row r="1238" spans="7:9" x14ac:dyDescent="0.2">
      <c r="G1238" s="23"/>
      <c r="H1238" s="23"/>
      <c r="I1238" s="23"/>
    </row>
    <row r="1239" spans="7:9" x14ac:dyDescent="0.2">
      <c r="G1239" s="23"/>
      <c r="H1239" s="23"/>
      <c r="I1239" s="23"/>
    </row>
    <row r="1240" spans="7:9" x14ac:dyDescent="0.2">
      <c r="G1240" s="23"/>
      <c r="H1240" s="23"/>
      <c r="I1240" s="23"/>
    </row>
    <row r="1241" spans="7:9" x14ac:dyDescent="0.2">
      <c r="G1241" s="23"/>
      <c r="H1241" s="23"/>
      <c r="I1241" s="23"/>
    </row>
    <row r="1242" spans="7:9" x14ac:dyDescent="0.2">
      <c r="G1242" s="23"/>
      <c r="H1242" s="23"/>
      <c r="I1242" s="23"/>
    </row>
    <row r="1243" spans="7:9" x14ac:dyDescent="0.2">
      <c r="G1243" s="23"/>
      <c r="H1243" s="23"/>
      <c r="I1243" s="23"/>
    </row>
    <row r="1244" spans="7:9" x14ac:dyDescent="0.2">
      <c r="G1244" s="23"/>
      <c r="H1244" s="23"/>
      <c r="I1244" s="23"/>
    </row>
    <row r="1245" spans="7:9" x14ac:dyDescent="0.2">
      <c r="G1245" s="23"/>
      <c r="H1245" s="23"/>
      <c r="I1245" s="23"/>
    </row>
    <row r="1246" spans="7:9" x14ac:dyDescent="0.2">
      <c r="G1246" s="23"/>
      <c r="H1246" s="23"/>
      <c r="I1246" s="23"/>
    </row>
    <row r="1247" spans="7:9" x14ac:dyDescent="0.2">
      <c r="G1247" s="23"/>
      <c r="H1247" s="23"/>
      <c r="I1247" s="23"/>
    </row>
    <row r="1248" spans="7:9" x14ac:dyDescent="0.2">
      <c r="G1248" s="23"/>
      <c r="H1248" s="23"/>
      <c r="I1248" s="23"/>
    </row>
    <row r="1249" spans="7:9" x14ac:dyDescent="0.2">
      <c r="G1249" s="23"/>
      <c r="H1249" s="23"/>
      <c r="I1249" s="23"/>
    </row>
    <row r="1250" spans="7:9" x14ac:dyDescent="0.2">
      <c r="G1250" s="23"/>
      <c r="H1250" s="23"/>
      <c r="I1250" s="23"/>
    </row>
    <row r="1251" spans="7:9" x14ac:dyDescent="0.2">
      <c r="G1251" s="23"/>
      <c r="H1251" s="23"/>
      <c r="I1251" s="23"/>
    </row>
    <row r="1252" spans="7:9" x14ac:dyDescent="0.2">
      <c r="G1252" s="23"/>
      <c r="H1252" s="23"/>
      <c r="I1252" s="23"/>
    </row>
    <row r="1253" spans="7:9" x14ac:dyDescent="0.2">
      <c r="G1253" s="23"/>
      <c r="H1253" s="23"/>
      <c r="I1253" s="23"/>
    </row>
    <row r="1254" spans="7:9" x14ac:dyDescent="0.2">
      <c r="G1254" s="23"/>
      <c r="H1254" s="23"/>
      <c r="I1254" s="23"/>
    </row>
    <row r="1255" spans="7:9" x14ac:dyDescent="0.2">
      <c r="G1255" s="23"/>
      <c r="H1255" s="23"/>
      <c r="I1255" s="23"/>
    </row>
    <row r="1256" spans="7:9" x14ac:dyDescent="0.2">
      <c r="G1256" s="23"/>
      <c r="H1256" s="23"/>
      <c r="I1256" s="23"/>
    </row>
    <row r="1257" spans="7:9" x14ac:dyDescent="0.2">
      <c r="G1257" s="23"/>
      <c r="H1257" s="23"/>
      <c r="I1257" s="23"/>
    </row>
    <row r="1258" spans="7:9" x14ac:dyDescent="0.2">
      <c r="G1258" s="23"/>
      <c r="H1258" s="23"/>
      <c r="I1258" s="23"/>
    </row>
    <row r="1259" spans="7:9" x14ac:dyDescent="0.2">
      <c r="G1259" s="23"/>
      <c r="H1259" s="23"/>
      <c r="I1259" s="23"/>
    </row>
    <row r="1260" spans="7:9" x14ac:dyDescent="0.2">
      <c r="G1260" s="23"/>
      <c r="H1260" s="23"/>
      <c r="I1260" s="23"/>
    </row>
    <row r="1261" spans="7:9" x14ac:dyDescent="0.2">
      <c r="G1261" s="23"/>
      <c r="H1261" s="23"/>
      <c r="I1261" s="23"/>
    </row>
    <row r="1262" spans="7:9" x14ac:dyDescent="0.2">
      <c r="G1262" s="23"/>
      <c r="H1262" s="23"/>
      <c r="I1262" s="23"/>
    </row>
    <row r="1263" spans="7:9" x14ac:dyDescent="0.2">
      <c r="G1263" s="23"/>
      <c r="H1263" s="23"/>
      <c r="I1263" s="23"/>
    </row>
    <row r="1264" spans="7:9" x14ac:dyDescent="0.2">
      <c r="G1264" s="23"/>
      <c r="H1264" s="23"/>
      <c r="I1264" s="23"/>
    </row>
    <row r="1265" spans="7:9" x14ac:dyDescent="0.2">
      <c r="G1265" s="23"/>
      <c r="H1265" s="23"/>
      <c r="I1265" s="23"/>
    </row>
    <row r="1266" spans="7:9" x14ac:dyDescent="0.2">
      <c r="G1266" s="23"/>
      <c r="H1266" s="23"/>
      <c r="I1266" s="23"/>
    </row>
    <row r="1267" spans="7:9" x14ac:dyDescent="0.2">
      <c r="G1267" s="23"/>
      <c r="H1267" s="23"/>
      <c r="I1267" s="23"/>
    </row>
    <row r="1268" spans="7:9" x14ac:dyDescent="0.2">
      <c r="G1268" s="23"/>
      <c r="H1268" s="23"/>
      <c r="I1268" s="23"/>
    </row>
    <row r="1269" spans="7:9" x14ac:dyDescent="0.2">
      <c r="G1269" s="23"/>
      <c r="H1269" s="23"/>
      <c r="I1269" s="23"/>
    </row>
    <row r="1270" spans="7:9" x14ac:dyDescent="0.2">
      <c r="G1270" s="23"/>
      <c r="H1270" s="23"/>
      <c r="I1270" s="23"/>
    </row>
    <row r="1271" spans="7:9" x14ac:dyDescent="0.2">
      <c r="G1271" s="23"/>
      <c r="H1271" s="23"/>
      <c r="I1271" s="23"/>
    </row>
    <row r="1272" spans="7:9" x14ac:dyDescent="0.2">
      <c r="G1272" s="23"/>
      <c r="H1272" s="23"/>
      <c r="I1272" s="23"/>
    </row>
    <row r="1273" spans="7:9" x14ac:dyDescent="0.2">
      <c r="G1273" s="23"/>
      <c r="H1273" s="23"/>
      <c r="I1273" s="23"/>
    </row>
    <row r="1274" spans="7:9" x14ac:dyDescent="0.2">
      <c r="G1274" s="23"/>
      <c r="H1274" s="23"/>
      <c r="I1274" s="23"/>
    </row>
    <row r="1275" spans="7:9" x14ac:dyDescent="0.2">
      <c r="G1275" s="23"/>
      <c r="H1275" s="23"/>
      <c r="I1275" s="23"/>
    </row>
    <row r="1276" spans="7:9" x14ac:dyDescent="0.2">
      <c r="G1276" s="23"/>
      <c r="H1276" s="23"/>
      <c r="I1276" s="23"/>
    </row>
    <row r="1277" spans="7:9" x14ac:dyDescent="0.2">
      <c r="G1277" s="23"/>
      <c r="H1277" s="23"/>
      <c r="I1277" s="23"/>
    </row>
    <row r="1278" spans="7:9" x14ac:dyDescent="0.2">
      <c r="G1278" s="23"/>
      <c r="H1278" s="23"/>
      <c r="I1278" s="23"/>
    </row>
    <row r="1279" spans="7:9" x14ac:dyDescent="0.2">
      <c r="G1279" s="23"/>
      <c r="H1279" s="23"/>
      <c r="I1279" s="23"/>
    </row>
    <row r="1280" spans="7:9" x14ac:dyDescent="0.2">
      <c r="G1280" s="23"/>
      <c r="H1280" s="23"/>
      <c r="I1280" s="23"/>
    </row>
    <row r="1281" spans="7:9" x14ac:dyDescent="0.2">
      <c r="G1281" s="23"/>
      <c r="H1281" s="23"/>
      <c r="I1281" s="23"/>
    </row>
    <row r="1282" spans="7:9" x14ac:dyDescent="0.2">
      <c r="G1282" s="23"/>
      <c r="H1282" s="23"/>
      <c r="I1282" s="23"/>
    </row>
    <row r="1283" spans="7:9" x14ac:dyDescent="0.2">
      <c r="G1283" s="23"/>
      <c r="H1283" s="23"/>
      <c r="I1283" s="23"/>
    </row>
    <row r="1284" spans="7:9" x14ac:dyDescent="0.2">
      <c r="G1284" s="23"/>
      <c r="H1284" s="23"/>
      <c r="I1284" s="23"/>
    </row>
    <row r="1285" spans="7:9" x14ac:dyDescent="0.2">
      <c r="G1285" s="23"/>
      <c r="H1285" s="23"/>
      <c r="I1285" s="23"/>
    </row>
    <row r="1286" spans="7:9" x14ac:dyDescent="0.2">
      <c r="G1286" s="23"/>
      <c r="H1286" s="23"/>
      <c r="I1286" s="23"/>
    </row>
    <row r="1287" spans="7:9" x14ac:dyDescent="0.2">
      <c r="G1287" s="23"/>
      <c r="H1287" s="23"/>
      <c r="I1287" s="23"/>
    </row>
    <row r="1288" spans="7:9" x14ac:dyDescent="0.2">
      <c r="G1288" s="23"/>
      <c r="H1288" s="23"/>
      <c r="I1288" s="23"/>
    </row>
    <row r="1289" spans="7:9" x14ac:dyDescent="0.2">
      <c r="G1289" s="23"/>
      <c r="H1289" s="23"/>
      <c r="I1289" s="23"/>
    </row>
    <row r="1290" spans="7:9" x14ac:dyDescent="0.2">
      <c r="G1290" s="23"/>
      <c r="H1290" s="23"/>
      <c r="I1290" s="23"/>
    </row>
    <row r="1291" spans="7:9" x14ac:dyDescent="0.2">
      <c r="G1291" s="23"/>
      <c r="H1291" s="23"/>
      <c r="I1291" s="23"/>
    </row>
    <row r="1292" spans="7:9" x14ac:dyDescent="0.2">
      <c r="G1292" s="23"/>
      <c r="H1292" s="23"/>
      <c r="I1292" s="23"/>
    </row>
    <row r="1293" spans="7:9" x14ac:dyDescent="0.2">
      <c r="G1293" s="23"/>
      <c r="H1293" s="23"/>
      <c r="I1293" s="23"/>
    </row>
    <row r="1294" spans="7:9" x14ac:dyDescent="0.2">
      <c r="G1294" s="23"/>
      <c r="H1294" s="23"/>
      <c r="I1294" s="23"/>
    </row>
    <row r="1295" spans="7:9" x14ac:dyDescent="0.2">
      <c r="G1295" s="23"/>
      <c r="H1295" s="23"/>
      <c r="I1295" s="23"/>
    </row>
    <row r="1296" spans="7:9" x14ac:dyDescent="0.2">
      <c r="G1296" s="23"/>
      <c r="H1296" s="23"/>
      <c r="I1296" s="23"/>
    </row>
    <row r="1297" spans="7:9" x14ac:dyDescent="0.2">
      <c r="G1297" s="23"/>
      <c r="H1297" s="23"/>
      <c r="I1297" s="23"/>
    </row>
    <row r="1298" spans="7:9" x14ac:dyDescent="0.2">
      <c r="G1298" s="23"/>
      <c r="H1298" s="23"/>
      <c r="I1298" s="23"/>
    </row>
    <row r="1299" spans="7:9" x14ac:dyDescent="0.2">
      <c r="G1299" s="23"/>
      <c r="H1299" s="23"/>
      <c r="I1299" s="23"/>
    </row>
    <row r="1300" spans="7:9" x14ac:dyDescent="0.2">
      <c r="G1300" s="23"/>
      <c r="H1300" s="23"/>
      <c r="I1300" s="23"/>
    </row>
    <row r="1301" spans="7:9" x14ac:dyDescent="0.2">
      <c r="G1301" s="23"/>
      <c r="H1301" s="23"/>
      <c r="I1301" s="23"/>
    </row>
    <row r="1302" spans="7:9" x14ac:dyDescent="0.2">
      <c r="G1302" s="23"/>
      <c r="H1302" s="23"/>
      <c r="I1302" s="23"/>
    </row>
    <row r="1303" spans="7:9" x14ac:dyDescent="0.2">
      <c r="G1303" s="23"/>
      <c r="H1303" s="23"/>
      <c r="I1303" s="23"/>
    </row>
    <row r="1304" spans="7:9" x14ac:dyDescent="0.2">
      <c r="G1304" s="23"/>
      <c r="H1304" s="23"/>
      <c r="I1304" s="23"/>
    </row>
    <row r="1305" spans="7:9" x14ac:dyDescent="0.2">
      <c r="G1305" s="23"/>
      <c r="H1305" s="23"/>
      <c r="I1305" s="23"/>
    </row>
    <row r="1306" spans="7:9" x14ac:dyDescent="0.2">
      <c r="G1306" s="23"/>
      <c r="H1306" s="23"/>
      <c r="I1306" s="23"/>
    </row>
    <row r="1307" spans="7:9" x14ac:dyDescent="0.2">
      <c r="G1307" s="23"/>
      <c r="H1307" s="23"/>
      <c r="I1307" s="23"/>
    </row>
    <row r="1308" spans="7:9" x14ac:dyDescent="0.2">
      <c r="G1308" s="23"/>
      <c r="H1308" s="23"/>
      <c r="I1308" s="23"/>
    </row>
    <row r="1309" spans="7:9" x14ac:dyDescent="0.2">
      <c r="G1309" s="23"/>
      <c r="H1309" s="23"/>
      <c r="I1309" s="23"/>
    </row>
    <row r="1310" spans="7:9" x14ac:dyDescent="0.2">
      <c r="G1310" s="23"/>
      <c r="H1310" s="23"/>
      <c r="I1310" s="23"/>
    </row>
    <row r="1311" spans="7:9" x14ac:dyDescent="0.2">
      <c r="G1311" s="23"/>
      <c r="H1311" s="23"/>
      <c r="I1311" s="23"/>
    </row>
    <row r="1312" spans="7:9" x14ac:dyDescent="0.2">
      <c r="G1312" s="23"/>
      <c r="H1312" s="23"/>
      <c r="I1312" s="23"/>
    </row>
    <row r="1313" spans="7:9" x14ac:dyDescent="0.2">
      <c r="G1313" s="23"/>
      <c r="H1313" s="23"/>
      <c r="I1313" s="23"/>
    </row>
    <row r="1314" spans="7:9" x14ac:dyDescent="0.2">
      <c r="G1314" s="23"/>
      <c r="H1314" s="23"/>
      <c r="I1314" s="23"/>
    </row>
    <row r="1315" spans="7:9" x14ac:dyDescent="0.2">
      <c r="G1315" s="23"/>
      <c r="H1315" s="23"/>
      <c r="I1315" s="23"/>
    </row>
    <row r="1316" spans="7:9" x14ac:dyDescent="0.2">
      <c r="G1316" s="23"/>
      <c r="H1316" s="23"/>
      <c r="I1316" s="23"/>
    </row>
    <row r="1317" spans="7:9" x14ac:dyDescent="0.2">
      <c r="G1317" s="23"/>
      <c r="H1317" s="23"/>
      <c r="I1317" s="23"/>
    </row>
    <row r="1318" spans="7:9" x14ac:dyDescent="0.2">
      <c r="G1318" s="23"/>
      <c r="H1318" s="23"/>
      <c r="I1318" s="23"/>
    </row>
    <row r="1319" spans="7:9" x14ac:dyDescent="0.2">
      <c r="G1319" s="23"/>
      <c r="H1319" s="23"/>
      <c r="I1319" s="23"/>
    </row>
    <row r="1320" spans="7:9" x14ac:dyDescent="0.2">
      <c r="G1320" s="23"/>
      <c r="H1320" s="23"/>
      <c r="I1320" s="23"/>
    </row>
    <row r="1321" spans="7:9" x14ac:dyDescent="0.2">
      <c r="G1321" s="23"/>
      <c r="H1321" s="23"/>
      <c r="I1321" s="23"/>
    </row>
    <row r="1322" spans="7:9" x14ac:dyDescent="0.2">
      <c r="G1322" s="23"/>
      <c r="H1322" s="23"/>
      <c r="I1322" s="23"/>
    </row>
    <row r="1323" spans="7:9" x14ac:dyDescent="0.2">
      <c r="G1323" s="23"/>
      <c r="H1323" s="23"/>
      <c r="I1323" s="23"/>
    </row>
    <row r="1324" spans="7:9" x14ac:dyDescent="0.2">
      <c r="G1324" s="23"/>
      <c r="H1324" s="23"/>
      <c r="I1324" s="23"/>
    </row>
    <row r="1325" spans="7:9" x14ac:dyDescent="0.2">
      <c r="G1325" s="23"/>
      <c r="H1325" s="23"/>
      <c r="I1325" s="23"/>
    </row>
    <row r="1326" spans="7:9" x14ac:dyDescent="0.2">
      <c r="G1326" s="23"/>
      <c r="H1326" s="23"/>
      <c r="I1326" s="23"/>
    </row>
    <row r="1327" spans="7:9" x14ac:dyDescent="0.2">
      <c r="G1327" s="23"/>
      <c r="H1327" s="23"/>
      <c r="I1327" s="23"/>
    </row>
    <row r="1328" spans="7:9" x14ac:dyDescent="0.2">
      <c r="G1328" s="23"/>
      <c r="H1328" s="23"/>
      <c r="I1328" s="23"/>
    </row>
    <row r="1329" spans="7:9" x14ac:dyDescent="0.2">
      <c r="G1329" s="23"/>
      <c r="H1329" s="23"/>
      <c r="I1329" s="23"/>
    </row>
    <row r="1330" spans="7:9" x14ac:dyDescent="0.2">
      <c r="G1330" s="23"/>
      <c r="H1330" s="23"/>
      <c r="I1330" s="23"/>
    </row>
    <row r="1331" spans="7:9" x14ac:dyDescent="0.2">
      <c r="G1331" s="23"/>
      <c r="H1331" s="23"/>
      <c r="I1331" s="23"/>
    </row>
    <row r="1332" spans="7:9" x14ac:dyDescent="0.2">
      <c r="G1332" s="23"/>
      <c r="H1332" s="23"/>
      <c r="I1332" s="23"/>
    </row>
    <row r="1333" spans="7:9" x14ac:dyDescent="0.2">
      <c r="G1333" s="23"/>
      <c r="H1333" s="23"/>
      <c r="I1333" s="23"/>
    </row>
    <row r="1334" spans="7:9" x14ac:dyDescent="0.2">
      <c r="G1334" s="23"/>
      <c r="H1334" s="23"/>
      <c r="I1334" s="23"/>
    </row>
    <row r="1335" spans="7:9" x14ac:dyDescent="0.2">
      <c r="G1335" s="23"/>
      <c r="H1335" s="23"/>
      <c r="I1335" s="23"/>
    </row>
    <row r="1336" spans="7:9" x14ac:dyDescent="0.2">
      <c r="G1336" s="23"/>
      <c r="H1336" s="23"/>
      <c r="I1336" s="23"/>
    </row>
    <row r="1337" spans="7:9" x14ac:dyDescent="0.2">
      <c r="G1337" s="23"/>
      <c r="H1337" s="23"/>
      <c r="I1337" s="23"/>
    </row>
    <row r="1338" spans="7:9" x14ac:dyDescent="0.2">
      <c r="G1338" s="23"/>
      <c r="H1338" s="23"/>
      <c r="I1338" s="23"/>
    </row>
    <row r="1339" spans="7:9" x14ac:dyDescent="0.2">
      <c r="G1339" s="23"/>
      <c r="H1339" s="23"/>
      <c r="I1339" s="23"/>
    </row>
    <row r="1340" spans="7:9" x14ac:dyDescent="0.2">
      <c r="G1340" s="23"/>
      <c r="H1340" s="23"/>
      <c r="I1340" s="23"/>
    </row>
    <row r="1341" spans="7:9" x14ac:dyDescent="0.2">
      <c r="G1341" s="23"/>
      <c r="H1341" s="23"/>
      <c r="I1341" s="23"/>
    </row>
    <row r="1342" spans="7:9" x14ac:dyDescent="0.2">
      <c r="G1342" s="23"/>
      <c r="H1342" s="23"/>
      <c r="I1342" s="23"/>
    </row>
    <row r="1343" spans="7:9" x14ac:dyDescent="0.2">
      <c r="G1343" s="23"/>
      <c r="H1343" s="23"/>
      <c r="I1343" s="23"/>
    </row>
    <row r="1344" spans="7:9" x14ac:dyDescent="0.2">
      <c r="G1344" s="23"/>
      <c r="H1344" s="23"/>
      <c r="I1344" s="23"/>
    </row>
    <row r="1345" spans="7:9" x14ac:dyDescent="0.2">
      <c r="G1345" s="23"/>
      <c r="H1345" s="23"/>
      <c r="I1345" s="23"/>
    </row>
    <row r="1346" spans="7:9" x14ac:dyDescent="0.2">
      <c r="G1346" s="23"/>
      <c r="H1346" s="23"/>
      <c r="I1346" s="23"/>
    </row>
    <row r="1347" spans="7:9" x14ac:dyDescent="0.2">
      <c r="G1347" s="23"/>
      <c r="H1347" s="23"/>
      <c r="I1347" s="23"/>
    </row>
    <row r="1348" spans="7:9" x14ac:dyDescent="0.2">
      <c r="G1348" s="23"/>
      <c r="H1348" s="23"/>
      <c r="I1348" s="23"/>
    </row>
    <row r="1349" spans="7:9" x14ac:dyDescent="0.2">
      <c r="G1349" s="23"/>
      <c r="H1349" s="23"/>
      <c r="I1349" s="23"/>
    </row>
    <row r="1350" spans="7:9" x14ac:dyDescent="0.2">
      <c r="G1350" s="23"/>
      <c r="H1350" s="23"/>
      <c r="I1350" s="23"/>
    </row>
    <row r="1351" spans="7:9" x14ac:dyDescent="0.2">
      <c r="G1351" s="23"/>
      <c r="H1351" s="23"/>
      <c r="I1351" s="23"/>
    </row>
    <row r="1352" spans="7:9" x14ac:dyDescent="0.2">
      <c r="G1352" s="23"/>
      <c r="H1352" s="23"/>
      <c r="I1352" s="23"/>
    </row>
    <row r="1353" spans="7:9" x14ac:dyDescent="0.2">
      <c r="G1353" s="23"/>
      <c r="H1353" s="23"/>
      <c r="I1353" s="23"/>
    </row>
    <row r="1354" spans="7:9" x14ac:dyDescent="0.2">
      <c r="G1354" s="23"/>
      <c r="H1354" s="23"/>
      <c r="I1354" s="23"/>
    </row>
    <row r="1355" spans="7:9" x14ac:dyDescent="0.2">
      <c r="G1355" s="23"/>
      <c r="H1355" s="23"/>
      <c r="I1355" s="23"/>
    </row>
    <row r="1356" spans="7:9" x14ac:dyDescent="0.2">
      <c r="G1356" s="23"/>
      <c r="H1356" s="23"/>
      <c r="I1356" s="23"/>
    </row>
    <row r="1357" spans="7:9" x14ac:dyDescent="0.2">
      <c r="G1357" s="23"/>
      <c r="H1357" s="23"/>
      <c r="I1357" s="23"/>
    </row>
    <row r="1358" spans="7:9" x14ac:dyDescent="0.2">
      <c r="G1358" s="23"/>
      <c r="H1358" s="23"/>
      <c r="I1358" s="23"/>
    </row>
    <row r="1359" spans="7:9" x14ac:dyDescent="0.2">
      <c r="G1359" s="23"/>
      <c r="H1359" s="23"/>
      <c r="I1359" s="23"/>
    </row>
    <row r="1360" spans="7:9" x14ac:dyDescent="0.2">
      <c r="G1360" s="23"/>
      <c r="H1360" s="23"/>
      <c r="I1360" s="23"/>
    </row>
    <row r="1361" spans="7:9" x14ac:dyDescent="0.2">
      <c r="G1361" s="23"/>
      <c r="H1361" s="23"/>
      <c r="I1361" s="23"/>
    </row>
    <row r="1362" spans="7:9" x14ac:dyDescent="0.2">
      <c r="G1362" s="23"/>
      <c r="H1362" s="23"/>
      <c r="I1362" s="23"/>
    </row>
    <row r="1363" spans="7:9" x14ac:dyDescent="0.2">
      <c r="G1363" s="23"/>
      <c r="H1363" s="23"/>
      <c r="I1363" s="23"/>
    </row>
    <row r="1364" spans="7:9" x14ac:dyDescent="0.2">
      <c r="G1364" s="23"/>
      <c r="H1364" s="23"/>
      <c r="I1364" s="23"/>
    </row>
    <row r="1365" spans="7:9" x14ac:dyDescent="0.2">
      <c r="G1365" s="23"/>
      <c r="H1365" s="23"/>
      <c r="I1365" s="23"/>
    </row>
    <row r="1366" spans="7:9" x14ac:dyDescent="0.2">
      <c r="G1366" s="23"/>
      <c r="H1366" s="23"/>
      <c r="I1366" s="23"/>
    </row>
    <row r="1367" spans="7:9" x14ac:dyDescent="0.2">
      <c r="G1367" s="23"/>
      <c r="H1367" s="23"/>
      <c r="I1367" s="23"/>
    </row>
    <row r="1368" spans="7:9" x14ac:dyDescent="0.2">
      <c r="G1368" s="23"/>
      <c r="H1368" s="23"/>
      <c r="I1368" s="23"/>
    </row>
    <row r="1369" spans="7:9" x14ac:dyDescent="0.2">
      <c r="G1369" s="23"/>
      <c r="H1369" s="23"/>
      <c r="I1369" s="23"/>
    </row>
    <row r="1370" spans="7:9" x14ac:dyDescent="0.2">
      <c r="G1370" s="23"/>
      <c r="H1370" s="23"/>
      <c r="I1370" s="23"/>
    </row>
    <row r="1371" spans="7:9" x14ac:dyDescent="0.2">
      <c r="G1371" s="23"/>
      <c r="H1371" s="23"/>
      <c r="I1371" s="23"/>
    </row>
    <row r="1372" spans="7:9" x14ac:dyDescent="0.2">
      <c r="G1372" s="23"/>
      <c r="H1372" s="23"/>
      <c r="I1372" s="23"/>
    </row>
    <row r="1373" spans="7:9" x14ac:dyDescent="0.2">
      <c r="G1373" s="23"/>
      <c r="H1373" s="23"/>
      <c r="I1373" s="23"/>
    </row>
    <row r="1374" spans="7:9" x14ac:dyDescent="0.2">
      <c r="G1374" s="23"/>
      <c r="H1374" s="23"/>
      <c r="I1374" s="23"/>
    </row>
    <row r="1375" spans="7:9" x14ac:dyDescent="0.2">
      <c r="G1375" s="23"/>
      <c r="H1375" s="23"/>
      <c r="I1375" s="23"/>
    </row>
    <row r="1376" spans="7:9" x14ac:dyDescent="0.2">
      <c r="G1376" s="23"/>
      <c r="H1376" s="23"/>
      <c r="I1376" s="23"/>
    </row>
    <row r="1377" spans="7:9" x14ac:dyDescent="0.2">
      <c r="G1377" s="23"/>
      <c r="H1377" s="23"/>
      <c r="I1377" s="23"/>
    </row>
    <row r="1378" spans="7:9" x14ac:dyDescent="0.2">
      <c r="G1378" s="23"/>
      <c r="H1378" s="23"/>
      <c r="I1378" s="23"/>
    </row>
    <row r="1379" spans="7:9" x14ac:dyDescent="0.2">
      <c r="G1379" s="23"/>
      <c r="H1379" s="23"/>
      <c r="I1379" s="23"/>
    </row>
    <row r="1380" spans="7:9" x14ac:dyDescent="0.2">
      <c r="G1380" s="23"/>
      <c r="H1380" s="23"/>
      <c r="I1380" s="23"/>
    </row>
    <row r="1381" spans="7:9" x14ac:dyDescent="0.2">
      <c r="G1381" s="23"/>
      <c r="H1381" s="23"/>
      <c r="I1381" s="23"/>
    </row>
    <row r="1382" spans="7:9" x14ac:dyDescent="0.2">
      <c r="G1382" s="23"/>
      <c r="H1382" s="23"/>
      <c r="I1382" s="23"/>
    </row>
    <row r="1383" spans="7:9" x14ac:dyDescent="0.2">
      <c r="G1383" s="23"/>
      <c r="H1383" s="23"/>
      <c r="I1383" s="23"/>
    </row>
    <row r="1384" spans="7:9" x14ac:dyDescent="0.2">
      <c r="G1384" s="23"/>
      <c r="H1384" s="23"/>
      <c r="I1384" s="23"/>
    </row>
    <row r="1385" spans="7:9" x14ac:dyDescent="0.2">
      <c r="G1385" s="23"/>
      <c r="H1385" s="23"/>
      <c r="I1385" s="23"/>
    </row>
    <row r="1386" spans="7:9" x14ac:dyDescent="0.2">
      <c r="G1386" s="23"/>
      <c r="H1386" s="23"/>
      <c r="I1386" s="23"/>
    </row>
    <row r="1387" spans="7:9" x14ac:dyDescent="0.2">
      <c r="G1387" s="23"/>
      <c r="H1387" s="23"/>
      <c r="I1387" s="23"/>
    </row>
    <row r="1388" spans="7:9" x14ac:dyDescent="0.2">
      <c r="G1388" s="23"/>
      <c r="H1388" s="23"/>
      <c r="I1388" s="23"/>
    </row>
    <row r="1389" spans="7:9" x14ac:dyDescent="0.2">
      <c r="G1389" s="23"/>
      <c r="H1389" s="23"/>
      <c r="I1389" s="23"/>
    </row>
    <row r="1390" spans="7:9" x14ac:dyDescent="0.2">
      <c r="G1390" s="23"/>
      <c r="H1390" s="23"/>
      <c r="I1390" s="23"/>
    </row>
    <row r="1391" spans="7:9" x14ac:dyDescent="0.2">
      <c r="G1391" s="23"/>
      <c r="H1391" s="23"/>
      <c r="I1391" s="23"/>
    </row>
    <row r="1392" spans="7:9" x14ac:dyDescent="0.2">
      <c r="G1392" s="23"/>
      <c r="H1392" s="23"/>
      <c r="I1392" s="23"/>
    </row>
    <row r="1393" spans="7:9" x14ac:dyDescent="0.2">
      <c r="G1393" s="23"/>
      <c r="H1393" s="23"/>
      <c r="I1393" s="23"/>
    </row>
    <row r="1394" spans="7:9" x14ac:dyDescent="0.2">
      <c r="G1394" s="23"/>
      <c r="H1394" s="23"/>
      <c r="I1394" s="23"/>
    </row>
    <row r="1395" spans="7:9" x14ac:dyDescent="0.2">
      <c r="G1395" s="23"/>
      <c r="H1395" s="23"/>
      <c r="I1395" s="23"/>
    </row>
    <row r="1396" spans="7:9" x14ac:dyDescent="0.2">
      <c r="G1396" s="23"/>
      <c r="H1396" s="23"/>
      <c r="I1396" s="23"/>
    </row>
    <row r="1397" spans="7:9" x14ac:dyDescent="0.2">
      <c r="G1397" s="23"/>
      <c r="H1397" s="23"/>
      <c r="I1397" s="23"/>
    </row>
    <row r="1398" spans="7:9" x14ac:dyDescent="0.2">
      <c r="G1398" s="23"/>
      <c r="H1398" s="23"/>
      <c r="I1398" s="23"/>
    </row>
    <row r="1399" spans="7:9" x14ac:dyDescent="0.2">
      <c r="G1399" s="23"/>
      <c r="H1399" s="23"/>
      <c r="I1399" s="23"/>
    </row>
    <row r="1400" spans="7:9" x14ac:dyDescent="0.2">
      <c r="G1400" s="23"/>
      <c r="H1400" s="23"/>
      <c r="I1400" s="23"/>
    </row>
    <row r="1401" spans="7:9" x14ac:dyDescent="0.2">
      <c r="G1401" s="23"/>
      <c r="H1401" s="23"/>
      <c r="I1401" s="23"/>
    </row>
    <row r="1402" spans="7:9" x14ac:dyDescent="0.2">
      <c r="G1402" s="23"/>
      <c r="H1402" s="23"/>
      <c r="I1402" s="23"/>
    </row>
    <row r="1403" spans="7:9" x14ac:dyDescent="0.2">
      <c r="G1403" s="23"/>
      <c r="H1403" s="23"/>
      <c r="I1403" s="23"/>
    </row>
    <row r="1404" spans="7:9" x14ac:dyDescent="0.2">
      <c r="G1404" s="23"/>
      <c r="H1404" s="23"/>
      <c r="I1404" s="23"/>
    </row>
    <row r="1405" spans="7:9" x14ac:dyDescent="0.2">
      <c r="G1405" s="23"/>
      <c r="H1405" s="23"/>
      <c r="I1405" s="23"/>
    </row>
    <row r="1406" spans="7:9" x14ac:dyDescent="0.2">
      <c r="G1406" s="23"/>
      <c r="H1406" s="23"/>
      <c r="I1406" s="23"/>
    </row>
    <row r="1407" spans="7:9" x14ac:dyDescent="0.2">
      <c r="G1407" s="23"/>
      <c r="H1407" s="23"/>
      <c r="I1407" s="23"/>
    </row>
    <row r="1408" spans="7:9" x14ac:dyDescent="0.2">
      <c r="G1408" s="23"/>
      <c r="H1408" s="23"/>
      <c r="I1408" s="23"/>
    </row>
    <row r="1409" spans="7:9" x14ac:dyDescent="0.2">
      <c r="G1409" s="23"/>
      <c r="H1409" s="23"/>
      <c r="I1409" s="23"/>
    </row>
    <row r="1410" spans="7:9" x14ac:dyDescent="0.2">
      <c r="G1410" s="23"/>
      <c r="H1410" s="23"/>
      <c r="I1410" s="23"/>
    </row>
    <row r="1411" spans="7:9" x14ac:dyDescent="0.2">
      <c r="G1411" s="23"/>
      <c r="H1411" s="23"/>
      <c r="I1411" s="23"/>
    </row>
    <row r="1412" spans="7:9" x14ac:dyDescent="0.2">
      <c r="G1412" s="23"/>
      <c r="H1412" s="23"/>
      <c r="I1412" s="23"/>
    </row>
    <row r="1413" spans="7:9" x14ac:dyDescent="0.2">
      <c r="G1413" s="23"/>
      <c r="H1413" s="23"/>
      <c r="I1413" s="23"/>
    </row>
    <row r="1414" spans="7:9" x14ac:dyDescent="0.2">
      <c r="G1414" s="23"/>
      <c r="H1414" s="23"/>
      <c r="I1414" s="23"/>
    </row>
    <row r="1415" spans="7:9" x14ac:dyDescent="0.2">
      <c r="G1415" s="23"/>
      <c r="H1415" s="23"/>
      <c r="I1415" s="23"/>
    </row>
    <row r="1416" spans="7:9" x14ac:dyDescent="0.2">
      <c r="G1416" s="23"/>
      <c r="H1416" s="23"/>
      <c r="I1416" s="23"/>
    </row>
    <row r="1417" spans="7:9" x14ac:dyDescent="0.2">
      <c r="G1417" s="23"/>
      <c r="H1417" s="23"/>
      <c r="I1417" s="23"/>
    </row>
    <row r="1418" spans="7:9" x14ac:dyDescent="0.2">
      <c r="G1418" s="23"/>
      <c r="H1418" s="23"/>
      <c r="I1418" s="23"/>
    </row>
    <row r="1419" spans="7:9" x14ac:dyDescent="0.2">
      <c r="G1419" s="23"/>
      <c r="H1419" s="23"/>
      <c r="I1419" s="23"/>
    </row>
    <row r="1420" spans="7:9" x14ac:dyDescent="0.2">
      <c r="G1420" s="23"/>
      <c r="H1420" s="23"/>
      <c r="I1420" s="23"/>
    </row>
    <row r="1421" spans="7:9" x14ac:dyDescent="0.2">
      <c r="G1421" s="23"/>
      <c r="H1421" s="23"/>
      <c r="I1421" s="23"/>
    </row>
    <row r="1422" spans="7:9" x14ac:dyDescent="0.2">
      <c r="G1422" s="23"/>
      <c r="H1422" s="23"/>
      <c r="I1422" s="23"/>
    </row>
    <row r="1423" spans="7:9" x14ac:dyDescent="0.2">
      <c r="G1423" s="23"/>
      <c r="H1423" s="23"/>
      <c r="I1423" s="23"/>
    </row>
    <row r="1424" spans="7:9" x14ac:dyDescent="0.2">
      <c r="G1424" s="23"/>
      <c r="H1424" s="23"/>
      <c r="I1424" s="23"/>
    </row>
    <row r="1425" spans="7:9" x14ac:dyDescent="0.2">
      <c r="G1425" s="23"/>
      <c r="H1425" s="23"/>
      <c r="I1425" s="23"/>
    </row>
    <row r="1426" spans="7:9" x14ac:dyDescent="0.2">
      <c r="G1426" s="23"/>
      <c r="H1426" s="23"/>
      <c r="I1426" s="23"/>
    </row>
    <row r="1427" spans="7:9" x14ac:dyDescent="0.2">
      <c r="G1427" s="23"/>
      <c r="H1427" s="23"/>
      <c r="I1427" s="23"/>
    </row>
    <row r="1428" spans="7:9" x14ac:dyDescent="0.2">
      <c r="G1428" s="23"/>
      <c r="H1428" s="23"/>
      <c r="I1428" s="23"/>
    </row>
    <row r="1429" spans="7:9" x14ac:dyDescent="0.2">
      <c r="G1429" s="23"/>
      <c r="H1429" s="23"/>
      <c r="I1429" s="23"/>
    </row>
  </sheetData>
  <mergeCells count="1">
    <mergeCell ref="M76:O76"/>
  </mergeCells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Answers</vt:lpstr>
      <vt:lpstr>insurance</vt:lpstr>
      <vt:lpstr>Pivot_Analysis</vt:lpstr>
      <vt:lpstr>Statistics</vt:lpstr>
      <vt:lpstr>dataset</vt:lpstr>
      <vt:lpstr>regression</vt:lpstr>
      <vt:lpstr>Q3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Chauhan</dc:creator>
  <cp:lastModifiedBy>Vinay Govardhanam</cp:lastModifiedBy>
  <dcterms:created xsi:type="dcterms:W3CDTF">2022-08-29T05:19:54Z</dcterms:created>
  <dcterms:modified xsi:type="dcterms:W3CDTF">2022-11-28T17:48:19Z</dcterms:modified>
</cp:coreProperties>
</file>