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vinay/Downloads/GreatLearning_Projects/Excel/Terro's_Dataset/"/>
    </mc:Choice>
  </mc:AlternateContent>
  <xr:revisionPtr revIDLastSave="0" documentId="13_ncr:1_{01278D30-360A-E14A-8EDF-1739C90A9F2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Answers" sheetId="3" r:id="rId2"/>
    <sheet name="Hypothesis" sheetId="5" r:id="rId3"/>
  </sheets>
  <externalReferences>
    <externalReference r:id="rId4"/>
  </externalReference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2" i="3" l="1"/>
  <c r="I358" i="3"/>
  <c r="H124" i="3"/>
  <c r="H123" i="3"/>
  <c r="J32" i="3"/>
  <c r="J31" i="3"/>
  <c r="I22" i="3"/>
  <c r="D209" i="3"/>
  <c r="M23" i="3"/>
  <c r="J64" i="3"/>
  <c r="L23" i="3"/>
  <c r="K23" i="3"/>
  <c r="J23" i="3"/>
  <c r="I23" i="3"/>
  <c r="H23" i="3"/>
  <c r="G23" i="3"/>
  <c r="F23" i="3"/>
  <c r="E23" i="3"/>
  <c r="D23" i="3"/>
  <c r="M22" i="3"/>
  <c r="L22" i="3"/>
  <c r="K22" i="3"/>
  <c r="J22" i="3"/>
  <c r="H22" i="3"/>
  <c r="G22" i="3"/>
  <c r="F22" i="3"/>
  <c r="E22" i="3"/>
  <c r="D22" i="3"/>
  <c r="M21" i="3"/>
  <c r="L21" i="3"/>
  <c r="K21" i="3"/>
  <c r="J21" i="3"/>
  <c r="I21" i="3"/>
  <c r="H21" i="3"/>
  <c r="G21" i="3"/>
  <c r="F21" i="3"/>
  <c r="E21" i="3"/>
  <c r="D21" i="3"/>
  <c r="M20" i="3"/>
  <c r="L20" i="3"/>
  <c r="K20" i="3"/>
  <c r="J20" i="3"/>
  <c r="I20" i="3"/>
  <c r="H20" i="3"/>
  <c r="G20" i="3"/>
  <c r="F20" i="3"/>
  <c r="E20" i="3"/>
  <c r="D20" i="3"/>
  <c r="M19" i="3"/>
  <c r="L19" i="3"/>
  <c r="K19" i="3"/>
  <c r="J19" i="3"/>
  <c r="I19" i="3"/>
  <c r="H19" i="3"/>
  <c r="G19" i="3"/>
  <c r="F19" i="3"/>
  <c r="E19" i="3"/>
  <c r="D19" i="3"/>
  <c r="M18" i="3"/>
  <c r="L18" i="3"/>
  <c r="K18" i="3"/>
  <c r="J18" i="3"/>
  <c r="I18" i="3"/>
  <c r="H18" i="3"/>
  <c r="G18" i="3"/>
  <c r="F18" i="3"/>
  <c r="E18" i="3"/>
  <c r="D18" i="3"/>
  <c r="M17" i="3"/>
  <c r="L17" i="3"/>
  <c r="K17" i="3"/>
  <c r="J17" i="3"/>
  <c r="I17" i="3"/>
  <c r="H17" i="3"/>
  <c r="G17" i="3"/>
  <c r="F17" i="3"/>
  <c r="E17" i="3"/>
  <c r="D17" i="3"/>
  <c r="M16" i="3"/>
  <c r="L16" i="3"/>
  <c r="K16" i="3"/>
  <c r="J16" i="3"/>
  <c r="I16" i="3"/>
  <c r="H16" i="3"/>
  <c r="G16" i="3"/>
  <c r="F16" i="3"/>
  <c r="E16" i="3"/>
  <c r="D16" i="3"/>
  <c r="M15" i="3"/>
  <c r="L15" i="3"/>
  <c r="K15" i="3"/>
  <c r="J15" i="3"/>
  <c r="I15" i="3"/>
  <c r="H15" i="3"/>
  <c r="G15" i="3"/>
  <c r="F15" i="3"/>
  <c r="E15" i="3"/>
  <c r="D15" i="3"/>
  <c r="M14" i="3"/>
  <c r="L14" i="3"/>
  <c r="K14" i="3"/>
  <c r="J14" i="3"/>
  <c r="I14" i="3"/>
  <c r="H14" i="3"/>
  <c r="G14" i="3"/>
  <c r="F14" i="3"/>
  <c r="E14" i="3"/>
  <c r="D14" i="3"/>
  <c r="M13" i="3"/>
  <c r="L13" i="3"/>
  <c r="K13" i="3"/>
  <c r="J13" i="3"/>
  <c r="I13" i="3"/>
  <c r="H13" i="3"/>
  <c r="G13" i="3"/>
  <c r="F13" i="3"/>
  <c r="E13" i="3"/>
  <c r="D13" i="3"/>
  <c r="M12" i="3"/>
  <c r="L12" i="3"/>
  <c r="K12" i="3"/>
  <c r="J12" i="3"/>
  <c r="I12" i="3"/>
  <c r="H12" i="3"/>
  <c r="G12" i="3"/>
  <c r="F12" i="3"/>
  <c r="E12" i="3"/>
  <c r="D12" i="3"/>
  <c r="M10" i="3"/>
  <c r="L10" i="3"/>
  <c r="K10" i="3"/>
  <c r="J10" i="3"/>
  <c r="I10" i="3"/>
  <c r="H10" i="3"/>
  <c r="G10" i="3"/>
  <c r="F10" i="3"/>
  <c r="E10" i="3"/>
  <c r="D10" i="3"/>
  <c r="M9" i="3"/>
  <c r="L9" i="3"/>
  <c r="K9" i="3"/>
  <c r="J9" i="3"/>
  <c r="I9" i="3"/>
  <c r="H9" i="3"/>
  <c r="G9" i="3"/>
  <c r="F9" i="3"/>
  <c r="E9" i="3"/>
  <c r="D9" i="3"/>
  <c r="M8" i="3"/>
  <c r="L8" i="3"/>
  <c r="K8" i="3"/>
  <c r="J8" i="3"/>
  <c r="I8" i="3"/>
  <c r="H8" i="3"/>
  <c r="G8" i="3"/>
  <c r="F8" i="3"/>
  <c r="E8" i="3"/>
  <c r="D8" i="3"/>
  <c r="M7" i="3"/>
  <c r="L7" i="3"/>
  <c r="K7" i="3"/>
  <c r="J7" i="3"/>
  <c r="I7" i="3"/>
  <c r="H7" i="3"/>
  <c r="G7" i="3"/>
  <c r="F7" i="3"/>
  <c r="E7" i="3"/>
  <c r="D7" i="3"/>
  <c r="M6" i="3"/>
  <c r="L6" i="3"/>
  <c r="K6" i="3"/>
  <c r="J6" i="3"/>
  <c r="I6" i="3"/>
  <c r="H6" i="3"/>
  <c r="G6" i="3"/>
  <c r="F6" i="3"/>
  <c r="E6" i="3"/>
  <c r="D6" i="3"/>
  <c r="M5" i="3"/>
  <c r="L5" i="3"/>
  <c r="K5" i="3"/>
  <c r="J5" i="3"/>
  <c r="I5" i="3"/>
  <c r="H5" i="3"/>
  <c r="G5" i="3"/>
  <c r="F5" i="3"/>
  <c r="E5" i="3"/>
  <c r="D5" i="3"/>
  <c r="M4" i="3"/>
  <c r="L4" i="3"/>
  <c r="K4" i="3"/>
  <c r="J4" i="3"/>
  <c r="I4" i="3"/>
  <c r="H4" i="3"/>
  <c r="G4" i="3"/>
  <c r="F4" i="3"/>
  <c r="E4" i="3"/>
  <c r="D4" i="3"/>
  <c r="J29" i="3"/>
  <c r="D312" i="3"/>
  <c r="C267" i="3"/>
  <c r="C281" i="3"/>
  <c r="C285" i="3"/>
  <c r="D11" i="3" l="1"/>
  <c r="L11" i="3"/>
  <c r="E11" i="3"/>
  <c r="M11" i="3"/>
  <c r="F11" i="3"/>
  <c r="G11" i="3"/>
  <c r="H11" i="3"/>
  <c r="I11" i="3"/>
  <c r="J11" i="3"/>
  <c r="K11" i="3"/>
  <c r="C287" i="3"/>
  <c r="C286" i="3" s="1"/>
  <c r="D287" i="3"/>
  <c r="B291" i="3" a="1"/>
  <c r="B291" i="3" s="1"/>
  <c r="C290" i="3" a="1"/>
  <c r="I291" i="3"/>
  <c r="C291" i="3" l="1"/>
  <c r="D291" i="3"/>
  <c r="C290" i="3"/>
  <c r="D290" i="3"/>
  <c r="B292" i="3"/>
  <c r="C292" i="3"/>
  <c r="D292" i="3"/>
  <c r="I292" i="3"/>
  <c r="G291" i="3" l="1"/>
  <c r="E292" i="3"/>
  <c r="F292" i="3" s="1"/>
  <c r="J292" i="3" s="1"/>
  <c r="H291" i="3"/>
  <c r="E291" i="3"/>
  <c r="F291" i="3" s="1"/>
  <c r="J291" i="3" s="1"/>
  <c r="E290" i="3"/>
  <c r="F290" i="3" s="1"/>
  <c r="J290" i="3" s="1"/>
  <c r="G290" i="3"/>
  <c r="H290" i="3"/>
  <c r="G292" i="3"/>
  <c r="H292" i="3"/>
  <c r="B293" i="3"/>
  <c r="C293" i="3"/>
  <c r="H293" i="3" s="1"/>
  <c r="D293" i="3"/>
  <c r="B294" i="3"/>
  <c r="C294" i="3"/>
  <c r="D294" i="3"/>
  <c r="B295" i="3"/>
  <c r="C295" i="3"/>
  <c r="D295" i="3"/>
  <c r="B296" i="3"/>
  <c r="C296" i="3"/>
  <c r="E296" i="3" s="1"/>
  <c r="F296" i="3" s="1"/>
  <c r="J296" i="3" s="1"/>
  <c r="D296" i="3"/>
  <c r="B297" i="3"/>
  <c r="C297" i="3"/>
  <c r="D297" i="3"/>
  <c r="B298" i="3"/>
  <c r="C298" i="3"/>
  <c r="G298" i="3" s="1"/>
  <c r="D298" i="3"/>
  <c r="C230" i="3"/>
  <c r="C234" i="3"/>
  <c r="I298" i="3"/>
  <c r="I297" i="3"/>
  <c r="I293" i="3"/>
  <c r="I296" i="3"/>
  <c r="I294" i="3"/>
  <c r="I295" i="3"/>
  <c r="E298" i="3" l="1"/>
  <c r="F298" i="3" s="1"/>
  <c r="J298" i="3" s="1"/>
  <c r="E294" i="3"/>
  <c r="F294" i="3" s="1"/>
  <c r="J294" i="3" s="1"/>
  <c r="G297" i="3"/>
  <c r="G295" i="3"/>
  <c r="H298" i="3"/>
  <c r="G296" i="3"/>
  <c r="G294" i="3"/>
  <c r="E297" i="3"/>
  <c r="F297" i="3" s="1"/>
  <c r="J297" i="3" s="1"/>
  <c r="E295" i="3"/>
  <c r="F295" i="3" s="1"/>
  <c r="J295" i="3" s="1"/>
  <c r="G293" i="3"/>
  <c r="H297" i="3"/>
  <c r="H296" i="3"/>
  <c r="H295" i="3"/>
  <c r="H294" i="3"/>
  <c r="E293" i="3"/>
  <c r="F293" i="3" s="1"/>
  <c r="J293" i="3" s="1"/>
  <c r="C236" i="3"/>
  <c r="C235" i="3" s="1"/>
  <c r="D236" i="3"/>
  <c r="C239" i="3" a="1"/>
  <c r="C239" i="3" l="1"/>
  <c r="D239" i="3"/>
  <c r="B240" i="3" a="1"/>
  <c r="B240" i="3" s="1"/>
  <c r="C240" i="3"/>
  <c r="D240" i="3"/>
  <c r="I240" i="3"/>
  <c r="H239" i="3" l="1"/>
  <c r="E240" i="3"/>
  <c r="F240" i="3" s="1"/>
  <c r="J240" i="3" s="1"/>
  <c r="H240" i="3"/>
  <c r="G239" i="3"/>
  <c r="E239" i="3"/>
  <c r="F239" i="3" s="1"/>
  <c r="J239" i="3" s="1"/>
  <c r="G240" i="3"/>
  <c r="B241" i="3"/>
  <c r="C241" i="3"/>
  <c r="D241" i="3"/>
  <c r="I241" i="3"/>
  <c r="E241" i="3" l="1"/>
  <c r="F241" i="3" s="1"/>
  <c r="J241" i="3" s="1"/>
  <c r="H241" i="3"/>
  <c r="G241" i="3"/>
  <c r="B242" i="3"/>
  <c r="C242" i="3"/>
  <c r="D242" i="3"/>
  <c r="I242" i="3"/>
  <c r="G242" i="3" l="1"/>
  <c r="E242" i="3"/>
  <c r="F242" i="3" s="1"/>
  <c r="J242" i="3" s="1"/>
  <c r="H242" i="3"/>
  <c r="B243" i="3"/>
  <c r="C243" i="3"/>
  <c r="D243" i="3"/>
  <c r="G243" i="3"/>
  <c r="H243" i="3"/>
  <c r="I243" i="3"/>
  <c r="E243" i="3" l="1"/>
  <c r="F243" i="3" s="1"/>
  <c r="J243" i="3" s="1"/>
  <c r="B244" i="3"/>
  <c r="C244" i="3"/>
  <c r="D244" i="3"/>
  <c r="E244" i="3"/>
  <c r="F244" i="3" s="1"/>
  <c r="J244" i="3" s="1"/>
  <c r="G244" i="3"/>
  <c r="H244" i="3"/>
  <c r="B245" i="3"/>
  <c r="C245" i="3"/>
  <c r="D245" i="3"/>
  <c r="B246" i="3"/>
  <c r="C246" i="3"/>
  <c r="D246" i="3"/>
  <c r="B247" i="3"/>
  <c r="C247" i="3"/>
  <c r="D247" i="3"/>
  <c r="I245" i="3"/>
  <c r="I244" i="3"/>
  <c r="I247" i="3"/>
  <c r="I246" i="3"/>
  <c r="H245" i="3" l="1"/>
  <c r="E245" i="3"/>
  <c r="F245" i="3" s="1"/>
  <c r="J245" i="3" s="1"/>
  <c r="E246" i="3"/>
  <c r="F246" i="3" s="1"/>
  <c r="J246" i="3" s="1"/>
  <c r="G245" i="3"/>
  <c r="G247" i="3"/>
  <c r="H246" i="3"/>
  <c r="G246" i="3"/>
  <c r="H247" i="3"/>
  <c r="E247" i="3"/>
  <c r="B248" i="3"/>
  <c r="C248" i="3"/>
  <c r="D248" i="3"/>
  <c r="D206" i="3"/>
  <c r="D207" i="3" s="1"/>
  <c r="I146" i="3"/>
  <c r="I145" i="3"/>
  <c r="C189" i="3"/>
  <c r="C167" i="3"/>
  <c r="C171" i="3"/>
  <c r="I248" i="3"/>
  <c r="F247" i="3" l="1"/>
  <c r="J247" i="3" s="1"/>
  <c r="E248" i="3"/>
  <c r="F248" i="3" s="1"/>
  <c r="J248" i="3" s="1"/>
  <c r="H248" i="3"/>
  <c r="G248" i="3"/>
  <c r="C173" i="3"/>
  <c r="C172" i="3" s="1"/>
  <c r="D173" i="3"/>
  <c r="B177" i="3" a="1"/>
  <c r="B177" i="3" s="1"/>
  <c r="C176" i="3" a="1"/>
  <c r="I177" i="3"/>
  <c r="C177" i="3" l="1"/>
  <c r="D176" i="3"/>
  <c r="D177" i="3"/>
  <c r="C176" i="3"/>
  <c r="E176" i="3"/>
  <c r="F176" i="3" s="1"/>
  <c r="J176" i="3" s="1"/>
  <c r="E177" i="3"/>
  <c r="F177" i="3" s="1"/>
  <c r="J177" i="3" s="1"/>
  <c r="H177" i="3"/>
  <c r="G177" i="3"/>
  <c r="B178" i="3"/>
  <c r="C178" i="3"/>
  <c r="D178" i="3"/>
  <c r="E178" i="3"/>
  <c r="F178" i="3" s="1"/>
  <c r="J178" i="3" s="1"/>
  <c r="I178" i="3"/>
  <c r="H176" i="3" l="1"/>
  <c r="G176" i="3"/>
  <c r="H178" i="3"/>
  <c r="G178" i="3"/>
  <c r="C155" i="3"/>
  <c r="C150" i="3"/>
  <c r="C149" i="3"/>
  <c r="D51" i="3" l="1"/>
  <c r="E52" i="3"/>
  <c r="F53" i="3"/>
  <c r="G54" i="3"/>
  <c r="H55" i="3"/>
  <c r="I56" i="3"/>
  <c r="J57" i="3"/>
  <c r="K58" i="3"/>
  <c r="L59" i="3"/>
  <c r="M60" i="3"/>
  <c r="D171" i="3" l="1"/>
  <c r="D285" i="3"/>
  <c r="D234" i="3"/>
  <c r="C227" i="3" l="1"/>
  <c r="E234" i="3"/>
  <c r="D235" i="3"/>
  <c r="C278" i="3"/>
  <c r="E285" i="3"/>
  <c r="D286" i="3"/>
  <c r="D172" i="3"/>
  <c r="E171" i="3"/>
  <c r="C164" i="3"/>
  <c r="E172" i="3" l="1"/>
  <c r="C166" i="3" s="1"/>
  <c r="F165" i="3"/>
  <c r="F163" i="3"/>
  <c r="F164" i="3" s="1"/>
  <c r="F279" i="3"/>
  <c r="E286" i="3"/>
  <c r="C280" i="3" s="1"/>
  <c r="F277" i="3"/>
  <c r="F278" i="3" s="1"/>
  <c r="F285" i="3"/>
  <c r="G285" i="3" s="1"/>
  <c r="H285" i="3" s="1"/>
  <c r="C277" i="3"/>
  <c r="C279" i="3"/>
  <c r="F228" i="3"/>
  <c r="E235" i="3"/>
  <c r="C229" i="3" s="1"/>
  <c r="F226" i="3"/>
  <c r="F227" i="3" s="1"/>
  <c r="F234" i="3"/>
  <c r="G234" i="3" s="1"/>
  <c r="H234" i="3" s="1"/>
  <c r="C165" i="3"/>
  <c r="C163" i="3"/>
  <c r="C226" i="3"/>
  <c r="C228" i="3"/>
  <c r="F171" i="3" l="1"/>
  <c r="G171" i="3" s="1"/>
  <c r="H171" i="3" s="1"/>
</calcChain>
</file>

<file path=xl/sharedStrings.xml><?xml version="1.0" encoding="utf-8"?>
<sst xmlns="http://schemas.openxmlformats.org/spreadsheetml/2006/main" count="472" uniqueCount="253">
  <si>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</si>
  <si>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</si>
  <si>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</si>
  <si>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</si>
  <si>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</si>
  <si>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</si>
  <si>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</si>
  <si>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</si>
  <si>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</si>
  <si>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</si>
  <si>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Q1</t>
  </si>
  <si>
    <t>Summarize the dataset</t>
  </si>
  <si>
    <t>features / functions</t>
  </si>
  <si>
    <t>mean</t>
  </si>
  <si>
    <t>median</t>
  </si>
  <si>
    <t>mode</t>
  </si>
  <si>
    <t>sum</t>
  </si>
  <si>
    <t>count</t>
  </si>
  <si>
    <t>variance</t>
  </si>
  <si>
    <t>standard_deviation</t>
  </si>
  <si>
    <t>minimum</t>
  </si>
  <si>
    <t>maximum</t>
  </si>
  <si>
    <t>range</t>
  </si>
  <si>
    <t>skewness</t>
  </si>
  <si>
    <t>kurtosis</t>
  </si>
  <si>
    <t>outliers</t>
  </si>
  <si>
    <t>Q2</t>
  </si>
  <si>
    <t>Q3</t>
  </si>
  <si>
    <t>IQR</t>
  </si>
  <si>
    <t>Upperbound</t>
  </si>
  <si>
    <t>Lowerbound</t>
  </si>
  <si>
    <t>Q4</t>
  </si>
  <si>
    <t xml:space="preserve">There are directly proportional(positively correlated) which are </t>
  </si>
  <si>
    <t>Age | Indus</t>
  </si>
  <si>
    <t>Age | Nox</t>
  </si>
  <si>
    <t>Age | Distance</t>
  </si>
  <si>
    <t>Age | Tax</t>
  </si>
  <si>
    <t>Age | PTRatio</t>
  </si>
  <si>
    <t>Age | LSTAT</t>
  </si>
  <si>
    <t>Indus | Nox</t>
  </si>
  <si>
    <t>Indus | Distance</t>
  </si>
  <si>
    <t>Indus | Tax</t>
  </si>
  <si>
    <t>Indus | LSTAT</t>
  </si>
  <si>
    <t>Nox | Distance</t>
  </si>
  <si>
    <t>Nox | Tax</t>
  </si>
  <si>
    <t>Nox | LSTAT</t>
  </si>
  <si>
    <t>Distance | Tax</t>
  </si>
  <si>
    <t>Distance | LSTAT</t>
  </si>
  <si>
    <t>Distance | PTRatio</t>
  </si>
  <si>
    <t>Tax | PTRatio</t>
  </si>
  <si>
    <t>Tax | LSTAT</t>
  </si>
  <si>
    <t>PTRatio | LSTAT</t>
  </si>
  <si>
    <t>Indus | PTRatio</t>
  </si>
  <si>
    <t>AVG_Room | AVG_Price</t>
  </si>
  <si>
    <t>Nox | PTRatio</t>
  </si>
  <si>
    <t>The Top 3 positively correlated pairs are</t>
  </si>
  <si>
    <t>Age | AVG_Room</t>
  </si>
  <si>
    <t>Age | AVG_Price</t>
  </si>
  <si>
    <t>Indus | AVG_Room</t>
  </si>
  <si>
    <t>Indus | AVG_Price</t>
  </si>
  <si>
    <t>Nox | AVG_Room</t>
  </si>
  <si>
    <t>Nox | AVG_Price</t>
  </si>
  <si>
    <t>Tax | AVG_Price</t>
  </si>
  <si>
    <t>Distance | AVG_Room</t>
  </si>
  <si>
    <t>Distance | AVG_Price</t>
  </si>
  <si>
    <t>Tax | AVG_Room</t>
  </si>
  <si>
    <t>PTRatio | AVG_Room</t>
  </si>
  <si>
    <t>PTRatio | AVG_Price</t>
  </si>
  <si>
    <t>AVG_Room | LSTAT</t>
  </si>
  <si>
    <t>LSTAT | AVG_Price</t>
  </si>
  <si>
    <t>The Top 3 negatively correlated pairs are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</si>
  <si>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</si>
  <si>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</si>
  <si>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</si>
  <si>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</si>
  <si>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</si>
  <si>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</si>
  <si>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</si>
  <si>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</si>
  <si>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</si>
  <si>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</si>
  <si>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</si>
  <si>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</si>
  <si>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</si>
  <si>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</si>
  <si>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Regression Analysis</t>
  </si>
  <si>
    <t>OVERALL FIT</t>
  </si>
  <si>
    <t>AIC</t>
  </si>
  <si>
    <t>AICc</t>
  </si>
  <si>
    <t>SBC</t>
  </si>
  <si>
    <t>Alpha</t>
  </si>
  <si>
    <t>p-value</t>
  </si>
  <si>
    <t>sig</t>
  </si>
  <si>
    <t>coeff</t>
  </si>
  <si>
    <t>std err</t>
  </si>
  <si>
    <t>t stat</t>
  </si>
  <si>
    <t>lower</t>
  </si>
  <si>
    <t>upper</t>
  </si>
  <si>
    <t>Q5</t>
  </si>
  <si>
    <t>yes</t>
  </si>
  <si>
    <t>y = mx + c</t>
  </si>
  <si>
    <t>m</t>
  </si>
  <si>
    <t>c</t>
  </si>
  <si>
    <t>y = -0.950049354X + 34.55384088</t>
  </si>
  <si>
    <t>We can say, the LSTAT is significant variable interms of predicting AVG_Price</t>
  </si>
  <si>
    <t xml:space="preserve">The performance of model is </t>
  </si>
  <si>
    <t>coefficient</t>
  </si>
  <si>
    <t xml:space="preserve">The unbaised estimation of the model is </t>
  </si>
  <si>
    <t>Q6</t>
  </si>
  <si>
    <t>The x is the independent variable(LSTAT) and y is the dependent variable(AVG_Price)</t>
  </si>
  <si>
    <t>vif</t>
  </si>
  <si>
    <t>coefficients</t>
  </si>
  <si>
    <t>m1</t>
  </si>
  <si>
    <t>m2</t>
  </si>
  <si>
    <t>The X1 is the independent variable(LSTAT), X2 is the independent variable(AVG_Room) and y is the dependent variable(AVG_Price)</t>
  </si>
  <si>
    <t>We can say, the AVG_Room and LSTAT are significant variables, but y-intercept is not a significant variable interms of predicting AVG_Price</t>
  </si>
  <si>
    <t>Q6 (a)</t>
  </si>
  <si>
    <t xml:space="preserve">Given, </t>
  </si>
  <si>
    <t>?</t>
  </si>
  <si>
    <t>The multiple linear regression for the two independent &amp; one dependent variable equation would be</t>
  </si>
  <si>
    <t>AVG_Room (X2) =</t>
  </si>
  <si>
    <t>LSTAT(X1) =</t>
  </si>
  <si>
    <t>AVG_Price(Y) =</t>
  </si>
  <si>
    <t>Y = M1X1 + M2X2 + C</t>
  </si>
  <si>
    <t>Y = -0.642358334X1 + 5.094787984X2 -1.358272812</t>
  </si>
  <si>
    <t>By substitute X1, X2 in the above equation, we get</t>
  </si>
  <si>
    <t xml:space="preserve">AVG_Price(Y) = </t>
  </si>
  <si>
    <t>Q6 (b)</t>
  </si>
  <si>
    <t xml:space="preserve">The performance of the model interms of </t>
  </si>
  <si>
    <t>LSTAT(independent) and AVG_Price(dependent)</t>
  </si>
  <si>
    <t>LSTAT, AVG_Room(independents) and AVG_Price(dependent)</t>
  </si>
  <si>
    <t>Therefore, we conclude that previous model accuracy was 54% compared to this model is 64% which implies 9% performance increased compared from the previous model (interms of adjusted r-squared)</t>
  </si>
  <si>
    <t>Q7</t>
  </si>
  <si>
    <t>After dropping the insignificant variable which is CRIME_RATE, we get regression model</t>
  </si>
  <si>
    <t>Q8</t>
  </si>
  <si>
    <t>The independent variables are X1= CRIME_RATE, X2 = AGE, X3 = INDUS, X4 = NOX, X5 = DISTANCE, X6 = TAX, X7 = PTRATIO, X8 = AVG_ROOM, X9 = LSTAT and Y is the dependent variable(AVG_PRICE)</t>
  </si>
  <si>
    <t>Y = M1X1 + M2X2 + M3X3 + M4X4 + M5X5 + M6X6 + M7X7 + M8X8 + M9X9 + 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</si>
  <si>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</si>
  <si>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</si>
  <si>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</si>
  <si>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</si>
  <si>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</si>
  <si>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</si>
  <si>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</si>
  <si>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</si>
  <si>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</si>
  <si>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C</t>
  </si>
  <si>
    <t>We can say, the CRIME_RATE is not significant and remaining independent variables are significant enough to predicting AVG_Price</t>
  </si>
  <si>
    <t>Y = 0.048725141X1 + 0.032770689X2 + 0.130551399X3 -10.3211828X4 + 0.261093575X5 -0.01440119X6 -1.074305348X7 + 4.125409152X8 -0.603486589X9 + 29.24131526</t>
  </si>
  <si>
    <t>We can say, by dropping the significant variable (CRIME_RATE) there is no change in the adjusted r-squared and we can conclude enough to predicting AVG_Price</t>
  </si>
  <si>
    <t>Y = 0.03293496X1 + 0.130710007X2 -10.27270508X3 + 0.261506423X4 -0.014452345X5 -1.071702473X6 + 4.125468959X7 -0.605159282X8 + 29.42847349</t>
  </si>
  <si>
    <t>The independent variables are X1 = AGE, X2 = INDUS, X3 = NOX, X4 = DISTANCE, X5 = TAX, X6 = PTRATIO, X7 = AVG_ROOM, X8 = LSTAT and Y is the dependent variable(AVG_PRICE)</t>
  </si>
  <si>
    <t>Y = M1X1 + M2X2 + M3X3 + M4X4 + M5X5 + M6X6 + M7X7 + M8X8 + C</t>
  </si>
  <si>
    <t>Q8 (a)</t>
  </si>
  <si>
    <t>Q8 (b)</t>
  </si>
  <si>
    <t>Q8 (c)</t>
  </si>
  <si>
    <t>Q8 (d)</t>
  </si>
  <si>
    <t>we can interpret the model by the regression equation</t>
  </si>
  <si>
    <t>Therefore, we conclude that previous model accuracy was 69% compared to this model is 69% there is no change(0.000385035) in comparison from the previous model (interms of adjusted r-squared)</t>
  </si>
  <si>
    <t>Crime_rate, Age, Indus, Nox, Distance, Tax, PTRatio, Avg_Room, LSTAT(independent variables) and AVG_Price(dependent)</t>
  </si>
  <si>
    <t>Age, Indus, Nox, Distance, Tax, PTRatio, Avg_Room, LSTAT(independent variables) and AVG_Price(dependent)</t>
  </si>
  <si>
    <t>Q7 (R-square)</t>
  </si>
  <si>
    <t>Q8 (R-square)</t>
  </si>
  <si>
    <t>By the dropping the feature (CRIME_RATE) is no change in the orginal model and there is no change in r-square since if we add or remove feature from the model the r-square will be increasing or decreasing and that too we can conclude there is enough significant variables to predict y variable</t>
  </si>
  <si>
    <t>Q7 (Adjusted R-squared)</t>
  </si>
  <si>
    <t>Q8 (Adjusted R-squared)</t>
  </si>
  <si>
    <t>M1 for the AGE and AVG_PRICE</t>
  </si>
  <si>
    <t>M2 for the INDUS and AVG_PRICE</t>
  </si>
  <si>
    <t>M3 for the NOX and AVG_PRICE</t>
  </si>
  <si>
    <t>M4 for the DISTANCE and AVG_PRICE</t>
  </si>
  <si>
    <t>M5 for the TAX and AVG_PRICE</t>
  </si>
  <si>
    <t>M6 for the PTRATIO and AVG_PRICE</t>
  </si>
  <si>
    <t>M7 for the AVG_ROOM and AVG_PRICE</t>
  </si>
  <si>
    <t>M8 for the LSTAT and AVG_PRICE</t>
  </si>
  <si>
    <t>Results =&gt;</t>
  </si>
  <si>
    <t>Covariance matrix</t>
  </si>
  <si>
    <t>Correlation matrix</t>
  </si>
  <si>
    <t>we can interpret output of the model by</t>
  </si>
  <si>
    <t xml:space="preserve">we can say, the above distribution is rightly positive skewed </t>
  </si>
  <si>
    <t>the uni-modal value of bin [20,25] is 167</t>
  </si>
  <si>
    <t>we can interpret the direction interms of covariance and since it is hard to interpret the value which is dimension-less &amp; squared values</t>
  </si>
  <si>
    <t>can we say, the PTRatio is higher the Crime_Rate will be going high</t>
  </si>
  <si>
    <t>The null hypothesis states that the Teacher to the pupil ratio is low then crime rate is high</t>
  </si>
  <si>
    <t>H0 : Crime_Rate ∝ 1 / PTRatio</t>
  </si>
  <si>
    <t>The alternative hypothesis states that the Teacher to the pupil ratio is high then crime rate is low</t>
  </si>
  <si>
    <t>Crime_Ratio Vs PTRatio</t>
  </si>
  <si>
    <t>(Teacher pupil is inverserly proportional to crime rate)</t>
  </si>
  <si>
    <t>(crime rate is inverserly proportional to teacher pupil ratio)</t>
  </si>
  <si>
    <t>Age Vs Avg_Price</t>
  </si>
  <si>
    <t>The null hypothesis states that the higher age of the house built prior to 1940 (in percentage) then lower the Avg_Price</t>
  </si>
  <si>
    <t>H0 : Age ∝ 1 / Avg_Price</t>
  </si>
  <si>
    <t>(age is inverserly proportional to Avg_Price)</t>
  </si>
  <si>
    <t xml:space="preserve">There are inversely proportional(negatively correlated) which are </t>
  </si>
  <si>
    <t>H1 : PTRatio ∝ 1 / Crime_Rate</t>
  </si>
  <si>
    <t>H1 : Age ∝ Avg_Price</t>
  </si>
  <si>
    <t>(age is directly proportional to Avg_Price)</t>
  </si>
  <si>
    <t>Nox Vs Indus</t>
  </si>
  <si>
    <t>H0 : Nox ∝ Indus</t>
  </si>
  <si>
    <t>(Nitric oxide is directly proportional to Industry)</t>
  </si>
  <si>
    <t>The null hypothesis states that the higher nox then higher the industry</t>
  </si>
  <si>
    <t xml:space="preserve">The alternative hypothesis states there is no significant differene on nox by the industry </t>
  </si>
  <si>
    <t>H1 : Indus ∝ 1/ Nox</t>
  </si>
  <si>
    <t>(Nitric oxide is inverserly proportional to Industry)</t>
  </si>
  <si>
    <t>The alternative hypothesis states that the higher age of the house built prior to 1940 (in percentage) then higher the Avg_Price</t>
  </si>
  <si>
    <t>Avg_Room Vs Avg_Price</t>
  </si>
  <si>
    <t>The null hypothesis states that the higher avg_room then higher the avg_price</t>
  </si>
  <si>
    <t>H0 : Avg_Room ∝ Avg_Price</t>
  </si>
  <si>
    <t>H1 : Avg_Room ∝ 1 / Avg_Price</t>
  </si>
  <si>
    <t>(Avg_Room is directly proportional to Avg_Price)</t>
  </si>
  <si>
    <t>(Avg_Room is inverserly proportional to Avg_Price)</t>
  </si>
  <si>
    <t>Crime_Ratio Vs Indus</t>
  </si>
  <si>
    <t>The null hypothesis states that the Crime_Rate is high then Industry is low</t>
  </si>
  <si>
    <t>H0 : Crime_Rate ∝ 1 / Indus</t>
  </si>
  <si>
    <t>The alternative hypothesis states that the Crime_Rate is low then Industry is high</t>
  </si>
  <si>
    <t>(crime rate is inverserly proportional to Industry)</t>
  </si>
  <si>
    <t>H1 : Indus ∝ 1 / Crime_Rate</t>
  </si>
  <si>
    <t>(Industry is inverserly proportional to Crime_Rate)</t>
  </si>
  <si>
    <t>Tax Vs Avg_Price</t>
  </si>
  <si>
    <t>The null hypothesis states that the higher Tax then lower the avg_price</t>
  </si>
  <si>
    <t>H0 : Tax ∝ 1/ Avg_Price</t>
  </si>
  <si>
    <t>(Tax is inverserly proportional to Avg_Price)</t>
  </si>
  <si>
    <t>H1 : Tax ∝ Avg_Price</t>
  </si>
  <si>
    <t>(Tax is directly proportional to Avg_Price)</t>
  </si>
  <si>
    <t>The alternative hypothesis states that the higher Tax then higher the Avg_Price</t>
  </si>
  <si>
    <t>The alternative hypothesis states the higher Avg_Room then Avg_Price is also higher</t>
  </si>
  <si>
    <t>LSTAT Vs Avg_Price</t>
  </si>
  <si>
    <t>The null hypothesis states that the higher LSTAT then lower the avg_price</t>
  </si>
  <si>
    <t>H0 : LSTAT ∝ 1/ Avg_Price</t>
  </si>
  <si>
    <t>(LSTAT is inverserly proportional to Avg_Price)</t>
  </si>
  <si>
    <t>H1 : LSTAT ∝ Avg_Price</t>
  </si>
  <si>
    <t>(LSTAT is directly proportional to Avg_Price)</t>
  </si>
  <si>
    <t>The alternative hypothesis states that the higher LSTAT then higher the Avg_Price</t>
  </si>
  <si>
    <t>(on an average price of an house)</t>
  </si>
  <si>
    <t>(on an average price of houses is calculated by 1000)</t>
  </si>
  <si>
    <t>Therefore, the company quoting a value of 30000 USD for this locality is underchanging</t>
  </si>
  <si>
    <t>Sorted the coefficient values in a ascending order</t>
  </si>
  <si>
    <t>Y = -33.91605501X + 41.34587447</t>
  </si>
  <si>
    <t>X</t>
  </si>
  <si>
    <t>Y</t>
  </si>
  <si>
    <t>where Y = Avg_Price &amp; X = Nox</t>
  </si>
  <si>
    <t>the value of NOX is more in this locality of this town then the average price will be less which tends to negative high values</t>
  </si>
  <si>
    <t>the least frequency occurance of bin is [40,45] is 9</t>
  </si>
  <si>
    <t>Coefficient of Variation</t>
  </si>
  <si>
    <t>SSE</t>
  </si>
  <si>
    <t>SSR</t>
  </si>
  <si>
    <t xml:space="preserve">The unbiased estimation of the model is </t>
  </si>
  <si>
    <t xml:space="preserve">the max value of the nox </t>
  </si>
  <si>
    <t>p-value of the nox value is less than 0.05</t>
  </si>
  <si>
    <t>then we reject the null hypothesis</t>
  </si>
  <si>
    <t>then we reject the null hypothesis, The average price is greater than nox in the locality of the town</t>
  </si>
  <si>
    <t>if the nox value is 0.871 which is max value in the feature</t>
  </si>
  <si>
    <t>H1 : NOX is more in a locality in this town</t>
  </si>
  <si>
    <t>H0 : NOX is less in a locality in this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</si>
</sst>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"/>
    <numFmt numFmtId="166" formatCode="[$$-409]#,##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2B3A44"/>
      <name val="TimesNewRomanPSMT"/>
    </font>
    <font>
      <sz val="12"/>
      <color rgb="FF2B3A4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6" fillId="0" borderId="14" xfId="0" applyFont="1" applyFill="1" applyBorder="1" applyAlignment="1">
      <alignment horizontal="center"/>
    </xf>
    <xf numFmtId="0" fontId="5" fillId="3" borderId="1" xfId="0" applyFont="1" applyFill="1" applyBorder="1"/>
    <xf numFmtId="0" fontId="2" fillId="0" borderId="2" xfId="2"/>
    <xf numFmtId="0" fontId="0" fillId="0" borderId="15" xfId="0" applyBorder="1"/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0" xfId="0" applyFont="1"/>
    <xf numFmtId="0" fontId="7" fillId="0" borderId="15" xfId="0" applyFont="1" applyBorder="1"/>
    <xf numFmtId="0" fontId="7" fillId="0" borderId="12" xfId="0" applyFont="1" applyBorder="1"/>
    <xf numFmtId="0" fontId="7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7" fillId="0" borderId="0" xfId="0" applyNumberFormat="1" applyFont="1"/>
    <xf numFmtId="0" fontId="7" fillId="0" borderId="12" xfId="0" applyNumberFormat="1" applyFont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3" xfId="3"/>
    <xf numFmtId="164" fontId="0" fillId="0" borderId="1" xfId="0" applyNumberFormat="1" applyBorder="1"/>
    <xf numFmtId="0" fontId="0" fillId="0" borderId="0" xfId="0" applyAlignment="1"/>
    <xf numFmtId="166" fontId="0" fillId="0" borderId="0" xfId="0" applyNumberFormat="1"/>
    <xf numFmtId="0" fontId="4" fillId="2" borderId="1" xfId="4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7" fillId="0" borderId="1" xfId="0" applyFont="1" applyBorder="1"/>
    <xf numFmtId="9" fontId="7" fillId="0" borderId="1" xfId="1" applyFont="1" applyBorder="1"/>
    <xf numFmtId="9" fontId="0" fillId="0" borderId="1" xfId="0" applyNumberFormat="1" applyBorder="1"/>
    <xf numFmtId="0" fontId="3" fillId="0" borderId="3" xfId="3" applyBorder="1"/>
    <xf numFmtId="0" fontId="0" fillId="0" borderId="0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Accent1" xfId="4" builtinId="29"/>
    <cellStyle name="Heading 1" xfId="2" builtinId="16"/>
    <cellStyle name="Heading 3" xfId="3" builtinId="18"/>
    <cellStyle name="Normal" xfId="0" builtinId="0"/>
    <cellStyle name="Per cent" xfId="1" builtinId="5"/>
  </cellStyles>
  <dxfs count="15">
    <dxf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DB33C724-5EC8-1D4F-A258-2DFE34C04E7B}">
          <cx:tx>
            <cx:txData>
              <cx:f>_xlchart.v1.0</cx:f>
              <cx:v>AVG_PRICE</cx:v>
            </cx:txData>
          </cx:tx>
          <cx:dataPt idx="3"/>
          <cx:dataPt idx="4"/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4</xdr:col>
      <xdr:colOff>622300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2C28CB-8888-D643-B44D-8936C2846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900" y="5486400"/>
              <a:ext cx="3429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8142</xdr:colOff>
      <xdr:row>128</xdr:row>
      <xdr:rowOff>0</xdr:rowOff>
    </xdr:from>
    <xdr:to>
      <xdr:col>16</xdr:col>
      <xdr:colOff>1287</xdr:colOff>
      <xdr:row>150</xdr:row>
      <xdr:rowOff>62849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05940D-6418-0B35-658E-3FC89C496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5898" y="27231731"/>
          <a:ext cx="4978400" cy="4279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ay/Documents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DESIGN"/>
      <definedName name="RegCoeff"/>
      <definedName name="VI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E787B-9622-2646-A624-1AE90DBD6F43}" name="dataset" displayName="dataset" ref="A1:J507" totalsRowShown="0" headerRowDxfId="14" headerRowBorderDxfId="13" tableBorderDxfId="12" totalsRowBorderDxfId="11">
  <autoFilter ref="A1:J507" xr:uid="{233E787B-9622-2646-A624-1AE90DBD6F43}"/>
  <tableColumns count="10">
    <tableColumn id="1" xr3:uid="{83405753-FB2B-634E-8168-0924C8A2A256}" name="CRIME_RATE" dataDxfId="10"/>
    <tableColumn id="2" xr3:uid="{937AA646-7F6F-2B4C-A758-6D43AB53CE3F}" name="AGE" dataDxfId="9" dataCellStyle="Normal"/>
    <tableColumn id="3" xr3:uid="{F33BF5D4-E416-5E48-9934-3E570E36494E}" name="INDUS" dataDxfId="8" dataCellStyle="Normal"/>
    <tableColumn id="4" xr3:uid="{A81844D5-B9F0-924E-A3E9-6FE35D0A331C}" name="NOX" dataDxfId="7"/>
    <tableColumn id="5" xr3:uid="{F0C0A414-722B-EB48-A09F-61DB75EE1098}" name="DISTANCE" dataDxfId="6"/>
    <tableColumn id="6" xr3:uid="{71E282AF-4F49-0249-A448-D2B284870B31}" name="TAX" dataDxfId="5"/>
    <tableColumn id="7" xr3:uid="{798A76DA-0954-0640-A843-0711AB97FC25}" name="PTRATIO" dataDxfId="4"/>
    <tableColumn id="8" xr3:uid="{E8A9512A-315E-5C4C-85DE-DAE85F20D07C}" name="AVG_ROOM" dataDxfId="3"/>
    <tableColumn id="9" xr3:uid="{1ED64070-36F8-E74E-AAFB-C2657ACCE61E}" name="LSTAT" dataDxfId="2"/>
    <tableColumn id="10" xr3:uid="{18D599EE-699F-A045-B58C-B904DA3BFA86}" name="AVG_PRI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7"/>
  <sheetViews>
    <sheetView topLeftCell="A478" zoomScale="138" workbookViewId="0">
      <selection activeCell="C1" sqref="C1"/>
    </sheetView>
  </sheetViews>
  <sheetFormatPr baseColWidth="10" defaultColWidth="8.83203125" defaultRowHeight="15"/>
  <cols>
    <col min="1" max="10" width="15.5" customWidth="1"/>
  </cols>
  <sheetData>
    <row r="1" spans="1:10">
      <c r="A1" s="4" t="s">
        <v>6</v>
      </c>
      <c r="B1" s="1" t="s">
        <v>0</v>
      </c>
      <c r="C1" s="1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6" t="s">
        <v>9</v>
      </c>
    </row>
    <row r="2" spans="1:10">
      <c r="A2" s="2">
        <v>6.32</v>
      </c>
      <c r="B2" s="1">
        <v>65.2</v>
      </c>
      <c r="C2" s="1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3">
        <v>24</v>
      </c>
    </row>
    <row r="3" spans="1:10">
      <c r="A3" s="2">
        <v>4.3099999999999996</v>
      </c>
      <c r="B3" s="1">
        <v>78.900000000000006</v>
      </c>
      <c r="C3" s="1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3">
        <v>21.6</v>
      </c>
    </row>
    <row r="4" spans="1:10">
      <c r="A4" s="2">
        <v>7.87</v>
      </c>
      <c r="B4" s="1">
        <v>61.1</v>
      </c>
      <c r="C4" s="1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3">
        <v>34.700000000000003</v>
      </c>
    </row>
    <row r="5" spans="1:10">
      <c r="A5" s="2">
        <v>6.47</v>
      </c>
      <c r="B5" s="1">
        <v>45.8</v>
      </c>
      <c r="C5" s="1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3">
        <v>33.4</v>
      </c>
    </row>
    <row r="6" spans="1:10">
      <c r="A6" s="2">
        <v>5.24</v>
      </c>
      <c r="B6" s="1">
        <v>54.2</v>
      </c>
      <c r="C6" s="1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3">
        <v>36.200000000000003</v>
      </c>
    </row>
    <row r="7" spans="1:10">
      <c r="A7" s="2">
        <v>9.75</v>
      </c>
      <c r="B7" s="1">
        <v>58.7</v>
      </c>
      <c r="C7" s="1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3">
        <v>28.7</v>
      </c>
    </row>
    <row r="8" spans="1:10">
      <c r="A8" s="2">
        <v>9.42</v>
      </c>
      <c r="B8" s="1">
        <v>66.599999999999994</v>
      </c>
      <c r="C8" s="1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3">
        <v>22.9</v>
      </c>
    </row>
    <row r="9" spans="1:10">
      <c r="A9" s="2">
        <v>2.76</v>
      </c>
      <c r="B9" s="1">
        <v>96.1</v>
      </c>
      <c r="C9" s="1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3">
        <v>27.1</v>
      </c>
    </row>
    <row r="10" spans="1:10">
      <c r="A10" s="2">
        <v>7.66</v>
      </c>
      <c r="B10" s="1">
        <v>100</v>
      </c>
      <c r="C10" s="1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3">
        <v>16.5</v>
      </c>
    </row>
    <row r="11" spans="1:10">
      <c r="A11" s="2">
        <v>1.1200000000000001</v>
      </c>
      <c r="B11" s="1">
        <v>85.9</v>
      </c>
      <c r="C11" s="1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3">
        <v>18.899999999999999</v>
      </c>
    </row>
    <row r="12" spans="1:10">
      <c r="A12" s="2">
        <v>7.52</v>
      </c>
      <c r="B12" s="1">
        <v>94.3</v>
      </c>
      <c r="C12" s="1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3">
        <v>15</v>
      </c>
    </row>
    <row r="13" spans="1:10">
      <c r="A13" s="2">
        <v>1.55</v>
      </c>
      <c r="B13" s="1">
        <v>82.9</v>
      </c>
      <c r="C13" s="1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3">
        <v>18.899999999999999</v>
      </c>
    </row>
    <row r="14" spans="1:10">
      <c r="A14" s="2">
        <v>3.7</v>
      </c>
      <c r="B14" s="1">
        <v>39</v>
      </c>
      <c r="C14" s="1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3">
        <v>21.7</v>
      </c>
    </row>
    <row r="15" spans="1:10">
      <c r="A15" s="2">
        <v>7.14</v>
      </c>
      <c r="B15" s="1">
        <v>61.8</v>
      </c>
      <c r="C15" s="1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3">
        <v>20.399999999999999</v>
      </c>
    </row>
    <row r="16" spans="1:10">
      <c r="A16" s="2">
        <v>0.21</v>
      </c>
      <c r="B16" s="1">
        <v>84.5</v>
      </c>
      <c r="C16" s="1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3">
        <v>18.2</v>
      </c>
    </row>
    <row r="17" spans="1:10">
      <c r="A17" s="2">
        <v>8.6</v>
      </c>
      <c r="B17" s="1">
        <v>56.5</v>
      </c>
      <c r="C17" s="1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3">
        <v>19.899999999999999</v>
      </c>
    </row>
    <row r="18" spans="1:10">
      <c r="A18" s="2">
        <v>6.95</v>
      </c>
      <c r="B18" s="1">
        <v>29.3</v>
      </c>
      <c r="C18" s="1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3">
        <v>23.1</v>
      </c>
    </row>
    <row r="19" spans="1:10">
      <c r="A19" s="2">
        <v>0.8</v>
      </c>
      <c r="B19" s="1">
        <v>81.7</v>
      </c>
      <c r="C19" s="1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3">
        <v>17.5</v>
      </c>
    </row>
    <row r="20" spans="1:10">
      <c r="A20" s="2">
        <v>8.5</v>
      </c>
      <c r="B20" s="1">
        <v>36.6</v>
      </c>
      <c r="C20" s="1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3">
        <v>20.2</v>
      </c>
    </row>
    <row r="21" spans="1:10">
      <c r="A21" s="2">
        <v>5.53</v>
      </c>
      <c r="B21" s="1">
        <v>69.5</v>
      </c>
      <c r="C21" s="1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3">
        <v>18.2</v>
      </c>
    </row>
    <row r="22" spans="1:10">
      <c r="A22" s="2">
        <v>8.39</v>
      </c>
      <c r="B22" s="1">
        <v>98.1</v>
      </c>
      <c r="C22" s="1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3">
        <v>13.6</v>
      </c>
    </row>
    <row r="23" spans="1:10">
      <c r="A23" s="2">
        <v>8.9600000000000009</v>
      </c>
      <c r="B23" s="1">
        <v>89.2</v>
      </c>
      <c r="C23" s="1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3">
        <v>19.600000000000001</v>
      </c>
    </row>
    <row r="24" spans="1:10">
      <c r="A24" s="2">
        <v>9.61</v>
      </c>
      <c r="B24" s="1">
        <v>91.7</v>
      </c>
      <c r="C24" s="1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3">
        <v>15.2</v>
      </c>
    </row>
    <row r="25" spans="1:10">
      <c r="A25" s="2">
        <v>2.8</v>
      </c>
      <c r="B25" s="1">
        <v>100</v>
      </c>
      <c r="C25" s="1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3">
        <v>14.5</v>
      </c>
    </row>
    <row r="26" spans="1:10">
      <c r="A26" s="2">
        <v>1.29</v>
      </c>
      <c r="B26" s="1">
        <v>94.1</v>
      </c>
      <c r="C26" s="1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3">
        <v>15.6</v>
      </c>
    </row>
    <row r="27" spans="1:10">
      <c r="A27" s="2">
        <v>5.71</v>
      </c>
      <c r="B27" s="1">
        <v>85.7</v>
      </c>
      <c r="C27" s="1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3">
        <v>13.9</v>
      </c>
    </row>
    <row r="28" spans="1:10">
      <c r="A28" s="2">
        <v>0.82</v>
      </c>
      <c r="B28" s="1">
        <v>90.3</v>
      </c>
      <c r="C28" s="1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3">
        <v>16.600000000000001</v>
      </c>
    </row>
    <row r="29" spans="1:10">
      <c r="A29" s="2">
        <v>5.22</v>
      </c>
      <c r="B29" s="1">
        <v>88.8</v>
      </c>
      <c r="C29" s="1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3">
        <v>14.8</v>
      </c>
    </row>
    <row r="30" spans="1:10">
      <c r="A30" s="2">
        <v>0.37</v>
      </c>
      <c r="B30" s="1">
        <v>94.4</v>
      </c>
      <c r="C30" s="1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3">
        <v>18.399999999999999</v>
      </c>
    </row>
    <row r="31" spans="1:10">
      <c r="A31" s="2">
        <v>5.8</v>
      </c>
      <c r="B31" s="1">
        <v>87.3</v>
      </c>
      <c r="C31" s="1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3">
        <v>21</v>
      </c>
    </row>
    <row r="32" spans="1:10">
      <c r="A32" s="2">
        <v>1.3</v>
      </c>
      <c r="B32" s="1">
        <v>94.1</v>
      </c>
      <c r="C32" s="1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3">
        <v>12.7</v>
      </c>
    </row>
    <row r="33" spans="1:10">
      <c r="A33" s="2">
        <v>0.23</v>
      </c>
      <c r="B33" s="1">
        <v>100</v>
      </c>
      <c r="C33" s="1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3">
        <v>14.5</v>
      </c>
    </row>
    <row r="34" spans="1:10">
      <c r="A34" s="2">
        <v>1.1200000000000001</v>
      </c>
      <c r="B34" s="1">
        <v>82</v>
      </c>
      <c r="C34" s="1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3">
        <v>13.2</v>
      </c>
    </row>
    <row r="35" spans="1:10">
      <c r="A35" s="2">
        <v>6.33</v>
      </c>
      <c r="B35" s="1">
        <v>95</v>
      </c>
      <c r="C35" s="1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3">
        <v>13.1</v>
      </c>
    </row>
    <row r="36" spans="1:10">
      <c r="A36" s="2">
        <v>0.04</v>
      </c>
      <c r="B36" s="1">
        <v>96.9</v>
      </c>
      <c r="C36" s="1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3">
        <v>13.5</v>
      </c>
    </row>
    <row r="37" spans="1:10">
      <c r="A37" s="2">
        <v>8.6</v>
      </c>
      <c r="B37" s="1">
        <v>68.2</v>
      </c>
      <c r="C37" s="1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3">
        <v>18.899999999999999</v>
      </c>
    </row>
    <row r="38" spans="1:10">
      <c r="A38" s="2">
        <v>7.9</v>
      </c>
      <c r="B38" s="1">
        <v>61.4</v>
      </c>
      <c r="C38" s="1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3">
        <v>20</v>
      </c>
    </row>
    <row r="39" spans="1:10">
      <c r="A39" s="2">
        <v>7.19</v>
      </c>
      <c r="B39" s="1">
        <v>41.5</v>
      </c>
      <c r="C39" s="1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3">
        <v>21</v>
      </c>
    </row>
    <row r="40" spans="1:10">
      <c r="A40" s="2">
        <v>3.88</v>
      </c>
      <c r="B40" s="1">
        <v>30.2</v>
      </c>
      <c r="C40" s="1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3">
        <v>24.7</v>
      </c>
    </row>
    <row r="41" spans="1:10">
      <c r="A41" s="2">
        <v>8.99</v>
      </c>
      <c r="B41" s="1">
        <v>21.8</v>
      </c>
      <c r="C41" s="1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3">
        <v>30.8</v>
      </c>
    </row>
    <row r="42" spans="1:10">
      <c r="A42" s="2">
        <v>1.27</v>
      </c>
      <c r="B42" s="1">
        <v>15.8</v>
      </c>
      <c r="C42" s="1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3">
        <v>34.9</v>
      </c>
    </row>
    <row r="43" spans="1:10">
      <c r="A43" s="2">
        <v>4.8600000000000003</v>
      </c>
      <c r="B43" s="1">
        <v>2.9</v>
      </c>
      <c r="C43" s="1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3">
        <v>26.6</v>
      </c>
    </row>
    <row r="44" spans="1:10">
      <c r="A44" s="2">
        <v>0.66</v>
      </c>
      <c r="B44" s="1">
        <v>6.6</v>
      </c>
      <c r="C44" s="1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3">
        <v>25.3</v>
      </c>
    </row>
    <row r="45" spans="1:10">
      <c r="A45" s="2">
        <v>3.73</v>
      </c>
      <c r="B45" s="1">
        <v>6.5</v>
      </c>
      <c r="C45" s="1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3">
        <v>24.7</v>
      </c>
    </row>
    <row r="46" spans="1:10">
      <c r="A46" s="2">
        <v>4.63</v>
      </c>
      <c r="B46" s="1">
        <v>40</v>
      </c>
      <c r="C46" s="1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3">
        <v>21.2</v>
      </c>
    </row>
    <row r="47" spans="1:10">
      <c r="A47" s="2">
        <v>8.41</v>
      </c>
      <c r="B47" s="1">
        <v>33.799999999999997</v>
      </c>
      <c r="C47" s="1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3">
        <v>19.3</v>
      </c>
    </row>
    <row r="48" spans="1:10">
      <c r="A48" s="2">
        <v>5.66</v>
      </c>
      <c r="B48" s="1">
        <v>33.299999999999997</v>
      </c>
      <c r="C48" s="1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3">
        <v>20</v>
      </c>
    </row>
    <row r="49" spans="1:10">
      <c r="A49" s="2">
        <v>1.43</v>
      </c>
      <c r="B49" s="1">
        <v>85.5</v>
      </c>
      <c r="C49" s="1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3">
        <v>16.600000000000001</v>
      </c>
    </row>
    <row r="50" spans="1:10">
      <c r="A50" s="2">
        <v>8.3000000000000007</v>
      </c>
      <c r="B50" s="1">
        <v>95.3</v>
      </c>
      <c r="C50" s="1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3">
        <v>14.4</v>
      </c>
    </row>
    <row r="51" spans="1:10">
      <c r="A51" s="2">
        <v>8.24</v>
      </c>
      <c r="B51" s="1">
        <v>62</v>
      </c>
      <c r="C51" s="1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3">
        <v>19.399999999999999</v>
      </c>
    </row>
    <row r="52" spans="1:10">
      <c r="A52" s="2">
        <v>0.63</v>
      </c>
      <c r="B52" s="1">
        <v>45.7</v>
      </c>
      <c r="C52" s="1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3">
        <v>19.7</v>
      </c>
    </row>
    <row r="53" spans="1:10">
      <c r="A53" s="2">
        <v>2.69</v>
      </c>
      <c r="B53" s="1">
        <v>63</v>
      </c>
      <c r="C53" s="1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3">
        <v>20.5</v>
      </c>
    </row>
    <row r="54" spans="1:10">
      <c r="A54" s="2">
        <v>0.42</v>
      </c>
      <c r="B54" s="1">
        <v>21.1</v>
      </c>
      <c r="C54" s="1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3">
        <v>25</v>
      </c>
    </row>
    <row r="55" spans="1:10">
      <c r="A55" s="2">
        <v>5.84</v>
      </c>
      <c r="B55" s="1">
        <v>21.4</v>
      </c>
      <c r="C55" s="1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3">
        <v>23.4</v>
      </c>
    </row>
    <row r="56" spans="1:10">
      <c r="A56" s="2">
        <v>1.51</v>
      </c>
      <c r="B56" s="1">
        <v>47.6</v>
      </c>
      <c r="C56" s="1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3">
        <v>18.899999999999999</v>
      </c>
    </row>
    <row r="57" spans="1:10">
      <c r="A57" s="2">
        <v>5.03</v>
      </c>
      <c r="B57" s="1">
        <v>21.9</v>
      </c>
      <c r="C57" s="1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3">
        <v>35.4</v>
      </c>
    </row>
    <row r="58" spans="1:10">
      <c r="A58" s="2">
        <v>7.17</v>
      </c>
      <c r="B58" s="1">
        <v>35.700000000000003</v>
      </c>
      <c r="C58" s="1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3">
        <v>24.7</v>
      </c>
    </row>
    <row r="59" spans="1:10">
      <c r="A59" s="2">
        <v>3.6</v>
      </c>
      <c r="B59" s="1">
        <v>40.5</v>
      </c>
      <c r="C59" s="1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3">
        <v>31.6</v>
      </c>
    </row>
    <row r="60" spans="1:10">
      <c r="A60" s="2">
        <v>3.01</v>
      </c>
      <c r="B60" s="1">
        <v>29.2</v>
      </c>
      <c r="C60" s="1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3">
        <v>23.3</v>
      </c>
    </row>
    <row r="61" spans="1:10">
      <c r="A61" s="2">
        <v>0.73</v>
      </c>
      <c r="B61" s="1">
        <v>47.2</v>
      </c>
      <c r="C61" s="1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3">
        <v>19.600000000000001</v>
      </c>
    </row>
    <row r="62" spans="1:10">
      <c r="A62" s="2">
        <v>3.3</v>
      </c>
      <c r="B62" s="1">
        <v>66.2</v>
      </c>
      <c r="C62" s="1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3">
        <v>18.7</v>
      </c>
    </row>
    <row r="63" spans="1:10">
      <c r="A63" s="2">
        <v>1.97</v>
      </c>
      <c r="B63" s="1">
        <v>93.4</v>
      </c>
      <c r="C63" s="1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3">
        <v>16</v>
      </c>
    </row>
    <row r="64" spans="1:10">
      <c r="A64" s="2">
        <v>9.65</v>
      </c>
      <c r="B64" s="1">
        <v>67.8</v>
      </c>
      <c r="C64" s="1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3">
        <v>22.2</v>
      </c>
    </row>
    <row r="65" spans="1:10">
      <c r="A65" s="2">
        <v>0.43</v>
      </c>
      <c r="B65" s="1">
        <v>43.4</v>
      </c>
      <c r="C65" s="1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3">
        <v>25</v>
      </c>
    </row>
    <row r="66" spans="1:10">
      <c r="A66" s="2">
        <v>1.97</v>
      </c>
      <c r="B66" s="1">
        <v>59.5</v>
      </c>
      <c r="C66" s="1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3">
        <v>33</v>
      </c>
    </row>
    <row r="67" spans="1:10">
      <c r="A67" s="2">
        <v>7.65</v>
      </c>
      <c r="B67" s="1">
        <v>17.8</v>
      </c>
      <c r="C67" s="1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3">
        <v>23.5</v>
      </c>
    </row>
    <row r="68" spans="1:10">
      <c r="A68" s="2">
        <v>7.48</v>
      </c>
      <c r="B68" s="1">
        <v>31.1</v>
      </c>
      <c r="C68" s="1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3">
        <v>19.399999999999999</v>
      </c>
    </row>
    <row r="69" spans="1:10">
      <c r="A69" s="2">
        <v>5.7</v>
      </c>
      <c r="B69" s="1">
        <v>21.4</v>
      </c>
      <c r="C69" s="1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3">
        <v>22</v>
      </c>
    </row>
    <row r="70" spans="1:10">
      <c r="A70" s="2">
        <v>5.94</v>
      </c>
      <c r="B70" s="1">
        <v>36.799999999999997</v>
      </c>
      <c r="C70" s="1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3">
        <v>17.399999999999999</v>
      </c>
    </row>
    <row r="71" spans="1:10">
      <c r="A71" s="2">
        <v>3.96</v>
      </c>
      <c r="B71" s="1">
        <v>33</v>
      </c>
      <c r="C71" s="1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3">
        <v>20.9</v>
      </c>
    </row>
    <row r="72" spans="1:10">
      <c r="A72" s="2">
        <v>4.8600000000000003</v>
      </c>
      <c r="B72" s="1">
        <v>6.6</v>
      </c>
      <c r="C72" s="1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3">
        <v>24.2</v>
      </c>
    </row>
    <row r="73" spans="1:10">
      <c r="A73" s="2">
        <v>0.63</v>
      </c>
      <c r="B73" s="1">
        <v>17.5</v>
      </c>
      <c r="C73" s="1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3">
        <v>21.7</v>
      </c>
    </row>
    <row r="74" spans="1:10">
      <c r="A74" s="2">
        <v>1.0900000000000001</v>
      </c>
      <c r="B74" s="1">
        <v>7.8</v>
      </c>
      <c r="C74" s="1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3">
        <v>22.8</v>
      </c>
    </row>
    <row r="75" spans="1:10">
      <c r="A75" s="2">
        <v>3.28</v>
      </c>
      <c r="B75" s="1">
        <v>6.2</v>
      </c>
      <c r="C75" s="1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3">
        <v>23.4</v>
      </c>
    </row>
    <row r="76" spans="1:10">
      <c r="A76" s="2">
        <v>6.44</v>
      </c>
      <c r="B76" s="1">
        <v>6</v>
      </c>
      <c r="C76" s="1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3">
        <v>24.1</v>
      </c>
    </row>
    <row r="77" spans="1:10">
      <c r="A77" s="2">
        <v>8.23</v>
      </c>
      <c r="B77" s="1">
        <v>45</v>
      </c>
      <c r="C77" s="1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3">
        <v>21.4</v>
      </c>
    </row>
    <row r="78" spans="1:10">
      <c r="A78" s="2">
        <v>2.99</v>
      </c>
      <c r="B78" s="1">
        <v>74.5</v>
      </c>
      <c r="C78" s="1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3">
        <v>20</v>
      </c>
    </row>
    <row r="79" spans="1:10">
      <c r="A79" s="2">
        <v>7.67</v>
      </c>
      <c r="B79" s="1">
        <v>45.8</v>
      </c>
      <c r="C79" s="1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3">
        <v>20.8</v>
      </c>
    </row>
    <row r="80" spans="1:10">
      <c r="A80" s="2">
        <v>7.9</v>
      </c>
      <c r="B80" s="1">
        <v>53.7</v>
      </c>
      <c r="C80" s="1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3">
        <v>21.2</v>
      </c>
    </row>
    <row r="81" spans="1:10">
      <c r="A81" s="2">
        <v>3.84</v>
      </c>
      <c r="B81" s="1">
        <v>36.6</v>
      </c>
      <c r="C81" s="1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3">
        <v>20.3</v>
      </c>
    </row>
    <row r="82" spans="1:10">
      <c r="A82" s="2">
        <v>9.23</v>
      </c>
      <c r="B82" s="1">
        <v>33.5</v>
      </c>
      <c r="C82" s="1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3">
        <v>28</v>
      </c>
    </row>
    <row r="83" spans="1:10">
      <c r="A83" s="2">
        <v>1.05</v>
      </c>
      <c r="B83" s="1">
        <v>70.400000000000006</v>
      </c>
      <c r="C83" s="1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3">
        <v>23.9</v>
      </c>
    </row>
    <row r="84" spans="1:10">
      <c r="A84" s="2">
        <v>1.96</v>
      </c>
      <c r="B84" s="1">
        <v>32.200000000000003</v>
      </c>
      <c r="C84" s="1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3">
        <v>24.8</v>
      </c>
    </row>
    <row r="85" spans="1:10">
      <c r="A85" s="2">
        <v>3.43</v>
      </c>
      <c r="B85" s="1">
        <v>46.7</v>
      </c>
      <c r="C85" s="1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3">
        <v>22.9</v>
      </c>
    </row>
    <row r="86" spans="1:10">
      <c r="A86" s="2">
        <v>6.36</v>
      </c>
      <c r="B86" s="1">
        <v>48</v>
      </c>
      <c r="C86" s="1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3">
        <v>23.9</v>
      </c>
    </row>
    <row r="87" spans="1:10">
      <c r="A87" s="2">
        <v>6.55</v>
      </c>
      <c r="B87" s="1">
        <v>56.1</v>
      </c>
      <c r="C87" s="1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3">
        <v>26.6</v>
      </c>
    </row>
    <row r="88" spans="1:10">
      <c r="A88" s="2">
        <v>6.42</v>
      </c>
      <c r="B88" s="1">
        <v>45.1</v>
      </c>
      <c r="C88" s="1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3">
        <v>22.5</v>
      </c>
    </row>
    <row r="89" spans="1:10">
      <c r="A89" s="2">
        <v>3.15</v>
      </c>
      <c r="B89" s="1">
        <v>56.8</v>
      </c>
      <c r="C89" s="1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3">
        <v>22.2</v>
      </c>
    </row>
    <row r="90" spans="1:10">
      <c r="A90" s="2">
        <v>9.27</v>
      </c>
      <c r="B90" s="1">
        <v>86.3</v>
      </c>
      <c r="C90" s="1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3">
        <v>23.6</v>
      </c>
    </row>
    <row r="91" spans="1:10">
      <c r="A91" s="2">
        <v>3.7</v>
      </c>
      <c r="B91" s="1">
        <v>63.1</v>
      </c>
      <c r="C91" s="1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3">
        <v>28.7</v>
      </c>
    </row>
    <row r="92" spans="1:10">
      <c r="A92" s="2">
        <v>1.28</v>
      </c>
      <c r="B92" s="1">
        <v>66.099999999999994</v>
      </c>
      <c r="C92" s="1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3">
        <v>22.6</v>
      </c>
    </row>
    <row r="93" spans="1:10">
      <c r="A93" s="2">
        <v>0.91</v>
      </c>
      <c r="B93" s="1">
        <v>73.900000000000006</v>
      </c>
      <c r="C93" s="1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3">
        <v>22</v>
      </c>
    </row>
    <row r="94" spans="1:10">
      <c r="A94" s="2">
        <v>9.07</v>
      </c>
      <c r="B94" s="1">
        <v>53.6</v>
      </c>
      <c r="C94" s="1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3">
        <v>22.9</v>
      </c>
    </row>
    <row r="95" spans="1:10">
      <c r="A95" s="2">
        <v>5.8</v>
      </c>
      <c r="B95" s="1">
        <v>28.9</v>
      </c>
      <c r="C95" s="1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3">
        <v>25</v>
      </c>
    </row>
    <row r="96" spans="1:10">
      <c r="A96" s="2">
        <v>2.61</v>
      </c>
      <c r="B96" s="1">
        <v>77.3</v>
      </c>
      <c r="C96" s="1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3">
        <v>20.6</v>
      </c>
    </row>
    <row r="97" spans="1:10">
      <c r="A97" s="2">
        <v>7.21</v>
      </c>
      <c r="B97" s="1">
        <v>57.8</v>
      </c>
      <c r="C97" s="1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3">
        <v>28.4</v>
      </c>
    </row>
    <row r="98" spans="1:10">
      <c r="A98" s="2">
        <v>3.15</v>
      </c>
      <c r="B98" s="1">
        <v>69.599999999999994</v>
      </c>
      <c r="C98" s="1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3">
        <v>21.4</v>
      </c>
    </row>
    <row r="99" spans="1:10">
      <c r="A99" s="2">
        <v>8.16</v>
      </c>
      <c r="B99" s="1">
        <v>76</v>
      </c>
      <c r="C99" s="1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3">
        <v>38.700000000000003</v>
      </c>
    </row>
    <row r="100" spans="1:10">
      <c r="A100" s="2">
        <v>5.75</v>
      </c>
      <c r="B100" s="1">
        <v>36.9</v>
      </c>
      <c r="C100" s="1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3">
        <v>43.8</v>
      </c>
    </row>
    <row r="101" spans="1:10">
      <c r="A101" s="2">
        <v>4.46</v>
      </c>
      <c r="B101" s="1">
        <v>62.5</v>
      </c>
      <c r="C101" s="1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3">
        <v>33.200000000000003</v>
      </c>
    </row>
    <row r="102" spans="1:10">
      <c r="A102" s="2">
        <v>6.3</v>
      </c>
      <c r="B102" s="1">
        <v>79.900000000000006</v>
      </c>
      <c r="C102" s="1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3">
        <v>27.5</v>
      </c>
    </row>
    <row r="103" spans="1:10">
      <c r="A103" s="2">
        <v>7.71</v>
      </c>
      <c r="B103" s="1">
        <v>71.3</v>
      </c>
      <c r="C103" s="1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3">
        <v>26.5</v>
      </c>
    </row>
    <row r="104" spans="1:10">
      <c r="A104" s="2">
        <v>8.93</v>
      </c>
      <c r="B104" s="1">
        <v>85.4</v>
      </c>
      <c r="C104" s="1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3">
        <v>18.600000000000001</v>
      </c>
    </row>
    <row r="105" spans="1:10">
      <c r="A105" s="2">
        <v>9.7100000000000009</v>
      </c>
      <c r="B105" s="1">
        <v>87.4</v>
      </c>
      <c r="C105" s="1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3">
        <v>19.3</v>
      </c>
    </row>
    <row r="106" spans="1:10">
      <c r="A106" s="2">
        <v>8.9</v>
      </c>
      <c r="B106" s="1">
        <v>90</v>
      </c>
      <c r="C106" s="1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3">
        <v>20.100000000000001</v>
      </c>
    </row>
    <row r="107" spans="1:10">
      <c r="A107" s="2">
        <v>3.77</v>
      </c>
      <c r="B107" s="1">
        <v>96.7</v>
      </c>
      <c r="C107" s="1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3">
        <v>19.5</v>
      </c>
    </row>
    <row r="108" spans="1:10">
      <c r="A108" s="2">
        <v>3.63</v>
      </c>
      <c r="B108" s="1">
        <v>91.9</v>
      </c>
      <c r="C108" s="1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3">
        <v>19.5</v>
      </c>
    </row>
    <row r="109" spans="1:10">
      <c r="A109" s="2">
        <v>0.14000000000000001</v>
      </c>
      <c r="B109" s="1">
        <v>85.2</v>
      </c>
      <c r="C109" s="1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3">
        <v>20.399999999999999</v>
      </c>
    </row>
    <row r="110" spans="1:10">
      <c r="A110" s="2">
        <v>6.65</v>
      </c>
      <c r="B110" s="1">
        <v>97.1</v>
      </c>
      <c r="C110" s="1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3">
        <v>19.8</v>
      </c>
    </row>
    <row r="111" spans="1:10">
      <c r="A111" s="2">
        <v>3.29</v>
      </c>
      <c r="B111" s="1">
        <v>91.2</v>
      </c>
      <c r="C111" s="1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3">
        <v>19.399999999999999</v>
      </c>
    </row>
    <row r="112" spans="1:10">
      <c r="A112" s="2">
        <v>5.25</v>
      </c>
      <c r="B112" s="1">
        <v>54.4</v>
      </c>
      <c r="C112" s="1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3">
        <v>21.7</v>
      </c>
    </row>
    <row r="113" spans="1:10">
      <c r="A113" s="2">
        <v>9.17</v>
      </c>
      <c r="B113" s="1">
        <v>81.599999999999994</v>
      </c>
      <c r="C113" s="1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3">
        <v>22.8</v>
      </c>
    </row>
    <row r="114" spans="1:10">
      <c r="A114" s="2">
        <v>8.48</v>
      </c>
      <c r="B114" s="1">
        <v>92.9</v>
      </c>
      <c r="C114" s="1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3">
        <v>18.8</v>
      </c>
    </row>
    <row r="115" spans="1:10">
      <c r="A115" s="2">
        <v>9.08</v>
      </c>
      <c r="B115" s="1">
        <v>95.4</v>
      </c>
      <c r="C115" s="1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3">
        <v>18.7</v>
      </c>
    </row>
    <row r="116" spans="1:10">
      <c r="A116" s="2">
        <v>2.0099999999999998</v>
      </c>
      <c r="B116" s="1">
        <v>84.2</v>
      </c>
      <c r="C116" s="1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3">
        <v>18.5</v>
      </c>
    </row>
    <row r="117" spans="1:10">
      <c r="A117" s="2">
        <v>4.57</v>
      </c>
      <c r="B117" s="1">
        <v>88.2</v>
      </c>
      <c r="C117" s="1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3">
        <v>18.3</v>
      </c>
    </row>
    <row r="118" spans="1:10">
      <c r="A118" s="2">
        <v>3.48</v>
      </c>
      <c r="B118" s="1">
        <v>72.5</v>
      </c>
      <c r="C118" s="1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3">
        <v>21.2</v>
      </c>
    </row>
    <row r="119" spans="1:10">
      <c r="A119" s="2">
        <v>2.21</v>
      </c>
      <c r="B119" s="1">
        <v>82.6</v>
      </c>
      <c r="C119" s="1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3">
        <v>19.2</v>
      </c>
    </row>
    <row r="120" spans="1:10">
      <c r="A120" s="2">
        <v>7.21</v>
      </c>
      <c r="B120" s="1">
        <v>73.099999999999994</v>
      </c>
      <c r="C120" s="1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3">
        <v>20.399999999999999</v>
      </c>
    </row>
    <row r="121" spans="1:10">
      <c r="A121" s="2">
        <v>2.52</v>
      </c>
      <c r="B121" s="1">
        <v>65.2</v>
      </c>
      <c r="C121" s="1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3">
        <v>19.3</v>
      </c>
    </row>
    <row r="122" spans="1:10">
      <c r="A122" s="2">
        <v>1.42</v>
      </c>
      <c r="B122" s="1">
        <v>69.7</v>
      </c>
      <c r="C122" s="1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3">
        <v>22</v>
      </c>
    </row>
    <row r="123" spans="1:10">
      <c r="A123" s="2">
        <v>8.1</v>
      </c>
      <c r="B123" s="1">
        <v>84.1</v>
      </c>
      <c r="C123" s="1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3">
        <v>20.3</v>
      </c>
    </row>
    <row r="124" spans="1:10">
      <c r="A124" s="2">
        <v>8.09</v>
      </c>
      <c r="B124" s="1">
        <v>92.9</v>
      </c>
      <c r="C124" s="1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3">
        <v>20.5</v>
      </c>
    </row>
    <row r="125" spans="1:10">
      <c r="A125" s="2">
        <v>0.6</v>
      </c>
      <c r="B125" s="1">
        <v>97</v>
      </c>
      <c r="C125" s="1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3">
        <v>17.3</v>
      </c>
    </row>
    <row r="126" spans="1:10">
      <c r="A126" s="2">
        <v>2.88</v>
      </c>
      <c r="B126" s="1">
        <v>95.8</v>
      </c>
      <c r="C126" s="1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3">
        <v>18.8</v>
      </c>
    </row>
    <row r="127" spans="1:10">
      <c r="A127" s="2">
        <v>7.01</v>
      </c>
      <c r="B127" s="1">
        <v>88.4</v>
      </c>
      <c r="C127" s="1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3">
        <v>21.4</v>
      </c>
    </row>
    <row r="128" spans="1:10">
      <c r="A128" s="2">
        <v>3.79</v>
      </c>
      <c r="B128" s="1">
        <v>95.6</v>
      </c>
      <c r="C128" s="1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3">
        <v>15.7</v>
      </c>
    </row>
    <row r="129" spans="1:10">
      <c r="A129" s="2">
        <v>7.15</v>
      </c>
      <c r="B129" s="1">
        <v>96</v>
      </c>
      <c r="C129" s="1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3">
        <v>16.2</v>
      </c>
    </row>
    <row r="130" spans="1:10">
      <c r="A130" s="2">
        <v>3.79</v>
      </c>
      <c r="B130" s="1">
        <v>98.8</v>
      </c>
      <c r="C130" s="1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3">
        <v>18</v>
      </c>
    </row>
    <row r="131" spans="1:10">
      <c r="A131" s="2">
        <v>2.65</v>
      </c>
      <c r="B131" s="1">
        <v>94.7</v>
      </c>
      <c r="C131" s="1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3">
        <v>14.3</v>
      </c>
    </row>
    <row r="132" spans="1:10">
      <c r="A132" s="2">
        <v>6.03</v>
      </c>
      <c r="B132" s="1">
        <v>98.9</v>
      </c>
      <c r="C132" s="1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3">
        <v>19.2</v>
      </c>
    </row>
    <row r="133" spans="1:10">
      <c r="A133" s="2">
        <v>4.3899999999999997</v>
      </c>
      <c r="B133" s="1">
        <v>97.7</v>
      </c>
      <c r="C133" s="1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3">
        <v>19.600000000000001</v>
      </c>
    </row>
    <row r="134" spans="1:10">
      <c r="A134" s="2">
        <v>8.58</v>
      </c>
      <c r="B134" s="1">
        <v>97.9</v>
      </c>
      <c r="C134" s="1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3">
        <v>23</v>
      </c>
    </row>
    <row r="135" spans="1:10">
      <c r="A135" s="2">
        <v>0.4</v>
      </c>
      <c r="B135" s="1">
        <v>95.4</v>
      </c>
      <c r="C135" s="1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3">
        <v>18.399999999999999</v>
      </c>
    </row>
    <row r="136" spans="1:10">
      <c r="A136" s="2">
        <v>5.48</v>
      </c>
      <c r="B136" s="1">
        <v>98.4</v>
      </c>
      <c r="C136" s="1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3">
        <v>15.6</v>
      </c>
    </row>
    <row r="137" spans="1:10">
      <c r="A137" s="2">
        <v>0.66</v>
      </c>
      <c r="B137" s="1">
        <v>98.2</v>
      </c>
      <c r="C137" s="1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3">
        <v>18.100000000000001</v>
      </c>
    </row>
    <row r="138" spans="1:10">
      <c r="A138" s="2">
        <v>9.8699999999999992</v>
      </c>
      <c r="B138" s="1">
        <v>93.5</v>
      </c>
      <c r="C138" s="1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3">
        <v>17.399999999999999</v>
      </c>
    </row>
    <row r="139" spans="1:10">
      <c r="A139" s="2">
        <v>5.05</v>
      </c>
      <c r="B139" s="1">
        <v>98.4</v>
      </c>
      <c r="C139" s="1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3">
        <v>17.100000000000001</v>
      </c>
    </row>
    <row r="140" spans="1:10">
      <c r="A140" s="2">
        <v>0.91</v>
      </c>
      <c r="B140" s="1">
        <v>98.2</v>
      </c>
      <c r="C140" s="1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3">
        <v>13.3</v>
      </c>
    </row>
    <row r="141" spans="1:10">
      <c r="A141" s="2">
        <v>2.92</v>
      </c>
      <c r="B141" s="1">
        <v>97.9</v>
      </c>
      <c r="C141" s="1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3">
        <v>17.8</v>
      </c>
    </row>
    <row r="142" spans="1:10">
      <c r="A142" s="2">
        <v>8.82</v>
      </c>
      <c r="B142" s="1">
        <v>93.6</v>
      </c>
      <c r="C142" s="1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3">
        <v>14</v>
      </c>
    </row>
    <row r="143" spans="1:10">
      <c r="A143" s="2">
        <v>3.92</v>
      </c>
      <c r="B143" s="1">
        <v>100</v>
      </c>
      <c r="C143" s="1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3">
        <v>14.4</v>
      </c>
    </row>
    <row r="144" spans="1:10">
      <c r="A144" s="2">
        <v>3.83</v>
      </c>
      <c r="B144" s="1">
        <v>100</v>
      </c>
      <c r="C144" s="1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3">
        <v>13.4</v>
      </c>
    </row>
    <row r="145" spans="1:10">
      <c r="A145" s="2">
        <v>0.68</v>
      </c>
      <c r="B145" s="1">
        <v>100</v>
      </c>
      <c r="C145" s="1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3">
        <v>15.6</v>
      </c>
    </row>
    <row r="146" spans="1:10">
      <c r="A146" s="2">
        <v>1.25</v>
      </c>
      <c r="B146" s="1">
        <v>97.8</v>
      </c>
      <c r="C146" s="1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3">
        <v>11.8</v>
      </c>
    </row>
    <row r="147" spans="1:10">
      <c r="A147" s="2">
        <v>2.88</v>
      </c>
      <c r="B147" s="1">
        <v>100</v>
      </c>
      <c r="C147" s="1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3">
        <v>13.8</v>
      </c>
    </row>
    <row r="148" spans="1:10">
      <c r="A148" s="2">
        <v>9.89</v>
      </c>
      <c r="B148" s="1">
        <v>100</v>
      </c>
      <c r="C148" s="1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3">
        <v>15.6</v>
      </c>
    </row>
    <row r="149" spans="1:10">
      <c r="A149" s="2">
        <v>8.5399999999999991</v>
      </c>
      <c r="B149" s="1">
        <v>95.7</v>
      </c>
      <c r="C149" s="1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3">
        <v>14.6</v>
      </c>
    </row>
    <row r="150" spans="1:10">
      <c r="A150" s="2">
        <v>4.75</v>
      </c>
      <c r="B150" s="1">
        <v>93.8</v>
      </c>
      <c r="C150" s="1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3">
        <v>17.8</v>
      </c>
    </row>
    <row r="151" spans="1:10">
      <c r="A151" s="2">
        <v>3.07</v>
      </c>
      <c r="B151" s="1">
        <v>94.9</v>
      </c>
      <c r="C151" s="1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3">
        <v>15.4</v>
      </c>
    </row>
    <row r="152" spans="1:10">
      <c r="A152" s="2">
        <v>9.17</v>
      </c>
      <c r="B152" s="1">
        <v>97.3</v>
      </c>
      <c r="C152" s="1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3">
        <v>21.5</v>
      </c>
    </row>
    <row r="153" spans="1:10">
      <c r="A153" s="2">
        <v>9.33</v>
      </c>
      <c r="B153" s="1">
        <v>100</v>
      </c>
      <c r="C153" s="1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3">
        <v>19.600000000000001</v>
      </c>
    </row>
    <row r="154" spans="1:10">
      <c r="A154" s="2">
        <v>3.51</v>
      </c>
      <c r="B154" s="1">
        <v>88</v>
      </c>
      <c r="C154" s="1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3">
        <v>15.3</v>
      </c>
    </row>
    <row r="155" spans="1:10">
      <c r="A155" s="2">
        <v>9.81</v>
      </c>
      <c r="B155" s="1">
        <v>98.5</v>
      </c>
      <c r="C155" s="1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3">
        <v>19.399999999999999</v>
      </c>
    </row>
    <row r="156" spans="1:10">
      <c r="A156" s="2">
        <v>1.24</v>
      </c>
      <c r="B156" s="1">
        <v>96</v>
      </c>
      <c r="C156" s="1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3">
        <v>17</v>
      </c>
    </row>
    <row r="157" spans="1:10">
      <c r="A157" s="2">
        <v>0.76</v>
      </c>
      <c r="B157" s="1">
        <v>82.6</v>
      </c>
      <c r="C157" s="1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3">
        <v>15.6</v>
      </c>
    </row>
    <row r="158" spans="1:10">
      <c r="A158" s="2">
        <v>9.09</v>
      </c>
      <c r="B158" s="1">
        <v>94</v>
      </c>
      <c r="C158" s="1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3">
        <v>13.1</v>
      </c>
    </row>
    <row r="159" spans="1:10">
      <c r="A159" s="2">
        <v>7.86</v>
      </c>
      <c r="B159" s="1">
        <v>97.4</v>
      </c>
      <c r="C159" s="1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3">
        <v>41.3</v>
      </c>
    </row>
    <row r="160" spans="1:10">
      <c r="A160" s="2">
        <v>4.6900000000000004</v>
      </c>
      <c r="B160" s="1">
        <v>100</v>
      </c>
      <c r="C160" s="1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3">
        <v>24.3</v>
      </c>
    </row>
    <row r="161" spans="1:10">
      <c r="A161" s="2">
        <v>4.8099999999999996</v>
      </c>
      <c r="B161" s="1">
        <v>100</v>
      </c>
      <c r="C161" s="1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3">
        <v>23.3</v>
      </c>
    </row>
    <row r="162" spans="1:10">
      <c r="A162" s="2">
        <v>8.65</v>
      </c>
      <c r="B162" s="1">
        <v>92.6</v>
      </c>
      <c r="C162" s="1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3">
        <v>27</v>
      </c>
    </row>
    <row r="163" spans="1:10">
      <c r="A163" s="2">
        <v>2.63</v>
      </c>
      <c r="B163" s="1">
        <v>90.8</v>
      </c>
      <c r="C163" s="1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3">
        <v>50</v>
      </c>
    </row>
    <row r="164" spans="1:10">
      <c r="A164" s="2">
        <v>8.39</v>
      </c>
      <c r="B164" s="1">
        <v>98.2</v>
      </c>
      <c r="C164" s="1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3">
        <v>50</v>
      </c>
    </row>
    <row r="165" spans="1:10">
      <c r="A165" s="2">
        <v>1.26</v>
      </c>
      <c r="B165" s="1">
        <v>93.9</v>
      </c>
      <c r="C165" s="1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3">
        <v>50</v>
      </c>
    </row>
    <row r="166" spans="1:10">
      <c r="A166" s="2">
        <v>0.75</v>
      </c>
      <c r="B166" s="1">
        <v>91.8</v>
      </c>
      <c r="C166" s="1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3">
        <v>22.7</v>
      </c>
    </row>
    <row r="167" spans="1:10">
      <c r="A167" s="2">
        <v>6.11</v>
      </c>
      <c r="B167" s="1">
        <v>93</v>
      </c>
      <c r="C167" s="1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3">
        <v>25</v>
      </c>
    </row>
    <row r="168" spans="1:10">
      <c r="A168" s="2">
        <v>1.5</v>
      </c>
      <c r="B168" s="1">
        <v>96.2</v>
      </c>
      <c r="C168" s="1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3">
        <v>50</v>
      </c>
    </row>
    <row r="169" spans="1:10">
      <c r="A169" s="2">
        <v>1.33</v>
      </c>
      <c r="B169" s="1">
        <v>79.2</v>
      </c>
      <c r="C169" s="1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3">
        <v>23.8</v>
      </c>
    </row>
    <row r="170" spans="1:10">
      <c r="A170" s="2">
        <v>6.02</v>
      </c>
      <c r="B170" s="1">
        <v>96.1</v>
      </c>
      <c r="C170" s="1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3">
        <v>23.8</v>
      </c>
    </row>
    <row r="171" spans="1:10">
      <c r="A171" s="2">
        <v>0.42</v>
      </c>
      <c r="B171" s="1">
        <v>95.2</v>
      </c>
      <c r="C171" s="1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3">
        <v>22.3</v>
      </c>
    </row>
    <row r="172" spans="1:10">
      <c r="A172" s="2">
        <v>4.8</v>
      </c>
      <c r="B172" s="1">
        <v>94.6</v>
      </c>
      <c r="C172" s="1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3">
        <v>17.399999999999999</v>
      </c>
    </row>
    <row r="173" spans="1:10">
      <c r="A173" s="2">
        <v>6.98</v>
      </c>
      <c r="B173" s="1">
        <v>97.3</v>
      </c>
      <c r="C173" s="1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3">
        <v>19.100000000000001</v>
      </c>
    </row>
    <row r="174" spans="1:10">
      <c r="A174" s="2">
        <v>0.57999999999999996</v>
      </c>
      <c r="B174" s="1">
        <v>88.5</v>
      </c>
      <c r="C174" s="1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3">
        <v>23.1</v>
      </c>
    </row>
    <row r="175" spans="1:10">
      <c r="A175" s="2">
        <v>3.64</v>
      </c>
      <c r="B175" s="1">
        <v>84.1</v>
      </c>
      <c r="C175" s="1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3">
        <v>23.6</v>
      </c>
    </row>
    <row r="176" spans="1:10">
      <c r="A176" s="2">
        <v>0.76</v>
      </c>
      <c r="B176" s="1">
        <v>68.7</v>
      </c>
      <c r="C176" s="1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3">
        <v>22.6</v>
      </c>
    </row>
    <row r="177" spans="1:10">
      <c r="A177" s="2">
        <v>3.45</v>
      </c>
      <c r="B177" s="1">
        <v>33.1</v>
      </c>
      <c r="C177" s="1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3">
        <v>29.4</v>
      </c>
    </row>
    <row r="178" spans="1:10">
      <c r="A178" s="2">
        <v>3.56</v>
      </c>
      <c r="B178" s="1">
        <v>47.2</v>
      </c>
      <c r="C178" s="1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3">
        <v>23.2</v>
      </c>
    </row>
    <row r="179" spans="1:10">
      <c r="A179" s="2">
        <v>6.08</v>
      </c>
      <c r="B179" s="1">
        <v>73.400000000000006</v>
      </c>
      <c r="C179" s="1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3">
        <v>24.6</v>
      </c>
    </row>
    <row r="180" spans="1:10">
      <c r="A180" s="2">
        <v>3.77</v>
      </c>
      <c r="B180" s="1">
        <v>74.400000000000006</v>
      </c>
      <c r="C180" s="1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3">
        <v>29.9</v>
      </c>
    </row>
    <row r="181" spans="1:10">
      <c r="A181" s="2">
        <v>8.06</v>
      </c>
      <c r="B181" s="1">
        <v>58.4</v>
      </c>
      <c r="C181" s="1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3">
        <v>37.200000000000003</v>
      </c>
    </row>
    <row r="182" spans="1:10">
      <c r="A182" s="2">
        <v>1.77</v>
      </c>
      <c r="B182" s="1">
        <v>83.3</v>
      </c>
      <c r="C182" s="1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3">
        <v>39.799999999999997</v>
      </c>
    </row>
    <row r="183" spans="1:10">
      <c r="A183" s="2">
        <v>2.2200000000000002</v>
      </c>
      <c r="B183" s="1">
        <v>62.2</v>
      </c>
      <c r="C183" s="1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3">
        <v>36.200000000000003</v>
      </c>
    </row>
    <row r="184" spans="1:10">
      <c r="A184" s="2">
        <v>6.17</v>
      </c>
      <c r="B184" s="1">
        <v>92.2</v>
      </c>
      <c r="C184" s="1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3">
        <v>37.9</v>
      </c>
    </row>
    <row r="185" spans="1:10">
      <c r="A185" s="2">
        <v>3.62</v>
      </c>
      <c r="B185" s="1">
        <v>95.6</v>
      </c>
      <c r="C185" s="1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3">
        <v>32.5</v>
      </c>
    </row>
    <row r="186" spans="1:10">
      <c r="A186" s="2">
        <v>5.47</v>
      </c>
      <c r="B186" s="1">
        <v>89.8</v>
      </c>
      <c r="C186" s="1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3">
        <v>26.4</v>
      </c>
    </row>
    <row r="187" spans="1:10">
      <c r="A187" s="2">
        <v>6.89</v>
      </c>
      <c r="B187" s="1">
        <v>68.8</v>
      </c>
      <c r="C187" s="1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3">
        <v>29.6</v>
      </c>
    </row>
    <row r="188" spans="1:10">
      <c r="A188" s="2">
        <v>7.23</v>
      </c>
      <c r="B188" s="1">
        <v>53.6</v>
      </c>
      <c r="C188" s="1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3">
        <v>50</v>
      </c>
    </row>
    <row r="189" spans="1:10">
      <c r="A189" s="2">
        <v>0.76</v>
      </c>
      <c r="B189" s="1">
        <v>41.1</v>
      </c>
      <c r="C189" s="1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3">
        <v>32</v>
      </c>
    </row>
    <row r="190" spans="1:10">
      <c r="A190" s="2">
        <v>3.82</v>
      </c>
      <c r="B190" s="1">
        <v>29.1</v>
      </c>
      <c r="C190" s="1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3">
        <v>29.8</v>
      </c>
    </row>
    <row r="191" spans="1:10">
      <c r="A191" s="2">
        <v>8.73</v>
      </c>
      <c r="B191" s="1">
        <v>38.9</v>
      </c>
      <c r="C191" s="1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3">
        <v>34.9</v>
      </c>
    </row>
    <row r="192" spans="1:10">
      <c r="A192" s="2">
        <v>0.62</v>
      </c>
      <c r="B192" s="1">
        <v>21.5</v>
      </c>
      <c r="C192" s="1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3">
        <v>37</v>
      </c>
    </row>
    <row r="193" spans="1:10">
      <c r="A193" s="2">
        <v>0.9</v>
      </c>
      <c r="B193" s="1">
        <v>30.8</v>
      </c>
      <c r="C193" s="1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3">
        <v>30.5</v>
      </c>
    </row>
    <row r="194" spans="1:10">
      <c r="A194" s="2">
        <v>2.7</v>
      </c>
      <c r="B194" s="1">
        <v>26.3</v>
      </c>
      <c r="C194" s="1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3">
        <v>36.4</v>
      </c>
    </row>
    <row r="195" spans="1:10">
      <c r="A195" s="2">
        <v>6.51</v>
      </c>
      <c r="B195" s="1">
        <v>9.9</v>
      </c>
      <c r="C195" s="1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3">
        <v>31.1</v>
      </c>
    </row>
    <row r="196" spans="1:10">
      <c r="A196" s="2">
        <v>1.65</v>
      </c>
      <c r="B196" s="1">
        <v>18.8</v>
      </c>
      <c r="C196" s="1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3">
        <v>29.1</v>
      </c>
    </row>
    <row r="197" spans="1:10">
      <c r="A197" s="2">
        <v>9.89</v>
      </c>
      <c r="B197" s="1">
        <v>32</v>
      </c>
      <c r="C197" s="1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3">
        <v>50</v>
      </c>
    </row>
    <row r="198" spans="1:10">
      <c r="A198" s="2">
        <v>6.03</v>
      </c>
      <c r="B198" s="1">
        <v>34.1</v>
      </c>
      <c r="C198" s="1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3">
        <v>33.299999999999997</v>
      </c>
    </row>
    <row r="199" spans="1:10">
      <c r="A199" s="2">
        <v>6.31</v>
      </c>
      <c r="B199" s="1">
        <v>36.6</v>
      </c>
      <c r="C199" s="1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3">
        <v>30.3</v>
      </c>
    </row>
    <row r="200" spans="1:10">
      <c r="A200" s="2">
        <v>9.7799999999999994</v>
      </c>
      <c r="B200" s="1">
        <v>38.299999999999997</v>
      </c>
      <c r="C200" s="1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3">
        <v>34.6</v>
      </c>
    </row>
    <row r="201" spans="1:10">
      <c r="A201" s="2">
        <v>3.19</v>
      </c>
      <c r="B201" s="1">
        <v>15.3</v>
      </c>
      <c r="C201" s="1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3">
        <v>34.9</v>
      </c>
    </row>
    <row r="202" spans="1:10">
      <c r="A202" s="2">
        <v>0.41</v>
      </c>
      <c r="B202" s="1">
        <v>13.9</v>
      </c>
      <c r="C202" s="1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3">
        <v>32.9</v>
      </c>
    </row>
    <row r="203" spans="1:10">
      <c r="A203" s="2">
        <v>1.92</v>
      </c>
      <c r="B203" s="1">
        <v>38.4</v>
      </c>
      <c r="C203" s="1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3">
        <v>24.1</v>
      </c>
    </row>
    <row r="204" spans="1:10">
      <c r="A204" s="2">
        <v>9.3000000000000007</v>
      </c>
      <c r="B204" s="1">
        <v>15.7</v>
      </c>
      <c r="C204" s="1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3">
        <v>42.3</v>
      </c>
    </row>
    <row r="205" spans="1:10">
      <c r="A205" s="2">
        <v>2.7</v>
      </c>
      <c r="B205" s="1">
        <v>33.200000000000003</v>
      </c>
      <c r="C205" s="1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3">
        <v>48.5</v>
      </c>
    </row>
    <row r="206" spans="1:10">
      <c r="A206" s="2">
        <v>9.07</v>
      </c>
      <c r="B206" s="1">
        <v>31.9</v>
      </c>
      <c r="C206" s="1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3">
        <v>50</v>
      </c>
    </row>
    <row r="207" spans="1:10">
      <c r="A207" s="2">
        <v>8.52</v>
      </c>
      <c r="B207" s="1">
        <v>22.3</v>
      </c>
      <c r="C207" s="1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3">
        <v>22.6</v>
      </c>
    </row>
    <row r="208" spans="1:10">
      <c r="A208" s="2">
        <v>0.04</v>
      </c>
      <c r="B208" s="1">
        <v>52.5</v>
      </c>
      <c r="C208" s="1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3">
        <v>24.4</v>
      </c>
    </row>
    <row r="209" spans="1:10">
      <c r="A209" s="2">
        <v>4.63</v>
      </c>
      <c r="B209" s="1">
        <v>72.7</v>
      </c>
      <c r="C209" s="1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3">
        <v>22.5</v>
      </c>
    </row>
    <row r="210" spans="1:10">
      <c r="A210" s="2">
        <v>9.11</v>
      </c>
      <c r="B210" s="1">
        <v>59.1</v>
      </c>
      <c r="C210" s="1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3">
        <v>24.4</v>
      </c>
    </row>
    <row r="211" spans="1:10">
      <c r="A211" s="2">
        <v>9.02</v>
      </c>
      <c r="B211" s="1">
        <v>100</v>
      </c>
      <c r="C211" s="1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3">
        <v>20</v>
      </c>
    </row>
    <row r="212" spans="1:10">
      <c r="A212" s="2">
        <v>9.58</v>
      </c>
      <c r="B212" s="1">
        <v>92.1</v>
      </c>
      <c r="C212" s="1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3">
        <v>21.7</v>
      </c>
    </row>
    <row r="213" spans="1:10">
      <c r="A213" s="2">
        <v>0.23</v>
      </c>
      <c r="B213" s="1">
        <v>88.6</v>
      </c>
      <c r="C213" s="1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3">
        <v>19.3</v>
      </c>
    </row>
    <row r="214" spans="1:10">
      <c r="A214" s="2">
        <v>9.31</v>
      </c>
      <c r="B214" s="1">
        <v>53.8</v>
      </c>
      <c r="C214" s="1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3">
        <v>22.4</v>
      </c>
    </row>
    <row r="215" spans="1:10">
      <c r="A215" s="2">
        <v>4.21</v>
      </c>
      <c r="B215" s="1">
        <v>32.299999999999997</v>
      </c>
      <c r="C215" s="1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3">
        <v>28.1</v>
      </c>
    </row>
    <row r="216" spans="1:10">
      <c r="A216" s="2">
        <v>3.55</v>
      </c>
      <c r="B216" s="1">
        <v>9.8000000000000007</v>
      </c>
      <c r="C216" s="1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3">
        <v>23.7</v>
      </c>
    </row>
    <row r="217" spans="1:10">
      <c r="A217" s="2">
        <v>3.54</v>
      </c>
      <c r="B217" s="1">
        <v>42.4</v>
      </c>
      <c r="C217" s="1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3">
        <v>25</v>
      </c>
    </row>
    <row r="218" spans="1:10">
      <c r="A218" s="2">
        <v>9.01</v>
      </c>
      <c r="B218" s="1">
        <v>56</v>
      </c>
      <c r="C218" s="1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3">
        <v>23.3</v>
      </c>
    </row>
    <row r="219" spans="1:10">
      <c r="A219" s="2">
        <v>7.67</v>
      </c>
      <c r="B219" s="1">
        <v>85.1</v>
      </c>
      <c r="C219" s="1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3">
        <v>28.7</v>
      </c>
    </row>
    <row r="220" spans="1:10">
      <c r="A220" s="2">
        <v>0.13</v>
      </c>
      <c r="B220" s="1">
        <v>93.8</v>
      </c>
      <c r="C220" s="1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3">
        <v>21.5</v>
      </c>
    </row>
    <row r="221" spans="1:10">
      <c r="A221" s="2">
        <v>4.49</v>
      </c>
      <c r="B221" s="1">
        <v>92.4</v>
      </c>
      <c r="C221" s="1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3">
        <v>23</v>
      </c>
    </row>
    <row r="222" spans="1:10">
      <c r="A222" s="2">
        <v>0.81</v>
      </c>
      <c r="B222" s="1">
        <v>88.5</v>
      </c>
      <c r="C222" s="1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3">
        <v>26.7</v>
      </c>
    </row>
    <row r="223" spans="1:10">
      <c r="A223" s="2">
        <v>4.91</v>
      </c>
      <c r="B223" s="1">
        <v>91.3</v>
      </c>
      <c r="C223" s="1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3">
        <v>21.7</v>
      </c>
    </row>
    <row r="224" spans="1:10">
      <c r="A224" s="2">
        <v>9.68</v>
      </c>
      <c r="B224" s="1">
        <v>77.7</v>
      </c>
      <c r="C224" s="1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3">
        <v>27.5</v>
      </c>
    </row>
    <row r="225" spans="1:10">
      <c r="A225" s="2">
        <v>5.76</v>
      </c>
      <c r="B225" s="1">
        <v>80.8</v>
      </c>
      <c r="C225" s="1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3">
        <v>30.1</v>
      </c>
    </row>
    <row r="226" spans="1:10">
      <c r="A226" s="2">
        <v>4.79</v>
      </c>
      <c r="B226" s="1">
        <v>78.3</v>
      </c>
      <c r="C226" s="1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3">
        <v>44.8</v>
      </c>
    </row>
    <row r="227" spans="1:10">
      <c r="A227" s="2">
        <v>0.55000000000000004</v>
      </c>
      <c r="B227" s="1">
        <v>83</v>
      </c>
      <c r="C227" s="1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3">
        <v>50</v>
      </c>
    </row>
    <row r="228" spans="1:10">
      <c r="A228" s="2">
        <v>4.0599999999999996</v>
      </c>
      <c r="B228" s="1">
        <v>86.5</v>
      </c>
      <c r="C228" s="1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3">
        <v>37.6</v>
      </c>
    </row>
    <row r="229" spans="1:10">
      <c r="A229" s="2">
        <v>4.45</v>
      </c>
      <c r="B229" s="1">
        <v>79.900000000000006</v>
      </c>
      <c r="C229" s="1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3">
        <v>31.6</v>
      </c>
    </row>
    <row r="230" spans="1:10">
      <c r="A230" s="2">
        <v>2.25</v>
      </c>
      <c r="B230" s="1">
        <v>17</v>
      </c>
      <c r="C230" s="1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3">
        <v>46.7</v>
      </c>
    </row>
    <row r="231" spans="1:10">
      <c r="A231" s="2">
        <v>6.63</v>
      </c>
      <c r="B231" s="1">
        <v>21.4</v>
      </c>
      <c r="C231" s="1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3">
        <v>31.5</v>
      </c>
    </row>
    <row r="232" spans="1:10">
      <c r="A232" s="2">
        <v>9.32</v>
      </c>
      <c r="B232" s="1">
        <v>68.099999999999994</v>
      </c>
      <c r="C232" s="1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3">
        <v>24.3</v>
      </c>
    </row>
    <row r="233" spans="1:10">
      <c r="A233" s="2">
        <v>5.01</v>
      </c>
      <c r="B233" s="1">
        <v>76.900000000000006</v>
      </c>
      <c r="C233" s="1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3">
        <v>31.7</v>
      </c>
    </row>
    <row r="234" spans="1:10">
      <c r="A234" s="2">
        <v>7.47</v>
      </c>
      <c r="B234" s="1">
        <v>73.3</v>
      </c>
      <c r="C234" s="1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3">
        <v>41.7</v>
      </c>
    </row>
    <row r="235" spans="1:10">
      <c r="A235" s="2">
        <v>4.7300000000000004</v>
      </c>
      <c r="B235" s="1">
        <v>70.400000000000006</v>
      </c>
      <c r="C235" s="1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3">
        <v>48.3</v>
      </c>
    </row>
    <row r="236" spans="1:10">
      <c r="A236" s="2">
        <v>2.0499999999999998</v>
      </c>
      <c r="B236" s="1">
        <v>66.5</v>
      </c>
      <c r="C236" s="1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3">
        <v>29</v>
      </c>
    </row>
    <row r="237" spans="1:10">
      <c r="A237" s="2">
        <v>7.65</v>
      </c>
      <c r="B237" s="1">
        <v>61.5</v>
      </c>
      <c r="C237" s="1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3">
        <v>24</v>
      </c>
    </row>
    <row r="238" spans="1:10">
      <c r="A238" s="2">
        <v>6.74</v>
      </c>
      <c r="B238" s="1">
        <v>76.5</v>
      </c>
      <c r="C238" s="1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3">
        <v>25.1</v>
      </c>
    </row>
    <row r="239" spans="1:10">
      <c r="A239" s="2">
        <v>7.28</v>
      </c>
      <c r="B239" s="1">
        <v>71.599999999999994</v>
      </c>
      <c r="C239" s="1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3">
        <v>31.5</v>
      </c>
    </row>
    <row r="240" spans="1:10">
      <c r="A240" s="2">
        <v>6.13</v>
      </c>
      <c r="B240" s="1">
        <v>18.5</v>
      </c>
      <c r="C240" s="1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3">
        <v>23.7</v>
      </c>
    </row>
    <row r="241" spans="1:10">
      <c r="A241" s="2">
        <v>2.58</v>
      </c>
      <c r="B241" s="1">
        <v>42.2</v>
      </c>
      <c r="C241" s="1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3">
        <v>23.3</v>
      </c>
    </row>
    <row r="242" spans="1:10">
      <c r="A242" s="2">
        <v>6.93</v>
      </c>
      <c r="B242" s="1">
        <v>54.3</v>
      </c>
      <c r="C242" s="1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3">
        <v>22</v>
      </c>
    </row>
    <row r="243" spans="1:10">
      <c r="A243" s="2">
        <v>7.25</v>
      </c>
      <c r="B243" s="1">
        <v>65.099999999999994</v>
      </c>
      <c r="C243" s="1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3">
        <v>20.100000000000001</v>
      </c>
    </row>
    <row r="244" spans="1:10">
      <c r="A244" s="2">
        <v>4.3499999999999996</v>
      </c>
      <c r="B244" s="1">
        <v>52.9</v>
      </c>
      <c r="C244" s="1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3">
        <v>22.2</v>
      </c>
    </row>
    <row r="245" spans="1:10">
      <c r="A245" s="2">
        <v>5.26</v>
      </c>
      <c r="B245" s="1">
        <v>7.8</v>
      </c>
      <c r="C245" s="1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3">
        <v>23.7</v>
      </c>
    </row>
    <row r="246" spans="1:10">
      <c r="A246" s="2">
        <v>3.64</v>
      </c>
      <c r="B246" s="1">
        <v>76.5</v>
      </c>
      <c r="C246" s="1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3">
        <v>17.600000000000001</v>
      </c>
    </row>
    <row r="247" spans="1:10">
      <c r="A247" s="2">
        <v>5.47</v>
      </c>
      <c r="B247" s="1">
        <v>70.2</v>
      </c>
      <c r="C247" s="1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3">
        <v>18.5</v>
      </c>
    </row>
    <row r="248" spans="1:10">
      <c r="A248" s="2">
        <v>4.29</v>
      </c>
      <c r="B248" s="1">
        <v>34.9</v>
      </c>
      <c r="C248" s="1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3">
        <v>24.3</v>
      </c>
    </row>
    <row r="249" spans="1:10">
      <c r="A249" s="2">
        <v>2.48</v>
      </c>
      <c r="B249" s="1">
        <v>79.2</v>
      </c>
      <c r="C249" s="1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3">
        <v>20.5</v>
      </c>
    </row>
    <row r="250" spans="1:10">
      <c r="A250" s="2">
        <v>0.69</v>
      </c>
      <c r="B250" s="1">
        <v>49.1</v>
      </c>
      <c r="C250" s="1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3">
        <v>24.5</v>
      </c>
    </row>
    <row r="251" spans="1:10">
      <c r="A251" s="2">
        <v>2.88</v>
      </c>
      <c r="B251" s="1">
        <v>17.5</v>
      </c>
      <c r="C251" s="1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3">
        <v>26.2</v>
      </c>
    </row>
    <row r="252" spans="1:10">
      <c r="A252" s="2">
        <v>9.07</v>
      </c>
      <c r="B252" s="1">
        <v>13</v>
      </c>
      <c r="C252" s="1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3">
        <v>24.4</v>
      </c>
    </row>
    <row r="253" spans="1:10">
      <c r="A253" s="2">
        <v>7.57</v>
      </c>
      <c r="B253" s="1">
        <v>8.9</v>
      </c>
      <c r="C253" s="1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3">
        <v>24.8</v>
      </c>
    </row>
    <row r="254" spans="1:10">
      <c r="A254" s="2">
        <v>7.52</v>
      </c>
      <c r="B254" s="1">
        <v>6.8</v>
      </c>
      <c r="C254" s="1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3">
        <v>29.6</v>
      </c>
    </row>
    <row r="255" spans="1:10">
      <c r="A255" s="2">
        <v>8.49</v>
      </c>
      <c r="B255" s="1">
        <v>8.4</v>
      </c>
      <c r="C255" s="1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3">
        <v>42.8</v>
      </c>
    </row>
    <row r="256" spans="1:10">
      <c r="A256" s="2">
        <v>6.19</v>
      </c>
      <c r="B256" s="1">
        <v>32</v>
      </c>
      <c r="C256" s="1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3">
        <v>21.9</v>
      </c>
    </row>
    <row r="257" spans="1:10">
      <c r="A257" s="2">
        <v>2.5</v>
      </c>
      <c r="B257" s="1">
        <v>19.100000000000001</v>
      </c>
      <c r="C257" s="1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3">
        <v>20.9</v>
      </c>
    </row>
    <row r="258" spans="1:10">
      <c r="A258" s="2">
        <v>4.1399999999999997</v>
      </c>
      <c r="B258" s="1">
        <v>34.200000000000003</v>
      </c>
      <c r="C258" s="1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3">
        <v>44</v>
      </c>
    </row>
    <row r="259" spans="1:10">
      <c r="A259" s="2">
        <v>4.5999999999999996</v>
      </c>
      <c r="B259" s="1">
        <v>86.9</v>
      </c>
      <c r="C259" s="1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3">
        <v>50</v>
      </c>
    </row>
    <row r="260" spans="1:10">
      <c r="A260" s="2">
        <v>0.12</v>
      </c>
      <c r="B260" s="1">
        <v>100</v>
      </c>
      <c r="C260" s="1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3">
        <v>36</v>
      </c>
    </row>
    <row r="261" spans="1:10">
      <c r="A261" s="2">
        <v>4.74</v>
      </c>
      <c r="B261" s="1">
        <v>100</v>
      </c>
      <c r="C261" s="1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3">
        <v>30.1</v>
      </c>
    </row>
    <row r="262" spans="1:10">
      <c r="A262" s="2">
        <v>6.51</v>
      </c>
      <c r="B262" s="1">
        <v>81.8</v>
      </c>
      <c r="C262" s="1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3">
        <v>33.799999999999997</v>
      </c>
    </row>
    <row r="263" spans="1:10">
      <c r="A263" s="2">
        <v>1.36</v>
      </c>
      <c r="B263" s="1">
        <v>89.4</v>
      </c>
      <c r="C263" s="1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3">
        <v>43.1</v>
      </c>
    </row>
    <row r="264" spans="1:10">
      <c r="A264" s="2">
        <v>3.63</v>
      </c>
      <c r="B264" s="1">
        <v>91.5</v>
      </c>
      <c r="C264" s="1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3">
        <v>48.8</v>
      </c>
    </row>
    <row r="265" spans="1:10">
      <c r="A265" s="2">
        <v>3.22</v>
      </c>
      <c r="B265" s="1">
        <v>94.5</v>
      </c>
      <c r="C265" s="1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3">
        <v>31</v>
      </c>
    </row>
    <row r="266" spans="1:10">
      <c r="A266" s="2">
        <v>7.15</v>
      </c>
      <c r="B266" s="1">
        <v>91.6</v>
      </c>
      <c r="C266" s="1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3">
        <v>36.5</v>
      </c>
    </row>
    <row r="267" spans="1:10">
      <c r="A267" s="2">
        <v>5.75</v>
      </c>
      <c r="B267" s="1">
        <v>62.8</v>
      </c>
      <c r="C267" s="1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3">
        <v>22.8</v>
      </c>
    </row>
    <row r="268" spans="1:10">
      <c r="A268" s="2">
        <v>3.44</v>
      </c>
      <c r="B268" s="1">
        <v>84.6</v>
      </c>
      <c r="C268" s="1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3">
        <v>30.7</v>
      </c>
    </row>
    <row r="269" spans="1:10">
      <c r="A269" s="2">
        <v>6.3</v>
      </c>
      <c r="B269" s="1">
        <v>67</v>
      </c>
      <c r="C269" s="1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3">
        <v>50</v>
      </c>
    </row>
    <row r="270" spans="1:10">
      <c r="A270" s="2">
        <v>1.47</v>
      </c>
      <c r="B270" s="1">
        <v>52.6</v>
      </c>
      <c r="C270" s="1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3">
        <v>43.5</v>
      </c>
    </row>
    <row r="271" spans="1:10">
      <c r="A271" s="2">
        <v>8.23</v>
      </c>
      <c r="B271" s="1">
        <v>61.5</v>
      </c>
      <c r="C271" s="1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3">
        <v>20.7</v>
      </c>
    </row>
    <row r="272" spans="1:10">
      <c r="A272" s="2">
        <v>1.83</v>
      </c>
      <c r="B272" s="1">
        <v>42.1</v>
      </c>
      <c r="C272" s="1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3">
        <v>21.1</v>
      </c>
    </row>
    <row r="273" spans="1:10">
      <c r="A273" s="2">
        <v>9.64</v>
      </c>
      <c r="B273" s="1">
        <v>16.3</v>
      </c>
      <c r="C273" s="1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3">
        <v>25.2</v>
      </c>
    </row>
    <row r="274" spans="1:10">
      <c r="A274" s="2">
        <v>7.4</v>
      </c>
      <c r="B274" s="1">
        <v>58.7</v>
      </c>
      <c r="C274" s="1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3">
        <v>24.4</v>
      </c>
    </row>
    <row r="275" spans="1:10">
      <c r="A275" s="2">
        <v>7.34</v>
      </c>
      <c r="B275" s="1">
        <v>51.8</v>
      </c>
      <c r="C275" s="1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3">
        <v>35.200000000000003</v>
      </c>
    </row>
    <row r="276" spans="1:10">
      <c r="A276" s="2">
        <v>0.33</v>
      </c>
      <c r="B276" s="1">
        <v>32.9</v>
      </c>
      <c r="C276" s="1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3">
        <v>32.4</v>
      </c>
    </row>
    <row r="277" spans="1:10">
      <c r="A277" s="2">
        <v>8.7899999999999991</v>
      </c>
      <c r="B277" s="1">
        <v>42.8</v>
      </c>
      <c r="C277" s="1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3">
        <v>32</v>
      </c>
    </row>
    <row r="278" spans="1:10">
      <c r="A278" s="2">
        <v>9.35</v>
      </c>
      <c r="B278" s="1">
        <v>49</v>
      </c>
      <c r="C278" s="1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3">
        <v>33.200000000000003</v>
      </c>
    </row>
    <row r="279" spans="1:10">
      <c r="A279" s="2">
        <v>8.7100000000000009</v>
      </c>
      <c r="B279" s="1">
        <v>27.6</v>
      </c>
      <c r="C279" s="1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3">
        <v>33.1</v>
      </c>
    </row>
    <row r="280" spans="1:10">
      <c r="A280" s="2">
        <v>0.11</v>
      </c>
      <c r="B280" s="1">
        <v>32.1</v>
      </c>
      <c r="C280" s="1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3">
        <v>29.1</v>
      </c>
    </row>
    <row r="281" spans="1:10">
      <c r="A281" s="2">
        <v>4.1100000000000003</v>
      </c>
      <c r="B281" s="1">
        <v>32.200000000000003</v>
      </c>
      <c r="C281" s="1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3">
        <v>35.1</v>
      </c>
    </row>
    <row r="282" spans="1:10">
      <c r="A282" s="2">
        <v>5.53</v>
      </c>
      <c r="B282" s="1">
        <v>64.5</v>
      </c>
      <c r="C282" s="1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3">
        <v>45.4</v>
      </c>
    </row>
    <row r="283" spans="1:10">
      <c r="A283" s="2">
        <v>7.79</v>
      </c>
      <c r="B283" s="1">
        <v>37.200000000000003</v>
      </c>
      <c r="C283" s="1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3">
        <v>35.4</v>
      </c>
    </row>
    <row r="284" spans="1:10">
      <c r="A284" s="2">
        <v>4.2699999999999996</v>
      </c>
      <c r="B284" s="1">
        <v>49.7</v>
      </c>
      <c r="C284" s="1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3">
        <v>46</v>
      </c>
    </row>
    <row r="285" spans="1:10">
      <c r="A285" s="2">
        <v>4.71</v>
      </c>
      <c r="B285" s="1">
        <v>24.8</v>
      </c>
      <c r="C285" s="1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3">
        <v>50</v>
      </c>
    </row>
    <row r="286" spans="1:10">
      <c r="A286" s="2">
        <v>6.75</v>
      </c>
      <c r="B286" s="1">
        <v>20.8</v>
      </c>
      <c r="C286" s="1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3">
        <v>32.200000000000003</v>
      </c>
    </row>
    <row r="287" spans="1:10">
      <c r="A287" s="2">
        <v>5.99</v>
      </c>
      <c r="B287" s="1">
        <v>31.9</v>
      </c>
      <c r="C287" s="1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3">
        <v>22</v>
      </c>
    </row>
    <row r="288" spans="1:10">
      <c r="A288" s="2">
        <v>9.81</v>
      </c>
      <c r="B288" s="1">
        <v>31.5</v>
      </c>
      <c r="C288" s="1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3">
        <v>20.100000000000001</v>
      </c>
    </row>
    <row r="289" spans="1:10">
      <c r="A289" s="2">
        <v>0.23</v>
      </c>
      <c r="B289" s="1">
        <v>31.3</v>
      </c>
      <c r="C289" s="1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3">
        <v>23.2</v>
      </c>
    </row>
    <row r="290" spans="1:10">
      <c r="A290" s="2">
        <v>8.49</v>
      </c>
      <c r="B290" s="1">
        <v>45.6</v>
      </c>
      <c r="C290" s="1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3">
        <v>22.3</v>
      </c>
    </row>
    <row r="291" spans="1:10">
      <c r="A291" s="2">
        <v>5.86</v>
      </c>
      <c r="B291" s="1">
        <v>22.9</v>
      </c>
      <c r="C291" s="1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3">
        <v>24.8</v>
      </c>
    </row>
    <row r="292" spans="1:10">
      <c r="A292" s="2">
        <v>0.53</v>
      </c>
      <c r="B292" s="1">
        <v>27.9</v>
      </c>
      <c r="C292" s="1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3">
        <v>28.5</v>
      </c>
    </row>
    <row r="293" spans="1:10">
      <c r="A293" s="2">
        <v>5.91</v>
      </c>
      <c r="B293" s="1">
        <v>27.7</v>
      </c>
      <c r="C293" s="1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3">
        <v>37.299999999999997</v>
      </c>
    </row>
    <row r="294" spans="1:10">
      <c r="A294" s="2">
        <v>4.96</v>
      </c>
      <c r="B294" s="1">
        <v>23.4</v>
      </c>
      <c r="C294" s="1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3">
        <v>27.9</v>
      </c>
    </row>
    <row r="295" spans="1:10">
      <c r="A295" s="2">
        <v>5.63</v>
      </c>
      <c r="B295" s="1">
        <v>18.399999999999999</v>
      </c>
      <c r="C295" s="1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3">
        <v>23.9</v>
      </c>
    </row>
    <row r="296" spans="1:10">
      <c r="A296" s="2">
        <v>5.45</v>
      </c>
      <c r="B296" s="1">
        <v>42.3</v>
      </c>
      <c r="C296" s="1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3">
        <v>21.7</v>
      </c>
    </row>
    <row r="297" spans="1:10">
      <c r="A297" s="2">
        <v>3.62</v>
      </c>
      <c r="B297" s="1">
        <v>31.1</v>
      </c>
      <c r="C297" s="1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3">
        <v>28.6</v>
      </c>
    </row>
    <row r="298" spans="1:10">
      <c r="A298" s="2">
        <v>6.58</v>
      </c>
      <c r="B298" s="1">
        <v>51</v>
      </c>
      <c r="C298" s="1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3">
        <v>27.1</v>
      </c>
    </row>
    <row r="299" spans="1:10">
      <c r="A299" s="2">
        <v>0.67</v>
      </c>
      <c r="B299" s="1">
        <v>58</v>
      </c>
      <c r="C299" s="1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3">
        <v>20.3</v>
      </c>
    </row>
    <row r="300" spans="1:10">
      <c r="A300" s="2">
        <v>2.0699999999999998</v>
      </c>
      <c r="B300" s="1">
        <v>20.100000000000001</v>
      </c>
      <c r="C300" s="1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3">
        <v>22.5</v>
      </c>
    </row>
    <row r="301" spans="1:10">
      <c r="A301" s="2">
        <v>0.84</v>
      </c>
      <c r="B301" s="1">
        <v>10</v>
      </c>
      <c r="C301" s="1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3">
        <v>29</v>
      </c>
    </row>
    <row r="302" spans="1:10">
      <c r="A302" s="2">
        <v>4.17</v>
      </c>
      <c r="B302" s="1">
        <v>47.4</v>
      </c>
      <c r="C302" s="1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3">
        <v>24.8</v>
      </c>
    </row>
    <row r="303" spans="1:10">
      <c r="A303" s="2">
        <v>0.12</v>
      </c>
      <c r="B303" s="1">
        <v>40.4</v>
      </c>
      <c r="C303" s="1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3">
        <v>22</v>
      </c>
    </row>
    <row r="304" spans="1:10">
      <c r="A304" s="2">
        <v>2.06</v>
      </c>
      <c r="B304" s="1">
        <v>18.399999999999999</v>
      </c>
      <c r="C304" s="1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3">
        <v>26.4</v>
      </c>
    </row>
    <row r="305" spans="1:10">
      <c r="A305" s="2">
        <v>4.4800000000000004</v>
      </c>
      <c r="B305" s="1">
        <v>17.7</v>
      </c>
      <c r="C305" s="1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3">
        <v>33.1</v>
      </c>
    </row>
    <row r="306" spans="1:10">
      <c r="A306" s="2">
        <v>6.45</v>
      </c>
      <c r="B306" s="1">
        <v>41.1</v>
      </c>
      <c r="C306" s="1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3">
        <v>36.1</v>
      </c>
    </row>
    <row r="307" spans="1:10">
      <c r="A307" s="2">
        <v>5.0599999999999996</v>
      </c>
      <c r="B307" s="1">
        <v>58.1</v>
      </c>
      <c r="C307" s="1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3">
        <v>28.4</v>
      </c>
    </row>
    <row r="308" spans="1:10">
      <c r="A308" s="2">
        <v>3.58</v>
      </c>
      <c r="B308" s="1">
        <v>71.900000000000006</v>
      </c>
      <c r="C308" s="1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3">
        <v>33.4</v>
      </c>
    </row>
    <row r="309" spans="1:10">
      <c r="A309" s="2">
        <v>7.98</v>
      </c>
      <c r="B309" s="1">
        <v>70.3</v>
      </c>
      <c r="C309" s="1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3">
        <v>28.2</v>
      </c>
    </row>
    <row r="310" spans="1:10">
      <c r="A310" s="2">
        <v>5.79</v>
      </c>
      <c r="B310" s="1">
        <v>82.5</v>
      </c>
      <c r="C310" s="1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3">
        <v>22.8</v>
      </c>
    </row>
    <row r="311" spans="1:10">
      <c r="A311" s="2">
        <v>4.8600000000000003</v>
      </c>
      <c r="B311" s="1">
        <v>76.7</v>
      </c>
      <c r="C311" s="1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3">
        <v>20.3</v>
      </c>
    </row>
    <row r="312" spans="1:10">
      <c r="A312" s="2">
        <v>4.6100000000000003</v>
      </c>
      <c r="B312" s="1">
        <v>37.799999999999997</v>
      </c>
      <c r="C312" s="1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3">
        <v>16.100000000000001</v>
      </c>
    </row>
    <row r="313" spans="1:10">
      <c r="A313" s="2">
        <v>1.49</v>
      </c>
      <c r="B313" s="1">
        <v>52.8</v>
      </c>
      <c r="C313" s="1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3">
        <v>22.1</v>
      </c>
    </row>
    <row r="314" spans="1:10">
      <c r="A314" s="2">
        <v>9.4</v>
      </c>
      <c r="B314" s="1">
        <v>90.4</v>
      </c>
      <c r="C314" s="1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3">
        <v>19.399999999999999</v>
      </c>
    </row>
    <row r="315" spans="1:10">
      <c r="A315" s="2">
        <v>6.84</v>
      </c>
      <c r="B315" s="1">
        <v>82.8</v>
      </c>
      <c r="C315" s="1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3">
        <v>21.6</v>
      </c>
    </row>
    <row r="316" spans="1:10">
      <c r="A316" s="2">
        <v>1.57</v>
      </c>
      <c r="B316" s="1">
        <v>87.3</v>
      </c>
      <c r="C316" s="1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3">
        <v>23.8</v>
      </c>
    </row>
    <row r="317" spans="1:10">
      <c r="A317" s="2">
        <v>0.85</v>
      </c>
      <c r="B317" s="1">
        <v>77.7</v>
      </c>
      <c r="C317" s="1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3">
        <v>16.2</v>
      </c>
    </row>
    <row r="318" spans="1:10">
      <c r="A318" s="2">
        <v>8.91</v>
      </c>
      <c r="B318" s="1">
        <v>83.2</v>
      </c>
      <c r="C318" s="1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3">
        <v>17.8</v>
      </c>
    </row>
    <row r="319" spans="1:10">
      <c r="A319" s="2">
        <v>5.09</v>
      </c>
      <c r="B319" s="1">
        <v>71.7</v>
      </c>
      <c r="C319" s="1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3">
        <v>19.8</v>
      </c>
    </row>
    <row r="320" spans="1:10">
      <c r="A320" s="2">
        <v>5.8</v>
      </c>
      <c r="B320" s="1">
        <v>67.2</v>
      </c>
      <c r="C320" s="1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3">
        <v>23.1</v>
      </c>
    </row>
    <row r="321" spans="1:10">
      <c r="A321" s="2">
        <v>4.82</v>
      </c>
      <c r="B321" s="1">
        <v>58.8</v>
      </c>
      <c r="C321" s="1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3">
        <v>21</v>
      </c>
    </row>
    <row r="322" spans="1:10">
      <c r="A322" s="2">
        <v>9.57</v>
      </c>
      <c r="B322" s="1">
        <v>52.3</v>
      </c>
      <c r="C322" s="1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3">
        <v>23.8</v>
      </c>
    </row>
    <row r="323" spans="1:10">
      <c r="A323" s="2">
        <v>8.92</v>
      </c>
      <c r="B323" s="1">
        <v>54.3</v>
      </c>
      <c r="C323" s="1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3">
        <v>23.1</v>
      </c>
    </row>
    <row r="324" spans="1:10">
      <c r="A324" s="2">
        <v>6.4</v>
      </c>
      <c r="B324" s="1">
        <v>49.9</v>
      </c>
      <c r="C324" s="1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3">
        <v>20.399999999999999</v>
      </c>
    </row>
    <row r="325" spans="1:10">
      <c r="A325" s="2">
        <v>8.9</v>
      </c>
      <c r="B325" s="1">
        <v>74.3</v>
      </c>
      <c r="C325" s="1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3">
        <v>18.5</v>
      </c>
    </row>
    <row r="326" spans="1:10">
      <c r="A326" s="2">
        <v>0.81</v>
      </c>
      <c r="B326" s="1">
        <v>40.1</v>
      </c>
      <c r="C326" s="1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3">
        <v>25</v>
      </c>
    </row>
    <row r="327" spans="1:10">
      <c r="A327" s="2">
        <v>0.52</v>
      </c>
      <c r="B327" s="1">
        <v>14.7</v>
      </c>
      <c r="C327" s="1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3">
        <v>24.6</v>
      </c>
    </row>
    <row r="328" spans="1:10">
      <c r="A328" s="2">
        <v>7.76</v>
      </c>
      <c r="B328" s="1">
        <v>28.9</v>
      </c>
      <c r="C328" s="1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3">
        <v>23</v>
      </c>
    </row>
    <row r="329" spans="1:10">
      <c r="A329" s="2">
        <v>0.35</v>
      </c>
      <c r="B329" s="1">
        <v>43.7</v>
      </c>
      <c r="C329" s="1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3">
        <v>22.2</v>
      </c>
    </row>
    <row r="330" spans="1:10">
      <c r="A330" s="2">
        <v>2.16</v>
      </c>
      <c r="B330" s="1">
        <v>25.8</v>
      </c>
      <c r="C330" s="1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3">
        <v>19.3</v>
      </c>
    </row>
    <row r="331" spans="1:10">
      <c r="A331" s="2">
        <v>0.9</v>
      </c>
      <c r="B331" s="1">
        <v>17.2</v>
      </c>
      <c r="C331" s="1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3">
        <v>22.6</v>
      </c>
    </row>
    <row r="332" spans="1:10">
      <c r="A332" s="2">
        <v>8.65</v>
      </c>
      <c r="B332" s="1">
        <v>32.200000000000003</v>
      </c>
      <c r="C332" s="1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3">
        <v>19.8</v>
      </c>
    </row>
    <row r="333" spans="1:10">
      <c r="A333" s="2">
        <v>4.5</v>
      </c>
      <c r="B333" s="1">
        <v>28.4</v>
      </c>
      <c r="C333" s="1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3">
        <v>17.100000000000001</v>
      </c>
    </row>
    <row r="334" spans="1:10">
      <c r="A334" s="2">
        <v>3.54</v>
      </c>
      <c r="B334" s="1">
        <v>23.3</v>
      </c>
      <c r="C334" s="1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3">
        <v>19.399999999999999</v>
      </c>
    </row>
    <row r="335" spans="1:10">
      <c r="A335" s="2">
        <v>5.53</v>
      </c>
      <c r="B335" s="1">
        <v>38.1</v>
      </c>
      <c r="C335" s="1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3">
        <v>22.2</v>
      </c>
    </row>
    <row r="336" spans="1:10">
      <c r="A336" s="2">
        <v>3.59</v>
      </c>
      <c r="B336" s="1">
        <v>38.5</v>
      </c>
      <c r="C336" s="1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3">
        <v>20.7</v>
      </c>
    </row>
    <row r="337" spans="1:10">
      <c r="A337" s="2">
        <v>1.19</v>
      </c>
      <c r="B337" s="1">
        <v>34.5</v>
      </c>
      <c r="C337" s="1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3">
        <v>21.1</v>
      </c>
    </row>
    <row r="338" spans="1:10">
      <c r="A338" s="2">
        <v>4.78</v>
      </c>
      <c r="B338" s="1">
        <v>46.3</v>
      </c>
      <c r="C338" s="1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3">
        <v>19.5</v>
      </c>
    </row>
    <row r="339" spans="1:10">
      <c r="A339" s="2">
        <v>5.18</v>
      </c>
      <c r="B339" s="1">
        <v>59.6</v>
      </c>
      <c r="C339" s="1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3">
        <v>18.5</v>
      </c>
    </row>
    <row r="340" spans="1:10">
      <c r="A340" s="2">
        <v>0.73</v>
      </c>
      <c r="B340" s="1">
        <v>37.299999999999997</v>
      </c>
      <c r="C340" s="1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3">
        <v>20.6</v>
      </c>
    </row>
    <row r="341" spans="1:10">
      <c r="A341" s="2">
        <v>2.17</v>
      </c>
      <c r="B341" s="1">
        <v>45.4</v>
      </c>
      <c r="C341" s="1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3">
        <v>19</v>
      </c>
    </row>
    <row r="342" spans="1:10">
      <c r="A342" s="2">
        <v>2.2999999999999998</v>
      </c>
      <c r="B342" s="1">
        <v>58.5</v>
      </c>
      <c r="C342" s="1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3">
        <v>18.7</v>
      </c>
    </row>
    <row r="343" spans="1:10">
      <c r="A343" s="2">
        <v>7.62</v>
      </c>
      <c r="B343" s="1">
        <v>49.3</v>
      </c>
      <c r="C343" s="1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3">
        <v>32.700000000000003</v>
      </c>
    </row>
    <row r="344" spans="1:10">
      <c r="A344" s="2">
        <v>4.04</v>
      </c>
      <c r="B344" s="1">
        <v>59.7</v>
      </c>
      <c r="C344" s="1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3">
        <v>16.5</v>
      </c>
    </row>
    <row r="345" spans="1:10">
      <c r="A345" s="2">
        <v>8.49</v>
      </c>
      <c r="B345" s="1">
        <v>56.4</v>
      </c>
      <c r="C345" s="1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3">
        <v>23.9</v>
      </c>
    </row>
    <row r="346" spans="1:10">
      <c r="A346" s="2">
        <v>8.07</v>
      </c>
      <c r="B346" s="1">
        <v>28.1</v>
      </c>
      <c r="C346" s="1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3">
        <v>31.2</v>
      </c>
    </row>
    <row r="347" spans="1:10">
      <c r="A347" s="2">
        <v>2.39</v>
      </c>
      <c r="B347" s="1">
        <v>48.5</v>
      </c>
      <c r="C347" s="1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3">
        <v>17.5</v>
      </c>
    </row>
    <row r="348" spans="1:10">
      <c r="A348" s="2">
        <v>0.72</v>
      </c>
      <c r="B348" s="1">
        <v>52.3</v>
      </c>
      <c r="C348" s="1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3">
        <v>17.2</v>
      </c>
    </row>
    <row r="349" spans="1:10">
      <c r="A349" s="2">
        <v>1.27</v>
      </c>
      <c r="B349" s="1">
        <v>27.7</v>
      </c>
      <c r="C349" s="1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3">
        <v>23.1</v>
      </c>
    </row>
    <row r="350" spans="1:10">
      <c r="A350" s="2">
        <v>2.69</v>
      </c>
      <c r="B350" s="1">
        <v>29.7</v>
      </c>
      <c r="C350" s="1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3">
        <v>24.5</v>
      </c>
    </row>
    <row r="351" spans="1:10">
      <c r="A351" s="2">
        <v>7.44</v>
      </c>
      <c r="B351" s="1">
        <v>34.5</v>
      </c>
      <c r="C351" s="1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3">
        <v>26.6</v>
      </c>
    </row>
    <row r="352" spans="1:10">
      <c r="A352" s="2">
        <v>6.84</v>
      </c>
      <c r="B352" s="1">
        <v>44.4</v>
      </c>
      <c r="C352" s="1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3">
        <v>22.9</v>
      </c>
    </row>
    <row r="353" spans="1:10">
      <c r="A353" s="2">
        <v>6.61</v>
      </c>
      <c r="B353" s="1">
        <v>35.9</v>
      </c>
      <c r="C353" s="1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3">
        <v>24.1</v>
      </c>
    </row>
    <row r="354" spans="1:10">
      <c r="A354" s="2">
        <v>1.27</v>
      </c>
      <c r="B354" s="1">
        <v>18.5</v>
      </c>
      <c r="C354" s="1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3">
        <v>18.600000000000001</v>
      </c>
    </row>
    <row r="355" spans="1:10">
      <c r="A355" s="2">
        <v>9.1</v>
      </c>
      <c r="B355" s="1">
        <v>36.1</v>
      </c>
      <c r="C355" s="1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3">
        <v>30.1</v>
      </c>
    </row>
    <row r="356" spans="1:10">
      <c r="A356" s="2">
        <v>1.05</v>
      </c>
      <c r="B356" s="1">
        <v>21.9</v>
      </c>
      <c r="C356" s="1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3">
        <v>18.2</v>
      </c>
    </row>
    <row r="357" spans="1:10">
      <c r="A357" s="2">
        <v>8.43</v>
      </c>
      <c r="B357" s="1">
        <v>19.5</v>
      </c>
      <c r="C357" s="1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3">
        <v>20.6</v>
      </c>
    </row>
    <row r="358" spans="1:10">
      <c r="A358" s="2">
        <v>0.96</v>
      </c>
      <c r="B358" s="1">
        <v>97.4</v>
      </c>
      <c r="C358" s="1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3">
        <v>17.8</v>
      </c>
    </row>
    <row r="359" spans="1:10">
      <c r="A359" s="2">
        <v>4.29</v>
      </c>
      <c r="B359" s="1">
        <v>91</v>
      </c>
      <c r="C359" s="1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3">
        <v>21.7</v>
      </c>
    </row>
    <row r="360" spans="1:10">
      <c r="A360" s="2">
        <v>0.38</v>
      </c>
      <c r="B360" s="1">
        <v>83.4</v>
      </c>
      <c r="C360" s="1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3">
        <v>22.7</v>
      </c>
    </row>
    <row r="361" spans="1:10">
      <c r="A361" s="2">
        <v>7.28</v>
      </c>
      <c r="B361" s="1">
        <v>81.3</v>
      </c>
      <c r="C361" s="1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3">
        <v>22.6</v>
      </c>
    </row>
    <row r="362" spans="1:10">
      <c r="A362" s="2">
        <v>4.51</v>
      </c>
      <c r="B362" s="1">
        <v>88</v>
      </c>
      <c r="C362" s="1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3">
        <v>25</v>
      </c>
    </row>
    <row r="363" spans="1:10">
      <c r="A363" s="2">
        <v>9.43</v>
      </c>
      <c r="B363" s="1">
        <v>91.1</v>
      </c>
      <c r="C363" s="1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3">
        <v>19.899999999999999</v>
      </c>
    </row>
    <row r="364" spans="1:10">
      <c r="A364" s="2">
        <v>6.12</v>
      </c>
      <c r="B364" s="1">
        <v>96.2</v>
      </c>
      <c r="C364" s="1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3">
        <v>20.8</v>
      </c>
    </row>
    <row r="365" spans="1:10">
      <c r="A365" s="2">
        <v>6.76</v>
      </c>
      <c r="B365" s="1">
        <v>89</v>
      </c>
      <c r="C365" s="1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3">
        <v>16.8</v>
      </c>
    </row>
    <row r="366" spans="1:10">
      <c r="A366" s="2">
        <v>9.99</v>
      </c>
      <c r="B366" s="1">
        <v>82.9</v>
      </c>
      <c r="C366" s="1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3">
        <v>21.9</v>
      </c>
    </row>
    <row r="367" spans="1:10">
      <c r="A367" s="2">
        <v>9.59</v>
      </c>
      <c r="B367" s="1">
        <v>87.9</v>
      </c>
      <c r="C367" s="1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3">
        <v>27.5</v>
      </c>
    </row>
    <row r="368" spans="1:10">
      <c r="A368" s="2">
        <v>5.5</v>
      </c>
      <c r="B368" s="1">
        <v>91.4</v>
      </c>
      <c r="C368" s="1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3">
        <v>21.9</v>
      </c>
    </row>
    <row r="369" spans="1:10">
      <c r="A369" s="2">
        <v>4.24</v>
      </c>
      <c r="B369" s="1">
        <v>100</v>
      </c>
      <c r="C369" s="1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3">
        <v>23.1</v>
      </c>
    </row>
    <row r="370" spans="1:10">
      <c r="A370" s="2">
        <v>7.25</v>
      </c>
      <c r="B370" s="1">
        <v>100</v>
      </c>
      <c r="C370" s="1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3">
        <v>50</v>
      </c>
    </row>
    <row r="371" spans="1:10">
      <c r="A371" s="2">
        <v>5.32</v>
      </c>
      <c r="B371" s="1">
        <v>96.8</v>
      </c>
      <c r="C371" s="1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3">
        <v>50</v>
      </c>
    </row>
    <row r="372" spans="1:10">
      <c r="A372" s="2">
        <v>7.39</v>
      </c>
      <c r="B372" s="1">
        <v>97.5</v>
      </c>
      <c r="C372" s="1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3">
        <v>50</v>
      </c>
    </row>
    <row r="373" spans="1:10">
      <c r="A373" s="2">
        <v>3.84</v>
      </c>
      <c r="B373" s="1">
        <v>100</v>
      </c>
      <c r="C373" s="1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3">
        <v>50</v>
      </c>
    </row>
    <row r="374" spans="1:10">
      <c r="A374" s="2">
        <v>1.55</v>
      </c>
      <c r="B374" s="1">
        <v>89.6</v>
      </c>
      <c r="C374" s="1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3">
        <v>50</v>
      </c>
    </row>
    <row r="375" spans="1:10">
      <c r="A375" s="2">
        <v>5.96</v>
      </c>
      <c r="B375" s="1">
        <v>100</v>
      </c>
      <c r="C375" s="1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3">
        <v>13.8</v>
      </c>
    </row>
    <row r="376" spans="1:10">
      <c r="A376" s="2">
        <v>0.71</v>
      </c>
      <c r="B376" s="1">
        <v>100</v>
      </c>
      <c r="C376" s="1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3">
        <v>13.8</v>
      </c>
    </row>
    <row r="377" spans="1:10">
      <c r="A377" s="2">
        <v>3.12</v>
      </c>
      <c r="B377" s="1">
        <v>97.9</v>
      </c>
      <c r="C377" s="1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3">
        <v>15</v>
      </c>
    </row>
    <row r="378" spans="1:10">
      <c r="A378" s="2">
        <v>5.89</v>
      </c>
      <c r="B378" s="1">
        <v>93.3</v>
      </c>
      <c r="C378" s="1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3">
        <v>13.9</v>
      </c>
    </row>
    <row r="379" spans="1:10">
      <c r="A379" s="2">
        <v>3.08</v>
      </c>
      <c r="B379" s="1">
        <v>98.8</v>
      </c>
      <c r="C379" s="1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3">
        <v>13.3</v>
      </c>
    </row>
    <row r="380" spans="1:10">
      <c r="A380" s="2">
        <v>2.82</v>
      </c>
      <c r="B380" s="1">
        <v>96.2</v>
      </c>
      <c r="C380" s="1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3">
        <v>13.1</v>
      </c>
    </row>
    <row r="381" spans="1:10">
      <c r="A381" s="2">
        <v>9.75</v>
      </c>
      <c r="B381" s="1">
        <v>100</v>
      </c>
      <c r="C381" s="1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3">
        <v>10.199999999999999</v>
      </c>
    </row>
    <row r="382" spans="1:10">
      <c r="A382" s="2">
        <v>0.21</v>
      </c>
      <c r="B382" s="1">
        <v>91.9</v>
      </c>
      <c r="C382" s="1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3">
        <v>10.4</v>
      </c>
    </row>
    <row r="383" spans="1:10">
      <c r="A383" s="2">
        <v>5.69</v>
      </c>
      <c r="B383" s="1">
        <v>99.1</v>
      </c>
      <c r="C383" s="1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3">
        <v>10.9</v>
      </c>
    </row>
    <row r="384" spans="1:10">
      <c r="A384" s="2">
        <v>7.68</v>
      </c>
      <c r="B384" s="1">
        <v>100</v>
      </c>
      <c r="C384" s="1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3">
        <v>11.3</v>
      </c>
    </row>
    <row r="385" spans="1:10">
      <c r="A385" s="2">
        <v>8.7899999999999991</v>
      </c>
      <c r="B385" s="1">
        <v>100</v>
      </c>
      <c r="C385" s="1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3">
        <v>12.3</v>
      </c>
    </row>
    <row r="386" spans="1:10">
      <c r="A386" s="2">
        <v>3.49</v>
      </c>
      <c r="B386" s="1">
        <v>91.2</v>
      </c>
      <c r="C386" s="1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3">
        <v>8.8000000000000007</v>
      </c>
    </row>
    <row r="387" spans="1:10">
      <c r="A387" s="2">
        <v>2.81</v>
      </c>
      <c r="B387" s="1">
        <v>98.1</v>
      </c>
      <c r="C387" s="1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3">
        <v>7.2</v>
      </c>
    </row>
    <row r="388" spans="1:10">
      <c r="A388" s="2">
        <v>7.47</v>
      </c>
      <c r="B388" s="1">
        <v>100</v>
      </c>
      <c r="C388" s="1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3">
        <v>10.5</v>
      </c>
    </row>
    <row r="389" spans="1:10">
      <c r="A389" s="2">
        <v>0.38</v>
      </c>
      <c r="B389" s="1">
        <v>89.5</v>
      </c>
      <c r="C389" s="1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3">
        <v>7.4</v>
      </c>
    </row>
    <row r="390" spans="1:10">
      <c r="A390" s="2">
        <v>5.7</v>
      </c>
      <c r="B390" s="1">
        <v>100</v>
      </c>
      <c r="C390" s="1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3">
        <v>10.199999999999999</v>
      </c>
    </row>
    <row r="391" spans="1:10">
      <c r="A391" s="2">
        <v>5.63</v>
      </c>
      <c r="B391" s="1">
        <v>98.9</v>
      </c>
      <c r="C391" s="1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3">
        <v>11.5</v>
      </c>
    </row>
    <row r="392" spans="1:10">
      <c r="A392" s="2">
        <v>9.56</v>
      </c>
      <c r="B392" s="1">
        <v>97</v>
      </c>
      <c r="C392" s="1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3">
        <v>15.1</v>
      </c>
    </row>
    <row r="393" spans="1:10">
      <c r="A393" s="2">
        <v>0.74</v>
      </c>
      <c r="B393" s="1">
        <v>82.5</v>
      </c>
      <c r="C393" s="1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3">
        <v>23.2</v>
      </c>
    </row>
    <row r="394" spans="1:10">
      <c r="A394" s="2">
        <v>0.06</v>
      </c>
      <c r="B394" s="1">
        <v>97</v>
      </c>
      <c r="C394" s="1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3">
        <v>9.6999999999999993</v>
      </c>
    </row>
    <row r="395" spans="1:10">
      <c r="A395" s="2">
        <v>0.46</v>
      </c>
      <c r="B395" s="1">
        <v>92.6</v>
      </c>
      <c r="C395" s="1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3">
        <v>13.8</v>
      </c>
    </row>
    <row r="396" spans="1:10">
      <c r="A396" s="2">
        <v>1.28</v>
      </c>
      <c r="B396" s="1">
        <v>94.7</v>
      </c>
      <c r="C396" s="1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3">
        <v>12.7</v>
      </c>
    </row>
    <row r="397" spans="1:10">
      <c r="A397" s="2">
        <v>5.24</v>
      </c>
      <c r="B397" s="1">
        <v>98.8</v>
      </c>
      <c r="C397" s="1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3">
        <v>13.1</v>
      </c>
    </row>
    <row r="398" spans="1:10">
      <c r="A398" s="2">
        <v>4.78</v>
      </c>
      <c r="B398" s="1">
        <v>96</v>
      </c>
      <c r="C398" s="1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3">
        <v>12.5</v>
      </c>
    </row>
    <row r="399" spans="1:10">
      <c r="A399" s="2">
        <v>5.8</v>
      </c>
      <c r="B399" s="1">
        <v>98.9</v>
      </c>
      <c r="C399" s="1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3">
        <v>8.5</v>
      </c>
    </row>
    <row r="400" spans="1:10">
      <c r="A400" s="2">
        <v>1.22</v>
      </c>
      <c r="B400" s="1">
        <v>100</v>
      </c>
      <c r="C400" s="1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3">
        <v>5</v>
      </c>
    </row>
    <row r="401" spans="1:10">
      <c r="A401" s="2">
        <v>5.93</v>
      </c>
      <c r="B401" s="1">
        <v>77.8</v>
      </c>
      <c r="C401" s="1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3">
        <v>6.3</v>
      </c>
    </row>
    <row r="402" spans="1:10">
      <c r="A402" s="2">
        <v>4.1399999999999997</v>
      </c>
      <c r="B402" s="1">
        <v>100</v>
      </c>
      <c r="C402" s="1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3">
        <v>5.6</v>
      </c>
    </row>
    <row r="403" spans="1:10">
      <c r="A403" s="2">
        <v>1.3</v>
      </c>
      <c r="B403" s="1">
        <v>100</v>
      </c>
      <c r="C403" s="1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3">
        <v>7.2</v>
      </c>
    </row>
    <row r="404" spans="1:10">
      <c r="A404" s="2">
        <v>8.65</v>
      </c>
      <c r="B404" s="1">
        <v>100</v>
      </c>
      <c r="C404" s="1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3">
        <v>12.1</v>
      </c>
    </row>
    <row r="405" spans="1:10">
      <c r="A405" s="2">
        <v>4</v>
      </c>
      <c r="B405" s="1">
        <v>96</v>
      </c>
      <c r="C405" s="1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3">
        <v>8.3000000000000007</v>
      </c>
    </row>
    <row r="406" spans="1:10">
      <c r="A406" s="2">
        <v>0.74</v>
      </c>
      <c r="B406" s="1">
        <v>85.4</v>
      </c>
      <c r="C406" s="1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3">
        <v>8.5</v>
      </c>
    </row>
    <row r="407" spans="1:10">
      <c r="A407" s="2">
        <v>1.1599999999999999</v>
      </c>
      <c r="B407" s="1">
        <v>100</v>
      </c>
      <c r="C407" s="1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3">
        <v>5</v>
      </c>
    </row>
    <row r="408" spans="1:10">
      <c r="A408" s="2">
        <v>4.8899999999999997</v>
      </c>
      <c r="B408" s="1">
        <v>100</v>
      </c>
      <c r="C408" s="1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3">
        <v>11.9</v>
      </c>
    </row>
    <row r="409" spans="1:10">
      <c r="A409" s="2">
        <v>1.65</v>
      </c>
      <c r="B409" s="1">
        <v>100</v>
      </c>
      <c r="C409" s="1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3">
        <v>27.9</v>
      </c>
    </row>
    <row r="410" spans="1:10">
      <c r="A410" s="2">
        <v>5.75</v>
      </c>
      <c r="B410" s="1">
        <v>97.9</v>
      </c>
      <c r="C410" s="1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3">
        <v>17.2</v>
      </c>
    </row>
    <row r="411" spans="1:10">
      <c r="A411" s="2">
        <v>8.1300000000000008</v>
      </c>
      <c r="B411" s="1">
        <v>100</v>
      </c>
      <c r="C411" s="1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3">
        <v>27.5</v>
      </c>
    </row>
    <row r="412" spans="1:10">
      <c r="A412" s="2">
        <v>5</v>
      </c>
      <c r="B412" s="1">
        <v>100</v>
      </c>
      <c r="C412" s="1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3">
        <v>15</v>
      </c>
    </row>
    <row r="413" spans="1:10">
      <c r="A413" s="2">
        <v>5.84</v>
      </c>
      <c r="B413" s="1">
        <v>100</v>
      </c>
      <c r="C413" s="1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3">
        <v>17.2</v>
      </c>
    </row>
    <row r="414" spans="1:10">
      <c r="A414" s="2">
        <v>4.47</v>
      </c>
      <c r="B414" s="1">
        <v>100</v>
      </c>
      <c r="C414" s="1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3">
        <v>17.899999999999999</v>
      </c>
    </row>
    <row r="415" spans="1:10">
      <c r="A415" s="2">
        <v>1.83</v>
      </c>
      <c r="B415" s="1">
        <v>100</v>
      </c>
      <c r="C415" s="1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3">
        <v>16.3</v>
      </c>
    </row>
    <row r="416" spans="1:10">
      <c r="A416" s="2">
        <v>9.83</v>
      </c>
      <c r="B416" s="1">
        <v>100</v>
      </c>
      <c r="C416" s="1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3">
        <v>7</v>
      </c>
    </row>
    <row r="417" spans="1:10">
      <c r="A417" s="2">
        <v>8.66</v>
      </c>
      <c r="B417" s="1">
        <v>100</v>
      </c>
      <c r="C417" s="1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3">
        <v>7.2</v>
      </c>
    </row>
    <row r="418" spans="1:10">
      <c r="A418" s="2">
        <v>9.66</v>
      </c>
      <c r="B418" s="1">
        <v>90.8</v>
      </c>
      <c r="C418" s="1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3">
        <v>7.5</v>
      </c>
    </row>
    <row r="419" spans="1:10">
      <c r="A419" s="2">
        <v>9.82</v>
      </c>
      <c r="B419" s="1">
        <v>89.1</v>
      </c>
      <c r="C419" s="1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3">
        <v>10.4</v>
      </c>
    </row>
    <row r="420" spans="1:10">
      <c r="A420" s="2">
        <v>6.11</v>
      </c>
      <c r="B420" s="1">
        <v>100</v>
      </c>
      <c r="C420" s="1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3">
        <v>8.8000000000000007</v>
      </c>
    </row>
    <row r="421" spans="1:10">
      <c r="A421" s="2">
        <v>5.26</v>
      </c>
      <c r="B421" s="1">
        <v>76.5</v>
      </c>
      <c r="C421" s="1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3">
        <v>8.4</v>
      </c>
    </row>
    <row r="422" spans="1:10">
      <c r="A422" s="2">
        <v>3.8</v>
      </c>
      <c r="B422" s="1">
        <v>100</v>
      </c>
      <c r="C422" s="1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3">
        <v>16.7</v>
      </c>
    </row>
    <row r="423" spans="1:10">
      <c r="A423" s="2">
        <v>0.1</v>
      </c>
      <c r="B423" s="1">
        <v>95.3</v>
      </c>
      <c r="C423" s="1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3">
        <v>14.2</v>
      </c>
    </row>
    <row r="424" spans="1:10">
      <c r="A424" s="2">
        <v>7.09</v>
      </c>
      <c r="B424" s="1">
        <v>87.6</v>
      </c>
      <c r="C424" s="1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3">
        <v>20.8</v>
      </c>
    </row>
    <row r="425" spans="1:10">
      <c r="A425" s="2">
        <v>2.08</v>
      </c>
      <c r="B425" s="1">
        <v>85.1</v>
      </c>
      <c r="C425" s="1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3">
        <v>13.4</v>
      </c>
    </row>
    <row r="426" spans="1:10">
      <c r="A426" s="2">
        <v>6.32</v>
      </c>
      <c r="B426" s="1">
        <v>70.599999999999994</v>
      </c>
      <c r="C426" s="1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3">
        <v>11.7</v>
      </c>
    </row>
    <row r="427" spans="1:10">
      <c r="A427" s="2">
        <v>1.71</v>
      </c>
      <c r="B427" s="1">
        <v>95.4</v>
      </c>
      <c r="C427" s="1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3">
        <v>8.3000000000000007</v>
      </c>
    </row>
    <row r="428" spans="1:10">
      <c r="A428" s="2">
        <v>4.53</v>
      </c>
      <c r="B428" s="1">
        <v>59.7</v>
      </c>
      <c r="C428" s="1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3">
        <v>10.199999999999999</v>
      </c>
    </row>
    <row r="429" spans="1:10">
      <c r="A429" s="2">
        <v>2.64</v>
      </c>
      <c r="B429" s="1">
        <v>78.7</v>
      </c>
      <c r="C429" s="1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3">
        <v>10.9</v>
      </c>
    </row>
    <row r="430" spans="1:10">
      <c r="A430" s="2">
        <v>1.78</v>
      </c>
      <c r="B430" s="1">
        <v>78.099999999999994</v>
      </c>
      <c r="C430" s="1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3">
        <v>11</v>
      </c>
    </row>
    <row r="431" spans="1:10">
      <c r="A431" s="2">
        <v>6.23</v>
      </c>
      <c r="B431" s="1">
        <v>95.6</v>
      </c>
      <c r="C431" s="1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3">
        <v>9.5</v>
      </c>
    </row>
    <row r="432" spans="1:10">
      <c r="A432" s="2">
        <v>5.24</v>
      </c>
      <c r="B432" s="1">
        <v>86.1</v>
      </c>
      <c r="C432" s="1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3">
        <v>14.5</v>
      </c>
    </row>
    <row r="433" spans="1:10">
      <c r="A433" s="2">
        <v>6.65</v>
      </c>
      <c r="B433" s="1">
        <v>94.3</v>
      </c>
      <c r="C433" s="1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3">
        <v>14.1</v>
      </c>
    </row>
    <row r="434" spans="1:10">
      <c r="A434" s="2">
        <v>4.09</v>
      </c>
      <c r="B434" s="1">
        <v>74.8</v>
      </c>
      <c r="C434" s="1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3">
        <v>16.100000000000001</v>
      </c>
    </row>
    <row r="435" spans="1:10">
      <c r="A435" s="2">
        <v>2.19</v>
      </c>
      <c r="B435" s="1">
        <v>87.9</v>
      </c>
      <c r="C435" s="1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3">
        <v>14.3</v>
      </c>
    </row>
    <row r="436" spans="1:10">
      <c r="A436" s="2">
        <v>3.14</v>
      </c>
      <c r="B436" s="1">
        <v>95</v>
      </c>
      <c r="C436" s="1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3">
        <v>11.7</v>
      </c>
    </row>
    <row r="437" spans="1:10">
      <c r="A437" s="2">
        <v>0.75</v>
      </c>
      <c r="B437" s="1">
        <v>94.6</v>
      </c>
      <c r="C437" s="1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3">
        <v>13.4</v>
      </c>
    </row>
    <row r="438" spans="1:10">
      <c r="A438" s="2">
        <v>9.76</v>
      </c>
      <c r="B438" s="1">
        <v>93.3</v>
      </c>
      <c r="C438" s="1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3">
        <v>9.6</v>
      </c>
    </row>
    <row r="439" spans="1:10">
      <c r="A439" s="2">
        <v>5.53</v>
      </c>
      <c r="B439" s="1">
        <v>100</v>
      </c>
      <c r="C439" s="1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3">
        <v>8.6999999999999993</v>
      </c>
    </row>
    <row r="440" spans="1:10">
      <c r="A440" s="2">
        <v>7.63</v>
      </c>
      <c r="B440" s="1">
        <v>87.9</v>
      </c>
      <c r="C440" s="1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3">
        <v>8.4</v>
      </c>
    </row>
    <row r="441" spans="1:10">
      <c r="A441" s="2">
        <v>4.0199999999999996</v>
      </c>
      <c r="B441" s="1">
        <v>93.9</v>
      </c>
      <c r="C441" s="1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3">
        <v>12.8</v>
      </c>
    </row>
    <row r="442" spans="1:10">
      <c r="A442" s="2">
        <v>6.58</v>
      </c>
      <c r="B442" s="1">
        <v>92.4</v>
      </c>
      <c r="C442" s="1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3">
        <v>10.5</v>
      </c>
    </row>
    <row r="443" spans="1:10">
      <c r="A443" s="2">
        <v>5.66</v>
      </c>
      <c r="B443" s="1">
        <v>97.2</v>
      </c>
      <c r="C443" s="1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3">
        <v>17.100000000000001</v>
      </c>
    </row>
    <row r="444" spans="1:10">
      <c r="A444" s="2">
        <v>2.64</v>
      </c>
      <c r="B444" s="1">
        <v>100</v>
      </c>
      <c r="C444" s="1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3">
        <v>18.399999999999999</v>
      </c>
    </row>
    <row r="445" spans="1:10">
      <c r="A445" s="2">
        <v>3.26</v>
      </c>
      <c r="B445" s="1">
        <v>100</v>
      </c>
      <c r="C445" s="1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3">
        <v>15.4</v>
      </c>
    </row>
    <row r="446" spans="1:10">
      <c r="A446" s="2">
        <v>8.93</v>
      </c>
      <c r="B446" s="1">
        <v>96.6</v>
      </c>
      <c r="C446" s="1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3">
        <v>10.8</v>
      </c>
    </row>
    <row r="447" spans="1:10">
      <c r="A447" s="2">
        <v>7.0000000000000007E-2</v>
      </c>
      <c r="B447" s="1">
        <v>94.8</v>
      </c>
      <c r="C447" s="1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3">
        <v>11.8</v>
      </c>
    </row>
    <row r="448" spans="1:10">
      <c r="A448" s="2">
        <v>9.5399999999999991</v>
      </c>
      <c r="B448" s="1">
        <v>96.4</v>
      </c>
      <c r="C448" s="1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3">
        <v>14.9</v>
      </c>
    </row>
    <row r="449" spans="1:10">
      <c r="A449" s="2">
        <v>6.36</v>
      </c>
      <c r="B449" s="1">
        <v>96.6</v>
      </c>
      <c r="C449" s="1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3">
        <v>12.6</v>
      </c>
    </row>
    <row r="450" spans="1:10">
      <c r="A450" s="2">
        <v>7.8</v>
      </c>
      <c r="B450" s="1">
        <v>98.7</v>
      </c>
      <c r="C450" s="1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3">
        <v>14.1</v>
      </c>
    </row>
    <row r="451" spans="1:10">
      <c r="A451" s="2">
        <v>3.67</v>
      </c>
      <c r="B451" s="1">
        <v>98.3</v>
      </c>
      <c r="C451" s="1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3">
        <v>13</v>
      </c>
    </row>
    <row r="452" spans="1:10">
      <c r="A452" s="2">
        <v>0.75</v>
      </c>
      <c r="B452" s="1">
        <v>92.6</v>
      </c>
      <c r="C452" s="1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3">
        <v>13.4</v>
      </c>
    </row>
    <row r="453" spans="1:10">
      <c r="A453" s="2">
        <v>7.52</v>
      </c>
      <c r="B453" s="1">
        <v>98.2</v>
      </c>
      <c r="C453" s="1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3">
        <v>15.2</v>
      </c>
    </row>
    <row r="454" spans="1:10">
      <c r="A454" s="2">
        <v>9.14</v>
      </c>
      <c r="B454" s="1">
        <v>91.8</v>
      </c>
      <c r="C454" s="1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3">
        <v>16.100000000000001</v>
      </c>
    </row>
    <row r="455" spans="1:10">
      <c r="A455" s="2">
        <v>4.82</v>
      </c>
      <c r="B455" s="1">
        <v>99.3</v>
      </c>
      <c r="C455" s="1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3">
        <v>17.8</v>
      </c>
    </row>
    <row r="456" spans="1:10">
      <c r="A456" s="2">
        <v>3.43</v>
      </c>
      <c r="B456" s="1">
        <v>94.1</v>
      </c>
      <c r="C456" s="1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3">
        <v>14.9</v>
      </c>
    </row>
    <row r="457" spans="1:10">
      <c r="A457" s="2">
        <v>8.41</v>
      </c>
      <c r="B457" s="1">
        <v>86.5</v>
      </c>
      <c r="C457" s="1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3">
        <v>14.1</v>
      </c>
    </row>
    <row r="458" spans="1:10">
      <c r="A458" s="2">
        <v>8.74</v>
      </c>
      <c r="B458" s="1">
        <v>87.9</v>
      </c>
      <c r="C458" s="1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3">
        <v>12.7</v>
      </c>
    </row>
    <row r="459" spans="1:10">
      <c r="A459" s="2">
        <v>0.71</v>
      </c>
      <c r="B459" s="1">
        <v>80.3</v>
      </c>
      <c r="C459" s="1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3">
        <v>13.5</v>
      </c>
    </row>
    <row r="460" spans="1:10">
      <c r="A460" s="2">
        <v>2.99</v>
      </c>
      <c r="B460" s="1">
        <v>83.7</v>
      </c>
      <c r="C460" s="1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3">
        <v>14.9</v>
      </c>
    </row>
    <row r="461" spans="1:10">
      <c r="A461" s="2">
        <v>7.81</v>
      </c>
      <c r="B461" s="1">
        <v>84.4</v>
      </c>
      <c r="C461" s="1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3">
        <v>20</v>
      </c>
    </row>
    <row r="462" spans="1:10">
      <c r="A462" s="2">
        <v>1.36</v>
      </c>
      <c r="B462" s="1">
        <v>90</v>
      </c>
      <c r="C462" s="1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3">
        <v>16.399999999999999</v>
      </c>
    </row>
    <row r="463" spans="1:10">
      <c r="A463" s="2">
        <v>6.46</v>
      </c>
      <c r="B463" s="1">
        <v>88.4</v>
      </c>
      <c r="C463" s="1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3">
        <v>17.7</v>
      </c>
    </row>
    <row r="464" spans="1:10">
      <c r="A464" s="2">
        <v>3.43</v>
      </c>
      <c r="B464" s="1">
        <v>83</v>
      </c>
      <c r="C464" s="1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3">
        <v>19.5</v>
      </c>
    </row>
    <row r="465" spans="1:11">
      <c r="A465" s="2">
        <v>3.5</v>
      </c>
      <c r="B465" s="1">
        <v>89.9</v>
      </c>
      <c r="C465" s="1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3">
        <v>20.2</v>
      </c>
    </row>
    <row r="466" spans="1:11">
      <c r="A466" s="2">
        <v>3.22</v>
      </c>
      <c r="B466" s="1">
        <v>65.400000000000006</v>
      </c>
      <c r="C466" s="1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3">
        <v>21.4</v>
      </c>
    </row>
    <row r="467" spans="1:11">
      <c r="A467" s="2">
        <v>6.65</v>
      </c>
      <c r="B467" s="1">
        <v>48.2</v>
      </c>
      <c r="C467" s="1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3">
        <v>19.899999999999999</v>
      </c>
    </row>
    <row r="468" spans="1:11">
      <c r="A468" s="2">
        <v>9.25</v>
      </c>
      <c r="B468" s="1">
        <v>84.7</v>
      </c>
      <c r="C468" s="1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3">
        <v>19</v>
      </c>
    </row>
    <row r="469" spans="1:11">
      <c r="A469" s="2">
        <v>8.9600000000000009</v>
      </c>
      <c r="B469" s="1">
        <v>94.5</v>
      </c>
      <c r="C469" s="1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3">
        <v>19.100000000000001</v>
      </c>
    </row>
    <row r="470" spans="1:11">
      <c r="A470" s="2">
        <v>7.56</v>
      </c>
      <c r="B470" s="1">
        <v>71</v>
      </c>
      <c r="C470" s="1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3">
        <v>19.100000000000001</v>
      </c>
    </row>
    <row r="471" spans="1:11">
      <c r="A471" s="2">
        <v>4.9800000000000004</v>
      </c>
      <c r="B471" s="1">
        <v>56.7</v>
      </c>
      <c r="C471" s="1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3">
        <v>20.100000000000001</v>
      </c>
    </row>
    <row r="472" spans="1:11">
      <c r="A472" s="2">
        <v>8.5299999999999994</v>
      </c>
      <c r="B472" s="1">
        <v>84</v>
      </c>
      <c r="C472" s="1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3">
        <v>19.899999999999999</v>
      </c>
    </row>
    <row r="473" spans="1:11">
      <c r="A473" s="2">
        <v>5.61</v>
      </c>
      <c r="B473" s="1">
        <v>90.7</v>
      </c>
      <c r="C473" s="1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3">
        <v>19.600000000000001</v>
      </c>
    </row>
    <row r="474" spans="1:11">
      <c r="A474" s="2">
        <v>1.05</v>
      </c>
      <c r="B474" s="1">
        <v>75</v>
      </c>
      <c r="C474" s="1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3">
        <v>23.2</v>
      </c>
    </row>
    <row r="475" spans="1:11">
      <c r="A475" s="2">
        <v>2</v>
      </c>
      <c r="B475" s="1">
        <v>67.599999999999994</v>
      </c>
      <c r="C475" s="1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3">
        <v>29.8</v>
      </c>
    </row>
    <row r="476" spans="1:11">
      <c r="A476" s="2">
        <v>6.14</v>
      </c>
      <c r="B476" s="1">
        <v>95.4</v>
      </c>
      <c r="C476" s="1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3">
        <v>13.8</v>
      </c>
    </row>
    <row r="477" spans="1:11">
      <c r="A477" s="2">
        <v>1.05</v>
      </c>
      <c r="B477" s="1">
        <v>97.4</v>
      </c>
      <c r="C477" s="1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3">
        <v>13.3</v>
      </c>
    </row>
    <row r="478" spans="1:11">
      <c r="A478" s="2">
        <v>2.87</v>
      </c>
      <c r="B478" s="1">
        <v>93.6</v>
      </c>
      <c r="C478" s="1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3">
        <v>16.7</v>
      </c>
    </row>
    <row r="479" spans="1:11">
      <c r="A479" s="2">
        <v>1.42</v>
      </c>
      <c r="B479" s="1">
        <v>97.3</v>
      </c>
      <c r="C479" s="1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3">
        <v>12</v>
      </c>
    </row>
    <row r="480" spans="1:11">
      <c r="A480" s="2">
        <v>3.43</v>
      </c>
      <c r="B480" s="1">
        <v>96.7</v>
      </c>
      <c r="C480" s="1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3">
        <v>14.6</v>
      </c>
      <c r="K480">
        <v>5</v>
      </c>
    </row>
    <row r="481" spans="1:10">
      <c r="A481" s="2">
        <v>6.57</v>
      </c>
      <c r="B481" s="1">
        <v>88</v>
      </c>
      <c r="C481" s="1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3">
        <v>21.4</v>
      </c>
    </row>
    <row r="482" spans="1:10">
      <c r="A482" s="2">
        <v>1.18</v>
      </c>
      <c r="B482" s="1">
        <v>64.7</v>
      </c>
      <c r="C482" s="1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3">
        <v>23</v>
      </c>
    </row>
    <row r="483" spans="1:10">
      <c r="A483" s="2">
        <v>4.82</v>
      </c>
      <c r="B483" s="1">
        <v>74.900000000000006</v>
      </c>
      <c r="C483" s="1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3">
        <v>23.7</v>
      </c>
    </row>
    <row r="484" spans="1:10">
      <c r="A484" s="2">
        <v>2.66</v>
      </c>
      <c r="B484" s="1">
        <v>77</v>
      </c>
      <c r="C484" s="1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3">
        <v>25</v>
      </c>
    </row>
    <row r="485" spans="1:10">
      <c r="A485" s="2">
        <v>3.65</v>
      </c>
      <c r="B485" s="1">
        <v>40.299999999999997</v>
      </c>
      <c r="C485" s="1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3">
        <v>21.8</v>
      </c>
    </row>
    <row r="486" spans="1:10">
      <c r="A486" s="2">
        <v>9.11</v>
      </c>
      <c r="B486" s="1">
        <v>41.9</v>
      </c>
      <c r="C486" s="1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3">
        <v>20.6</v>
      </c>
    </row>
    <row r="487" spans="1:10">
      <c r="A487" s="2">
        <v>7.26</v>
      </c>
      <c r="B487" s="1">
        <v>51.9</v>
      </c>
      <c r="C487" s="1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3">
        <v>21.2</v>
      </c>
    </row>
    <row r="488" spans="1:10">
      <c r="A488" s="2">
        <v>5.14</v>
      </c>
      <c r="B488" s="1">
        <v>79.8</v>
      </c>
      <c r="C488" s="1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3">
        <v>19.100000000000001</v>
      </c>
    </row>
    <row r="489" spans="1:10">
      <c r="A489" s="2">
        <v>4.1399999999999997</v>
      </c>
      <c r="B489" s="1">
        <v>53.2</v>
      </c>
      <c r="C489" s="1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3">
        <v>20.6</v>
      </c>
    </row>
    <row r="490" spans="1:10">
      <c r="A490" s="2">
        <v>0.2</v>
      </c>
      <c r="B490" s="1">
        <v>92.7</v>
      </c>
      <c r="C490" s="1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3">
        <v>15.2</v>
      </c>
    </row>
    <row r="491" spans="1:10">
      <c r="A491" s="2">
        <v>9.02</v>
      </c>
      <c r="B491" s="1">
        <v>98.3</v>
      </c>
      <c r="C491" s="1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3">
        <v>7</v>
      </c>
    </row>
    <row r="492" spans="1:10">
      <c r="A492" s="2">
        <v>5.98</v>
      </c>
      <c r="B492" s="1">
        <v>98</v>
      </c>
      <c r="C492" s="1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3">
        <v>8.1</v>
      </c>
    </row>
    <row r="493" spans="1:10">
      <c r="A493" s="2">
        <v>1.43</v>
      </c>
      <c r="B493" s="1">
        <v>98.8</v>
      </c>
      <c r="C493" s="1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3">
        <v>13.6</v>
      </c>
    </row>
    <row r="494" spans="1:10">
      <c r="A494" s="2">
        <v>4.49</v>
      </c>
      <c r="B494" s="1">
        <v>83.5</v>
      </c>
      <c r="C494" s="1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3">
        <v>20.100000000000001</v>
      </c>
    </row>
    <row r="495" spans="1:10">
      <c r="A495" s="2">
        <v>8.6199999999999992</v>
      </c>
      <c r="B495" s="1">
        <v>54</v>
      </c>
      <c r="C495" s="1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3">
        <v>21.8</v>
      </c>
    </row>
    <row r="496" spans="1:10">
      <c r="A496" s="2">
        <v>3.43</v>
      </c>
      <c r="B496" s="1">
        <v>42.6</v>
      </c>
      <c r="C496" s="1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3">
        <v>24.5</v>
      </c>
    </row>
    <row r="497" spans="1:10">
      <c r="A497" s="2">
        <v>7.02</v>
      </c>
      <c r="B497" s="1">
        <v>28.8</v>
      </c>
      <c r="C497" s="1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3">
        <v>23.1</v>
      </c>
    </row>
    <row r="498" spans="1:10">
      <c r="A498" s="2">
        <v>6.43</v>
      </c>
      <c r="B498" s="1">
        <v>72.900000000000006</v>
      </c>
      <c r="C498" s="1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3">
        <v>19.7</v>
      </c>
    </row>
    <row r="499" spans="1:10">
      <c r="A499" s="2">
        <v>9.0399999999999991</v>
      </c>
      <c r="B499" s="1">
        <v>70.599999999999994</v>
      </c>
      <c r="C499" s="1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3">
        <v>18.3</v>
      </c>
    </row>
    <row r="500" spans="1:10">
      <c r="A500" s="2">
        <v>3.49</v>
      </c>
      <c r="B500" s="1">
        <v>65.3</v>
      </c>
      <c r="C500" s="1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3">
        <v>21.2</v>
      </c>
    </row>
    <row r="501" spans="1:10">
      <c r="A501" s="2">
        <v>2.37</v>
      </c>
      <c r="B501" s="1">
        <v>73.5</v>
      </c>
      <c r="C501" s="1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3">
        <v>17.5</v>
      </c>
    </row>
    <row r="502" spans="1:10">
      <c r="A502" s="2">
        <v>3</v>
      </c>
      <c r="B502" s="1">
        <v>79.7</v>
      </c>
      <c r="C502" s="1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3">
        <v>16.8</v>
      </c>
    </row>
    <row r="503" spans="1:10">
      <c r="A503" s="2">
        <v>4.4800000000000004</v>
      </c>
      <c r="B503" s="1">
        <v>69.099999999999994</v>
      </c>
      <c r="C503" s="1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3">
        <v>22.4</v>
      </c>
    </row>
    <row r="504" spans="1:10">
      <c r="A504" s="2">
        <v>0.46</v>
      </c>
      <c r="B504" s="1">
        <v>76.7</v>
      </c>
      <c r="C504" s="1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3">
        <v>20.6</v>
      </c>
    </row>
    <row r="505" spans="1:10">
      <c r="A505" s="2">
        <v>9.42</v>
      </c>
      <c r="B505" s="1">
        <v>91</v>
      </c>
      <c r="C505" s="1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3">
        <v>23.9</v>
      </c>
    </row>
    <row r="506" spans="1:10">
      <c r="A506" s="2">
        <v>6.94</v>
      </c>
      <c r="B506" s="1">
        <v>89.3</v>
      </c>
      <c r="C506" s="1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3">
        <v>22</v>
      </c>
    </row>
    <row r="507" spans="1:10">
      <c r="A507" s="7">
        <v>9.5399999999999991</v>
      </c>
      <c r="B507" s="1">
        <v>80.8</v>
      </c>
      <c r="C507" s="1">
        <v>11.93</v>
      </c>
      <c r="D507" s="8">
        <v>0.57299999999999995</v>
      </c>
      <c r="E507" s="8">
        <v>1</v>
      </c>
      <c r="F507" s="8">
        <v>273</v>
      </c>
      <c r="G507" s="8">
        <v>21</v>
      </c>
      <c r="H507" s="8">
        <v>6.03</v>
      </c>
      <c r="I507" s="8">
        <v>7.88</v>
      </c>
      <c r="J507" s="9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196B-7795-8747-A6E6-D8DECACF26C7}">
  <dimension ref="A1:R395"/>
  <sheetViews>
    <sheetView tabSelected="1" topLeftCell="A374" zoomScale="125" workbookViewId="0">
      <selection activeCell="J241" sqref="J241"/>
    </sheetView>
  </sheetViews>
  <sheetFormatPr baseColWidth="10" defaultRowHeight="15"/>
  <cols>
    <col min="1" max="1" width="12.83203125" bestFit="1" customWidth="1"/>
    <col min="2" max="2" width="11.5" customWidth="1"/>
    <col min="3" max="3" width="24.33203125" customWidth="1"/>
    <col min="4" max="4" width="11.83203125" customWidth="1"/>
    <col min="5" max="5" width="11.5" customWidth="1"/>
    <col min="6" max="6" width="14.1640625" customWidth="1"/>
    <col min="7" max="7" width="9.83203125" customWidth="1"/>
    <col min="8" max="8" width="10.33203125" customWidth="1"/>
    <col min="9" max="10" width="10.83203125" customWidth="1"/>
    <col min="11" max="11" width="12" customWidth="1"/>
    <col min="12" max="12" width="10.33203125" customWidth="1"/>
    <col min="23" max="23" width="13.6640625" bestFit="1" customWidth="1"/>
  </cols>
  <sheetData>
    <row r="1" spans="1:16">
      <c r="A1" t="s">
        <v>10</v>
      </c>
    </row>
    <row r="2" spans="1:16" ht="21" thickBot="1">
      <c r="B2" s="15" t="s">
        <v>11</v>
      </c>
      <c r="N2" s="34"/>
      <c r="O2" s="34"/>
      <c r="P2" s="34"/>
    </row>
    <row r="3" spans="1:16" ht="16" thickTop="1">
      <c r="C3" s="17" t="s">
        <v>12</v>
      </c>
      <c r="D3" s="14" t="s">
        <v>6</v>
      </c>
      <c r="E3" s="14" t="s">
        <v>0</v>
      </c>
      <c r="F3" s="14" t="s">
        <v>1</v>
      </c>
      <c r="G3" s="14" t="s">
        <v>2</v>
      </c>
      <c r="H3" s="14" t="s">
        <v>7</v>
      </c>
      <c r="I3" s="14" t="s">
        <v>3</v>
      </c>
      <c r="J3" s="14" t="s">
        <v>4</v>
      </c>
      <c r="K3" s="14" t="s">
        <v>8</v>
      </c>
      <c r="L3" s="14" t="s">
        <v>5</v>
      </c>
      <c r="M3" s="14" t="s">
        <v>9</v>
      </c>
    </row>
    <row r="4" spans="1:16" ht="16">
      <c r="C4" s="36" t="s">
        <v>13</v>
      </c>
      <c r="D4">
        <f>AVERAGE(dataset[CRIME_RATE])</f>
        <v>4.8719762845849779</v>
      </c>
      <c r="E4">
        <f>AVERAGE(dataset[AGE])</f>
        <v>68.574901185770784</v>
      </c>
      <c r="F4">
        <f>AVERAGE(dataset[INDUS])</f>
        <v>11.136778656126504</v>
      </c>
      <c r="G4">
        <f>AVERAGE(dataset[NOX])</f>
        <v>0.55469505928853724</v>
      </c>
      <c r="H4">
        <f>AVERAGE(dataset[DISTANCE])</f>
        <v>9.5494071146245059</v>
      </c>
      <c r="I4">
        <f>AVERAGE(dataset[TAX])</f>
        <v>408.23715415019763</v>
      </c>
      <c r="J4">
        <f>AVERAGE(dataset[PTRATIO])</f>
        <v>18.455533596837967</v>
      </c>
      <c r="K4">
        <f>AVERAGE(dataset[AVG_ROOM])</f>
        <v>6.2846343873517867</v>
      </c>
      <c r="L4">
        <f>AVERAGE(dataset[LSTAT])</f>
        <v>12.653063241106723</v>
      </c>
      <c r="M4">
        <f>AVERAGE(dataset[AVG_PRICE])</f>
        <v>22.532806324110698</v>
      </c>
    </row>
    <row r="5" spans="1:16" ht="16">
      <c r="C5" s="36" t="s">
        <v>14</v>
      </c>
      <c r="D5">
        <f>MEDIAN(dataset[CRIME_RATE])</f>
        <v>4.82</v>
      </c>
      <c r="E5">
        <f>MEDIAN(dataset[AGE])</f>
        <v>77.5</v>
      </c>
      <c r="F5">
        <f>MEDIAN(dataset[INDUS])</f>
        <v>9.69</v>
      </c>
      <c r="G5">
        <f>MEDIAN(dataset[NOX])</f>
        <v>0.53800000000000003</v>
      </c>
      <c r="H5">
        <f>MEDIAN(dataset[DISTANCE])</f>
        <v>5</v>
      </c>
      <c r="I5">
        <f>MEDIAN(dataset[TAX])</f>
        <v>330</v>
      </c>
      <c r="J5">
        <f>MEDIAN(dataset[PTRATIO])</f>
        <v>19.05</v>
      </c>
      <c r="K5">
        <f>MEDIAN(dataset[AVG_ROOM])</f>
        <v>6.2084999999999999</v>
      </c>
      <c r="L5">
        <f>MEDIAN(dataset[LSTAT])</f>
        <v>11.36</v>
      </c>
      <c r="M5">
        <f>MEDIAN(dataset[AVG_PRICE])</f>
        <v>21.2</v>
      </c>
    </row>
    <row r="6" spans="1:16" ht="16">
      <c r="C6" s="36" t="s">
        <v>15</v>
      </c>
      <c r="D6">
        <f>MODE(dataset[CRIME_RATE])</f>
        <v>3.43</v>
      </c>
      <c r="E6">
        <f>MODE(dataset[AGE])</f>
        <v>100</v>
      </c>
      <c r="F6">
        <f>MODE(dataset[INDUS])</f>
        <v>18.100000000000001</v>
      </c>
      <c r="G6">
        <f>MODE(dataset[NOX])</f>
        <v>0.53800000000000003</v>
      </c>
      <c r="H6">
        <f>MODE(dataset[DISTANCE])</f>
        <v>24</v>
      </c>
      <c r="I6">
        <f>MODE(dataset[TAX])</f>
        <v>666</v>
      </c>
      <c r="J6">
        <f>MODE(dataset[PTRATIO])</f>
        <v>20.2</v>
      </c>
      <c r="K6">
        <f>MODE(dataset[AVG_ROOM])</f>
        <v>5.7130000000000001</v>
      </c>
      <c r="L6">
        <f>MODE(dataset[LSTAT])</f>
        <v>8.0500000000000007</v>
      </c>
      <c r="M6">
        <f>MODE(dataset[AVG_PRICE])</f>
        <v>50</v>
      </c>
    </row>
    <row r="7" spans="1:16" ht="16">
      <c r="C7" s="36" t="s">
        <v>16</v>
      </c>
      <c r="D7">
        <f>SUM(dataset[CRIME_RATE])</f>
        <v>2465.2199999999989</v>
      </c>
      <c r="E7">
        <f>SUM(dataset[AGE])</f>
        <v>34698.900000000016</v>
      </c>
      <c r="F7">
        <f>SUM(dataset[INDUS])</f>
        <v>5635.210000000011</v>
      </c>
      <c r="G7">
        <f>SUM(dataset[NOX])</f>
        <v>280.67569999999984</v>
      </c>
      <c r="H7">
        <f>SUM(dataset[DISTANCE])</f>
        <v>4832</v>
      </c>
      <c r="I7">
        <f>SUM(dataset[TAX])</f>
        <v>206568</v>
      </c>
      <c r="J7">
        <f>SUM(dataset[PTRATIO])</f>
        <v>9338.5000000000109</v>
      </c>
      <c r="K7">
        <f>SUM(dataset[AVG_ROOM])</f>
        <v>3180.0250000000042</v>
      </c>
      <c r="L7">
        <f>SUM(dataset[LSTAT])</f>
        <v>6402.4500000000016</v>
      </c>
      <c r="M7">
        <f>SUM(dataset[AVG_PRICE])</f>
        <v>11401.600000000013</v>
      </c>
    </row>
    <row r="8" spans="1:16" ht="16">
      <c r="C8" s="36" t="s">
        <v>17</v>
      </c>
      <c r="D8">
        <f>COUNT(dataset[CRIME_RATE])</f>
        <v>506</v>
      </c>
      <c r="E8">
        <f>COUNT(dataset[AGE])</f>
        <v>506</v>
      </c>
      <c r="F8">
        <f>COUNT(dataset[INDUS])</f>
        <v>506</v>
      </c>
      <c r="G8">
        <f>COUNT(dataset[NOX])</f>
        <v>506</v>
      </c>
      <c r="H8">
        <f>COUNT(dataset[DISTANCE])</f>
        <v>506</v>
      </c>
      <c r="I8">
        <f>COUNT(dataset[TAX])</f>
        <v>506</v>
      </c>
      <c r="J8">
        <f>COUNT(dataset[PTRATIO])</f>
        <v>506</v>
      </c>
      <c r="K8">
        <f>COUNT(dataset[AVG_ROOM])</f>
        <v>506</v>
      </c>
      <c r="L8">
        <f>COUNT(dataset[LSTAT])</f>
        <v>506</v>
      </c>
      <c r="M8">
        <f>COUNT(dataset[AVG_PRICE])</f>
        <v>506</v>
      </c>
    </row>
    <row r="9" spans="1:16" ht="16">
      <c r="C9" s="36" t="s">
        <v>18</v>
      </c>
      <c r="D9">
        <f>_xlfn.VAR.S(dataset[CRIME_RATE])</f>
        <v>8.5330115321097644</v>
      </c>
      <c r="E9">
        <f>_xlfn.VAR.S(dataset[AGE])</f>
        <v>792.35839850506602</v>
      </c>
      <c r="F9">
        <f>_xlfn.VAR.S(dataset[INDUS])</f>
        <v>47.064442473682007</v>
      </c>
      <c r="G9">
        <f>_xlfn.VAR.S(dataset[NOX])</f>
        <v>1.3427635718114788E-2</v>
      </c>
      <c r="H9">
        <f>_xlfn.VAR.S(dataset[DISTANCE])</f>
        <v>75.816365984424522</v>
      </c>
      <c r="I9">
        <f>_xlfn.VAR.S(dataset[TAX])</f>
        <v>28404.759488122712</v>
      </c>
      <c r="J9">
        <f>_xlfn.VAR.S(dataset[PTRATIO])</f>
        <v>4.6869891206509697</v>
      </c>
      <c r="K9">
        <f>_xlfn.VAR.S(dataset[AVG_ROOM])</f>
        <v>0.49367085022105212</v>
      </c>
      <c r="L9">
        <f>_xlfn.VAR.S(dataset[LSTAT])</f>
        <v>50.994759508863638</v>
      </c>
      <c r="M9">
        <f>_xlfn.VAR.S(dataset[AVG_PRICE])</f>
        <v>84.586723594097208</v>
      </c>
    </row>
    <row r="10" spans="1:16" ht="16">
      <c r="C10" s="36" t="s">
        <v>19</v>
      </c>
      <c r="D10">
        <f>_xlfn.STDEV.S(dataset[CRIME_RATE])</f>
        <v>2.9211318922824701</v>
      </c>
      <c r="E10">
        <f>_xlfn.STDEV.S(dataset[AGE])</f>
        <v>28.148861406903585</v>
      </c>
      <c r="F10">
        <f>_xlfn.STDEV.S(dataset[INDUS])</f>
        <v>6.8603529408975747</v>
      </c>
      <c r="G10">
        <f>_xlfn.STDEV.S(dataset[NOX])</f>
        <v>0.11587767566755379</v>
      </c>
      <c r="H10">
        <f>_xlfn.STDEV.S(dataset[DISTANCE])</f>
        <v>8.7072593842393662</v>
      </c>
      <c r="I10">
        <f>_xlfn.STDEV.S(dataset[TAX])</f>
        <v>168.53711605495897</v>
      </c>
      <c r="J10">
        <f>_xlfn.STDEV.S(dataset[PTRATIO])</f>
        <v>2.1649455237143891</v>
      </c>
      <c r="K10">
        <f>_xlfn.STDEV.S(dataset[AVG_ROOM])</f>
        <v>0.70261714341528281</v>
      </c>
      <c r="L10">
        <f>_xlfn.STDEV.S(dataset[LSTAT])</f>
        <v>7.1410615113485498</v>
      </c>
      <c r="M10">
        <f>_xlfn.STDEV.S(dataset[AVG_PRICE])</f>
        <v>9.1971040873797456</v>
      </c>
    </row>
    <row r="11" spans="1:16" ht="16">
      <c r="C11" s="36" t="s">
        <v>242</v>
      </c>
      <c r="D11">
        <f>D10/D4</f>
        <v>0.59957843011777068</v>
      </c>
      <c r="E11">
        <f t="shared" ref="E11:M11" si="0">E10/E4</f>
        <v>0.41048344102819417</v>
      </c>
      <c r="F11">
        <f t="shared" si="0"/>
        <v>0.61600873580472881</v>
      </c>
      <c r="G11">
        <f t="shared" si="0"/>
        <v>0.20890338525131405</v>
      </c>
      <c r="H11">
        <f t="shared" si="0"/>
        <v>0.9118115166442714</v>
      </c>
      <c r="I11">
        <f t="shared" si="0"/>
        <v>0.41284119865520913</v>
      </c>
      <c r="J11">
        <f t="shared" si="0"/>
        <v>0.11730603790753115</v>
      </c>
      <c r="K11">
        <f t="shared" si="0"/>
        <v>0.11179920741759346</v>
      </c>
      <c r="L11">
        <f t="shared" si="0"/>
        <v>0.56437412627078154</v>
      </c>
      <c r="M11">
        <f t="shared" si="0"/>
        <v>0.40816505299380312</v>
      </c>
    </row>
    <row r="12" spans="1:16" ht="16">
      <c r="C12" s="36" t="s">
        <v>20</v>
      </c>
      <c r="D12">
        <f>MIN(dataset[CRIME_RATE])</f>
        <v>0.04</v>
      </c>
      <c r="E12">
        <f>MIN(dataset[AGE])</f>
        <v>2.9</v>
      </c>
      <c r="F12">
        <f>MIN(dataset[INDUS])</f>
        <v>0.46</v>
      </c>
      <c r="G12">
        <f>MIN(dataset[NOX])</f>
        <v>0.38500000000000001</v>
      </c>
      <c r="H12">
        <f>MIN(dataset[DISTANCE])</f>
        <v>1</v>
      </c>
      <c r="I12">
        <f>MIN(dataset[TAX])</f>
        <v>187</v>
      </c>
      <c r="J12">
        <f>MIN(dataset[PTRATIO])</f>
        <v>12.6</v>
      </c>
      <c r="K12">
        <f>MIN(dataset[AVG_ROOM])</f>
        <v>3.5609999999999999</v>
      </c>
      <c r="L12">
        <f>MIN(dataset[LSTAT])</f>
        <v>1.73</v>
      </c>
      <c r="M12">
        <f>MIN(dataset[AVG_PRICE])</f>
        <v>5</v>
      </c>
    </row>
    <row r="13" spans="1:16" ht="16">
      <c r="C13" s="36" t="s">
        <v>21</v>
      </c>
      <c r="D13">
        <f>MAX(dataset[CRIME_RATE])</f>
        <v>9.99</v>
      </c>
      <c r="E13">
        <f>MAX(dataset[AGE])</f>
        <v>100</v>
      </c>
      <c r="F13">
        <f>MAX(dataset[INDUS])</f>
        <v>27.74</v>
      </c>
      <c r="G13">
        <f>MAX(dataset[NOX])</f>
        <v>0.871</v>
      </c>
      <c r="H13">
        <f>MAX(dataset[DISTANCE])</f>
        <v>24</v>
      </c>
      <c r="I13">
        <f>MAX(dataset[TAX])</f>
        <v>711</v>
      </c>
      <c r="J13">
        <f>MAX(dataset[PTRATIO])</f>
        <v>22</v>
      </c>
      <c r="K13">
        <f>MAX(dataset[AVG_ROOM])</f>
        <v>8.7799999999999994</v>
      </c>
      <c r="L13">
        <f>MAX(dataset[LSTAT])</f>
        <v>37.97</v>
      </c>
      <c r="M13">
        <f>MAX(dataset[AVG_PRICE])</f>
        <v>50</v>
      </c>
    </row>
    <row r="14" spans="1:16" ht="16">
      <c r="C14" s="36" t="s">
        <v>22</v>
      </c>
      <c r="D14">
        <f>MAX(dataset[CRIME_RATE]) - MIN(dataset[CRIME_RATE])</f>
        <v>9.9500000000000011</v>
      </c>
      <c r="E14">
        <f>MAX(dataset[AGE]) - MIN(dataset[AGE])</f>
        <v>97.1</v>
      </c>
      <c r="F14">
        <f>MAX(dataset[INDUS]) - MIN(dataset[INDUS])</f>
        <v>27.279999999999998</v>
      </c>
      <c r="G14">
        <f>MAX(dataset[NOX]) - MIN(dataset[NOX])</f>
        <v>0.48599999999999999</v>
      </c>
      <c r="H14">
        <f>MAX(dataset[DISTANCE]) - MIN(dataset[DISTANCE])</f>
        <v>23</v>
      </c>
      <c r="I14">
        <f>MAX(dataset[TAX]) - MIN(dataset[TAX])</f>
        <v>524</v>
      </c>
      <c r="J14">
        <f>MAX(dataset[PTRATIO]) - MIN(dataset[PTRATIO])</f>
        <v>9.4</v>
      </c>
      <c r="K14">
        <f>MAX(dataset[AVG_ROOM]) - MIN(dataset[AVG_ROOM])</f>
        <v>5.2189999999999994</v>
      </c>
      <c r="L14">
        <f>MAX(dataset[LSTAT]) - MIN(dataset[LSTAT])</f>
        <v>36.24</v>
      </c>
      <c r="M14">
        <f>MAX(dataset[AVG_PRICE]) - MIN(dataset[AVG_PRICE])</f>
        <v>45</v>
      </c>
    </row>
    <row r="15" spans="1:16" ht="16">
      <c r="C15" s="36" t="s">
        <v>10</v>
      </c>
      <c r="D15">
        <f>QUARTILE(dataset[CRIME_RATE],1)</f>
        <v>2.4125000000000001</v>
      </c>
      <c r="E15">
        <f>QUARTILE(dataset[AGE],1)</f>
        <v>45.024999999999999</v>
      </c>
      <c r="F15">
        <f>QUARTILE(dataset[INDUS],1)</f>
        <v>5.19</v>
      </c>
      <c r="G15">
        <f>QUARTILE(dataset[NOX],1)</f>
        <v>0.44900000000000001</v>
      </c>
      <c r="H15">
        <f>QUARTILE(dataset[DISTANCE],1)</f>
        <v>4</v>
      </c>
      <c r="I15">
        <f>QUARTILE(dataset[TAX],1)</f>
        <v>279</v>
      </c>
      <c r="J15">
        <f>QUARTILE(dataset[PTRATIO],1)</f>
        <v>17.399999999999999</v>
      </c>
      <c r="K15">
        <f>QUARTILE(dataset[AVG_ROOM],1)</f>
        <v>5.8854999999999995</v>
      </c>
      <c r="L15">
        <f>QUARTILE(dataset[LSTAT],1)</f>
        <v>6.9499999999999993</v>
      </c>
      <c r="M15">
        <f>QUARTILE(dataset[AVG_PRICE],1)</f>
        <v>17.024999999999999</v>
      </c>
    </row>
    <row r="16" spans="1:16" ht="16">
      <c r="C16" s="36" t="s">
        <v>26</v>
      </c>
      <c r="D16">
        <f>QUARTILE(dataset[CRIME_RATE],2)</f>
        <v>4.82</v>
      </c>
      <c r="E16">
        <f>QUARTILE(dataset[AGE],2)</f>
        <v>77.5</v>
      </c>
      <c r="F16">
        <f>QUARTILE(dataset[INDUS],2)</f>
        <v>9.69</v>
      </c>
      <c r="G16">
        <f>QUARTILE(dataset[NOX],2)</f>
        <v>0.53800000000000003</v>
      </c>
      <c r="H16">
        <f>QUARTILE(dataset[DISTANCE],2)</f>
        <v>5</v>
      </c>
      <c r="I16">
        <f>QUARTILE(dataset[TAX],2)</f>
        <v>330</v>
      </c>
      <c r="J16">
        <f>QUARTILE(dataset[PTRATIO],2)</f>
        <v>19.05</v>
      </c>
      <c r="K16">
        <f>QUARTILE(dataset[AVG_ROOM],2)</f>
        <v>6.2084999999999999</v>
      </c>
      <c r="L16">
        <f>QUARTILE(dataset[LSTAT],2)</f>
        <v>11.36</v>
      </c>
      <c r="M16">
        <f>QUARTILE(dataset[AVG_PRICE],2)</f>
        <v>21.2</v>
      </c>
    </row>
    <row r="17" spans="1:13" ht="16">
      <c r="C17" s="36" t="s">
        <v>27</v>
      </c>
      <c r="D17">
        <f>QUARTILE(dataset[CRIME_RATE],3)</f>
        <v>7.3250000000000002</v>
      </c>
      <c r="E17">
        <f>QUARTILE(dataset[AGE],3)</f>
        <v>94.074999999999989</v>
      </c>
      <c r="F17">
        <f>QUARTILE(dataset[INDUS],3)</f>
        <v>18.100000000000001</v>
      </c>
      <c r="G17">
        <f>QUARTILE(dataset[NOX],3)</f>
        <v>0.624</v>
      </c>
      <c r="H17">
        <f>QUARTILE(dataset[DISTANCE],3)</f>
        <v>24</v>
      </c>
      <c r="I17">
        <f>QUARTILE(dataset[TAX],3)</f>
        <v>666</v>
      </c>
      <c r="J17">
        <f>QUARTILE(dataset[PTRATIO],3)</f>
        <v>20.2</v>
      </c>
      <c r="K17">
        <f>QUARTILE(dataset[AVG_ROOM],3)</f>
        <v>6.6234999999999999</v>
      </c>
      <c r="L17">
        <f>QUARTILE(dataset[LSTAT],3)</f>
        <v>16.955000000000002</v>
      </c>
      <c r="M17">
        <f>QUARTILE(dataset[AVG_PRICE],3)</f>
        <v>25</v>
      </c>
    </row>
    <row r="18" spans="1:13" ht="16">
      <c r="C18" s="36" t="s">
        <v>28</v>
      </c>
      <c r="D18">
        <f>QUARTILE(dataset[CRIME_RATE],3) - QUARTILE(dataset[CRIME_RATE],1)</f>
        <v>4.9124999999999996</v>
      </c>
      <c r="E18">
        <f>QUARTILE(dataset[AGE],3) - QUARTILE(dataset[AGE],1)</f>
        <v>49.04999999999999</v>
      </c>
      <c r="F18">
        <f>QUARTILE(dataset[INDUS],3) - QUARTILE(dataset[INDUS],1)</f>
        <v>12.91</v>
      </c>
      <c r="G18">
        <f>QUARTILE(dataset[NOX],3) - QUARTILE(dataset[NOX],1)</f>
        <v>0.17499999999999999</v>
      </c>
      <c r="H18">
        <f>QUARTILE(dataset[DISTANCE],3) - QUARTILE(dataset[DISTANCE],1)</f>
        <v>20</v>
      </c>
      <c r="I18">
        <f>QUARTILE(dataset[TAX],3) - QUARTILE(dataset[TAX],1)</f>
        <v>387</v>
      </c>
      <c r="J18">
        <f>QUARTILE(dataset[PTRATIO],3) - QUARTILE(dataset[PTRATIO],1)</f>
        <v>2.8000000000000007</v>
      </c>
      <c r="K18">
        <f>QUARTILE(dataset[AVG_ROOM],3) - QUARTILE(dataset[AVG_ROOM],1)</f>
        <v>0.73800000000000043</v>
      </c>
      <c r="L18">
        <f>QUARTILE(dataset[LSTAT],3) - QUARTILE(dataset[LSTAT],1)</f>
        <v>10.005000000000003</v>
      </c>
      <c r="M18">
        <f>QUARTILE(dataset[AVG_PRICE],3) - QUARTILE(dataset[AVG_PRICE],1)</f>
        <v>7.9750000000000014</v>
      </c>
    </row>
    <row r="19" spans="1:13" ht="16">
      <c r="C19" s="36" t="s">
        <v>29</v>
      </c>
      <c r="D19">
        <f>QUARTILE(dataset[CRIME_RATE],3) + (1.5 * (QUARTILE(dataset[CRIME_RATE],3) - QUARTILE(dataset[CRIME_RATE],1)))</f>
        <v>14.69375</v>
      </c>
      <c r="E19">
        <f>QUARTILE(dataset[AGE],3) + (1.5 * (QUARTILE(dataset[AGE],3) - QUARTILE(dataset[AGE],1)))</f>
        <v>167.64999999999998</v>
      </c>
      <c r="F19">
        <f>QUARTILE(dataset[INDUS],3) + (1.5 * (QUARTILE(dataset[INDUS],3) - QUARTILE(dataset[INDUS],1)))</f>
        <v>37.465000000000003</v>
      </c>
      <c r="G19">
        <f>QUARTILE(dataset[NOX],3) + (1.5 * (QUARTILE(dataset[NOX],3) - QUARTILE(dataset[NOX],1)))</f>
        <v>0.88649999999999995</v>
      </c>
      <c r="H19">
        <f>QUARTILE(dataset[DISTANCE],3) + (1.5 * (QUARTILE(dataset[DISTANCE],3) - QUARTILE(dataset[DISTANCE],1)))</f>
        <v>54</v>
      </c>
      <c r="I19">
        <f>QUARTILE(dataset[TAX],3) + (1.5 * (QUARTILE(dataset[TAX],3) - QUARTILE(dataset[TAX],1)))</f>
        <v>1246.5</v>
      </c>
      <c r="J19">
        <f>QUARTILE(dataset[PTRATIO],3) + (1.5 * (QUARTILE(dataset[PTRATIO],3) - QUARTILE(dataset[PTRATIO],1)))</f>
        <v>24.4</v>
      </c>
      <c r="K19">
        <f>QUARTILE(dataset[AVG_ROOM],3) + (1.5 * (QUARTILE(dataset[AVG_ROOM],3) - QUARTILE(dataset[AVG_ROOM],1)))</f>
        <v>7.730500000000001</v>
      </c>
      <c r="L19">
        <f>QUARTILE(dataset[LSTAT],3) + (1.5 * (QUARTILE(dataset[LSTAT],3) - QUARTILE(dataset[LSTAT],1)))</f>
        <v>31.962500000000006</v>
      </c>
      <c r="M19">
        <f>QUARTILE(dataset[AVG_PRICE],3) + (1.5 * (QUARTILE(dataset[AVG_PRICE],3) - QUARTILE(dataset[AVG_PRICE],1)))</f>
        <v>36.962500000000006</v>
      </c>
    </row>
    <row r="20" spans="1:13" ht="16">
      <c r="C20" s="36" t="s">
        <v>30</v>
      </c>
      <c r="D20">
        <f>QUARTILE(dataset[CRIME_RATE],1) - (1.5 * (QUARTILE(dataset[CRIME_RATE],3) - QUARTILE(dataset[CRIME_RATE],1)))</f>
        <v>-4.9562499999999989</v>
      </c>
      <c r="E20">
        <f>QUARTILE(dataset[AGE],1) - (1.5 * (QUARTILE(dataset[AGE],3) - QUARTILE(dataset[AGE],1)))</f>
        <v>-28.54999999999999</v>
      </c>
      <c r="F20">
        <f>QUARTILE(dataset[INDUS],1) - (1.5 * (QUARTILE(dataset[INDUS],3) - QUARTILE(dataset[INDUS],1)))</f>
        <v>-14.175000000000001</v>
      </c>
      <c r="G20">
        <f>QUARTILE(dataset[NOX],1) - (1.5 * (QUARTILE(dataset[NOX],3) - QUARTILE(dataset[NOX],1)))</f>
        <v>0.18650000000000005</v>
      </c>
      <c r="H20">
        <f>QUARTILE(dataset[DISTANCE],1) - (1.5 * (QUARTILE(dataset[DISTANCE],3) - QUARTILE(dataset[DISTANCE],1)))</f>
        <v>-26</v>
      </c>
      <c r="I20">
        <f>QUARTILE(dataset[TAX],1) - (1.5 * (QUARTILE(dataset[TAX],3) - QUARTILE(dataset[TAX],1)))</f>
        <v>-301.5</v>
      </c>
      <c r="J20">
        <f>QUARTILE(dataset[PTRATIO],1) - (1.5 * (QUARTILE(dataset[PTRATIO],3) - QUARTILE(dataset[PTRATIO],1)))</f>
        <v>13.199999999999998</v>
      </c>
      <c r="K20">
        <f>QUARTILE(dataset[AVG_ROOM],1) - (1.5 * (QUARTILE(dataset[AVG_ROOM],3) - QUARTILE(dataset[AVG_ROOM],1)))</f>
        <v>4.7784999999999993</v>
      </c>
      <c r="L20">
        <f>QUARTILE(dataset[LSTAT],1) - (1.5 * (QUARTILE(dataset[LSTAT],3) - QUARTILE(dataset[LSTAT],1)))</f>
        <v>-8.0575000000000045</v>
      </c>
      <c r="M20">
        <f>QUARTILE(dataset[AVG_PRICE],1) - (1.5 * (QUARTILE(dataset[AVG_PRICE],3) - QUARTILE(dataset[AVG_PRICE],1)))</f>
        <v>5.0624999999999964</v>
      </c>
    </row>
    <row r="21" spans="1:13" ht="16">
      <c r="C21" s="36" t="s">
        <v>23</v>
      </c>
      <c r="D21">
        <f>SKEW(dataset[CRIME_RATE])</f>
        <v>2.1728079418192266E-2</v>
      </c>
      <c r="E21">
        <f>SKEW(dataset[AGE])</f>
        <v>-0.59896263988129672</v>
      </c>
      <c r="F21">
        <f>SKEW(dataset[INDUS])</f>
        <v>0.29502156787350237</v>
      </c>
      <c r="G21">
        <f>SKEW(dataset[NOX])</f>
        <v>0.72930792253488452</v>
      </c>
      <c r="H21">
        <f>SKEW(dataset[DISTANCE])</f>
        <v>1.004814648218201</v>
      </c>
      <c r="I21">
        <f>SKEW(dataset[TAX])</f>
        <v>0.66995594179501428</v>
      </c>
      <c r="J21">
        <f>SKEW(dataset[PTRATIO])</f>
        <v>-0.8023249268537983</v>
      </c>
      <c r="K21">
        <f>SKEW(dataset[AVG_ROOM])</f>
        <v>0.40361213328870982</v>
      </c>
      <c r="L21">
        <f>SKEW(dataset[LSTAT])</f>
        <v>0.90646009359153534</v>
      </c>
      <c r="M21">
        <f>SKEW(dataset[AVG_PRICE])</f>
        <v>1.108098408254901</v>
      </c>
    </row>
    <row r="22" spans="1:13" ht="16">
      <c r="C22" s="36" t="s">
        <v>24</v>
      </c>
      <c r="D22">
        <f>KURT(dataset[CRIME_RATE])</f>
        <v>-1.1891224643608609</v>
      </c>
      <c r="E22">
        <f>KURT(dataset[AGE])</f>
        <v>-0.96771559416269604</v>
      </c>
      <c r="F22">
        <f>KURT(dataset[INDUS])</f>
        <v>-1.233539601149531</v>
      </c>
      <c r="G22">
        <f>KURT(dataset[NOX])</f>
        <v>-6.4667133365429397E-2</v>
      </c>
      <c r="H22">
        <f>KURT(dataset[DISTANCE])</f>
        <v>-0.86723199360350334</v>
      </c>
      <c r="I22">
        <f>KURT(dataset[TAX])</f>
        <v>-1.142407992476824</v>
      </c>
      <c r="J22">
        <f>KURT(dataset[PTRATIO])</f>
        <v>-0.28509138330541051</v>
      </c>
      <c r="K22">
        <f>KURT(dataset[AVG_ROOM])</f>
        <v>1.8915003664993173</v>
      </c>
      <c r="L22">
        <f>KURT(dataset[LSTAT])</f>
        <v>0.49323951739272553</v>
      </c>
      <c r="M22">
        <f>KURT(dataset[AVG_PRICE])</f>
        <v>1.495196944165802</v>
      </c>
    </row>
    <row r="23" spans="1:13" ht="16">
      <c r="C23" s="36" t="s">
        <v>25</v>
      </c>
      <c r="D23">
        <f>COUNTIF(dataset[CRIME_RATE],"&lt;-4.95625") + COUNTIF(dataset[CRIME_RATE],"&gt;14.69375")</f>
        <v>0</v>
      </c>
      <c r="E23">
        <f>COUNTIF(dataset[AGE],"&lt;-28.55") + COUNTIF(dataset[AGE],"&gt;167.65")</f>
        <v>0</v>
      </c>
      <c r="F23">
        <f>COUNTIF(dataset[INDUS],"&lt;-14.175") + COUNTIF(dataset[INDUS],"&gt;37.465")</f>
        <v>0</v>
      </c>
      <c r="G23">
        <f>COUNTIFS(dataset[NOX],"&lt;0.1865") + COUNTIF(dataset[NOX],"&gt;0.8865")</f>
        <v>0</v>
      </c>
      <c r="H23">
        <f>COUNTIFS(dataset[DISTANCE],"&lt;-26") + COUNTIF(dataset[DISTANCE],"&gt;54")</f>
        <v>0</v>
      </c>
      <c r="I23">
        <f>COUNTIFS(dataset[TAX],"&lt;-301.5") + COUNTIF(dataset[TAX],"&gt;1246.5")</f>
        <v>0</v>
      </c>
      <c r="J23">
        <f>COUNTIFS(dataset[PTRATIO],"&lt;13.2") + COUNTIF(dataset[PTRATIO],"&gt;24.4")</f>
        <v>15</v>
      </c>
      <c r="K23">
        <f>COUNTIFS(dataset[AVG_ROOM],"&lt;4.7785") + COUNTIF(dataset[AVG_ROOM],"&gt;7.7305")</f>
        <v>30</v>
      </c>
      <c r="L23">
        <f>COUNTIFS(dataset[LSTAT],"&lt;-8.0575") + COUNTIF(dataset[LSTAT],"&gt;31.9625")</f>
        <v>7</v>
      </c>
      <c r="M23">
        <f>COUNTIF(dataset[AVG_PRICE],"&lt;5.0625") + COUNTIF(dataset[AVG_PRICE],"&gt;36.9625")</f>
        <v>40</v>
      </c>
    </row>
    <row r="27" spans="1:13">
      <c r="A27" t="s">
        <v>26</v>
      </c>
    </row>
    <row r="28" spans="1:13" ht="16" thickBot="1">
      <c r="G28" s="32" t="s">
        <v>174</v>
      </c>
    </row>
    <row r="29" spans="1:13">
      <c r="G29" t="s">
        <v>178</v>
      </c>
      <c r="J29">
        <f>SKEW(dataset[AVG_PRICE])</f>
        <v>1.108098408254901</v>
      </c>
    </row>
    <row r="30" spans="1:13">
      <c r="G30" t="s">
        <v>179</v>
      </c>
    </row>
    <row r="31" spans="1:13">
      <c r="G31" t="s">
        <v>241</v>
      </c>
      <c r="J31">
        <f>118 + 73 + 24</f>
        <v>215</v>
      </c>
    </row>
    <row r="32" spans="1:13">
      <c r="J32">
        <f>40 + 36 + 17 + 9 + 22</f>
        <v>124</v>
      </c>
    </row>
    <row r="48" spans="1:1">
      <c r="A48" t="s">
        <v>27</v>
      </c>
    </row>
    <row r="49" spans="2:13" ht="21" thickBot="1">
      <c r="B49" s="15" t="s">
        <v>175</v>
      </c>
    </row>
    <row r="50" spans="2:13" ht="16" thickTop="1">
      <c r="C50" s="13"/>
      <c r="D50" s="13" t="s">
        <v>6</v>
      </c>
      <c r="E50" s="13" t="s">
        <v>0</v>
      </c>
      <c r="F50" s="13" t="s">
        <v>1</v>
      </c>
      <c r="G50" s="13" t="s">
        <v>2</v>
      </c>
      <c r="H50" s="13" t="s">
        <v>7</v>
      </c>
      <c r="I50" s="13" t="s">
        <v>3</v>
      </c>
      <c r="J50" s="13" t="s">
        <v>4</v>
      </c>
      <c r="K50" s="13" t="s">
        <v>8</v>
      </c>
      <c r="L50" s="13" t="s">
        <v>5</v>
      </c>
      <c r="M50" s="13" t="s">
        <v>9</v>
      </c>
    </row>
    <row r="51" spans="2:13">
      <c r="C51" s="11" t="s">
        <v>6</v>
      </c>
      <c r="D51" s="11">
        <f>VARP(data!$A$2:$A$507)</f>
        <v>8.5161478729553952</v>
      </c>
      <c r="E51" s="11">
        <v>0.56291521504788367</v>
      </c>
      <c r="F51" s="11">
        <v>-0.11021517520973631</v>
      </c>
      <c r="G51" s="11">
        <v>6.2530818322423449E-4</v>
      </c>
      <c r="H51" s="11">
        <v>-0.22986048836882322</v>
      </c>
      <c r="I51" s="11">
        <v>-8.2293224390320105</v>
      </c>
      <c r="J51" s="11">
        <v>6.8168905935102789E-2</v>
      </c>
      <c r="K51" s="11">
        <v>5.6117777890609274E-2</v>
      </c>
      <c r="L51" s="11">
        <v>-0.88268036213657475</v>
      </c>
      <c r="M51" s="11">
        <v>1.1620122404661843</v>
      </c>
    </row>
    <row r="52" spans="2:13">
      <c r="C52" s="11" t="s">
        <v>0</v>
      </c>
      <c r="D52" s="11">
        <v>0.56291521504788367</v>
      </c>
      <c r="E52" s="11">
        <f>VARP(data!$B$2:$B$507)</f>
        <v>790.79247281632058</v>
      </c>
      <c r="F52" s="11">
        <v>124.26782823899758</v>
      </c>
      <c r="G52" s="11">
        <v>2.3812119313299718</v>
      </c>
      <c r="H52" s="11">
        <v>111.54995547501125</v>
      </c>
      <c r="I52" s="11">
        <v>2397.941723038949</v>
      </c>
      <c r="J52" s="11">
        <v>15.905425447983875</v>
      </c>
      <c r="K52" s="11">
        <v>-4.7425380301988795</v>
      </c>
      <c r="L52" s="11">
        <v>120.8384405200832</v>
      </c>
      <c r="M52" s="11">
        <v>-97.396152884750578</v>
      </c>
    </row>
    <row r="53" spans="2:13">
      <c r="C53" s="11" t="s">
        <v>1</v>
      </c>
      <c r="D53" s="11">
        <v>-0.11021517520973631</v>
      </c>
      <c r="E53" s="11">
        <v>124.26782823899758</v>
      </c>
      <c r="F53" s="11">
        <f>VARP(data!$C$2:$C$507)</f>
        <v>46.971429741520595</v>
      </c>
      <c r="G53" s="11">
        <v>0.60587394258229343</v>
      </c>
      <c r="H53" s="11">
        <v>35.479714493274436</v>
      </c>
      <c r="I53" s="11">
        <v>831.71333312503305</v>
      </c>
      <c r="J53" s="11">
        <v>5.6808547821400115</v>
      </c>
      <c r="K53" s="11">
        <v>-1.8842254267759224</v>
      </c>
      <c r="L53" s="11">
        <v>29.52181125115218</v>
      </c>
      <c r="M53" s="11">
        <v>-30.460504991485585</v>
      </c>
    </row>
    <row r="54" spans="2:13">
      <c r="C54" s="11" t="s">
        <v>2</v>
      </c>
      <c r="D54" s="11">
        <v>6.2530818322423449E-4</v>
      </c>
      <c r="E54" s="11">
        <v>2.3812119313299718</v>
      </c>
      <c r="F54" s="11">
        <v>0.60587394258229343</v>
      </c>
      <c r="G54" s="11">
        <f>VARP(data!$D$2:$D$507)</f>
        <v>1.3401098888632343E-2</v>
      </c>
      <c r="H54" s="11">
        <v>0.61571022434345091</v>
      </c>
      <c r="I54" s="11">
        <v>13.020502357480964</v>
      </c>
      <c r="J54" s="11">
        <v>4.7303653822118687E-2</v>
      </c>
      <c r="K54" s="11">
        <v>-2.4554826114687001E-2</v>
      </c>
      <c r="L54" s="11">
        <v>0.48797987086581535</v>
      </c>
      <c r="M54" s="11">
        <v>-0.45451240708337864</v>
      </c>
    </row>
    <row r="55" spans="2:13">
      <c r="C55" s="11" t="s">
        <v>7</v>
      </c>
      <c r="D55" s="11">
        <v>-0.22986048836882322</v>
      </c>
      <c r="E55" s="11">
        <v>111.54995547501125</v>
      </c>
      <c r="F55" s="11">
        <v>35.479714493274436</v>
      </c>
      <c r="G55" s="11">
        <v>0.61571022434345091</v>
      </c>
      <c r="H55" s="11">
        <f>VARP(data!$E$2:$E$507)</f>
        <v>75.666531269040291</v>
      </c>
      <c r="I55" s="11">
        <v>1333.1167413957373</v>
      </c>
      <c r="J55" s="11">
        <v>8.7434024902747911</v>
      </c>
      <c r="K55" s="11">
        <v>-1.2812773906794352</v>
      </c>
      <c r="L55" s="11">
        <v>30.325392132356395</v>
      </c>
      <c r="M55" s="11">
        <v>-30.500830351981755</v>
      </c>
    </row>
    <row r="56" spans="2:13">
      <c r="C56" s="11" t="s">
        <v>3</v>
      </c>
      <c r="D56" s="11">
        <v>-8.2293224390320105</v>
      </c>
      <c r="E56" s="11">
        <v>2397.941723038949</v>
      </c>
      <c r="F56" s="11">
        <v>831.71333312503305</v>
      </c>
      <c r="G56" s="11">
        <v>13.020502357480964</v>
      </c>
      <c r="H56" s="11">
        <v>1333.1167413957373</v>
      </c>
      <c r="I56" s="11">
        <f>VARP(data!$F$2:$F$507)</f>
        <v>28348.623599806277</v>
      </c>
      <c r="J56" s="11">
        <v>167.82082207189643</v>
      </c>
      <c r="K56" s="11">
        <v>-34.515101040478683</v>
      </c>
      <c r="L56" s="11">
        <v>653.42061741317593</v>
      </c>
      <c r="M56" s="11">
        <v>-724.82042837725965</v>
      </c>
    </row>
    <row r="57" spans="2:13">
      <c r="C57" s="11" t="s">
        <v>4</v>
      </c>
      <c r="D57" s="11">
        <v>6.8168905935102789E-2</v>
      </c>
      <c r="E57" s="11">
        <v>15.905425447983875</v>
      </c>
      <c r="F57" s="11">
        <v>5.6808547821400115</v>
      </c>
      <c r="G57" s="11">
        <v>4.7303653822118687E-2</v>
      </c>
      <c r="H57" s="11">
        <v>8.7434024902747911</v>
      </c>
      <c r="I57" s="11">
        <v>167.82082207189643</v>
      </c>
      <c r="J57" s="11">
        <f>VARP(data!$G$2:$G$507)</f>
        <v>4.6777262963018424</v>
      </c>
      <c r="K57" s="11">
        <v>-0.53969451834898297</v>
      </c>
      <c r="L57" s="11">
        <v>5.7713002429345837</v>
      </c>
      <c r="M57" s="11">
        <v>-10.090675608117616</v>
      </c>
    </row>
    <row r="58" spans="2:13">
      <c r="C58" s="11" t="s">
        <v>8</v>
      </c>
      <c r="D58" s="11">
        <v>5.6117777890609274E-2</v>
      </c>
      <c r="E58" s="11">
        <v>-4.7425380301988795</v>
      </c>
      <c r="F58" s="11">
        <v>-1.8842254267759224</v>
      </c>
      <c r="G58" s="11">
        <v>-2.4554826114687001E-2</v>
      </c>
      <c r="H58" s="11">
        <v>-1.2812773906794352</v>
      </c>
      <c r="I58" s="11">
        <v>-34.515101040478683</v>
      </c>
      <c r="J58" s="11">
        <v>-0.53969451834898297</v>
      </c>
      <c r="K58" s="11">
        <f>VARP(data!$H$2:$H$507)</f>
        <v>0.49269521612970291</v>
      </c>
      <c r="L58" s="11">
        <v>-3.0736549669968305</v>
      </c>
      <c r="M58" s="11">
        <v>4.4845655517192906</v>
      </c>
    </row>
    <row r="59" spans="2:13">
      <c r="C59" s="11" t="s">
        <v>5</v>
      </c>
      <c r="D59" s="11">
        <v>-0.88268036213657475</v>
      </c>
      <c r="E59" s="11">
        <v>120.8384405200832</v>
      </c>
      <c r="F59" s="11">
        <v>29.52181125115218</v>
      </c>
      <c r="G59" s="11">
        <v>0.48797987086581535</v>
      </c>
      <c r="H59" s="11">
        <v>30.325392132356395</v>
      </c>
      <c r="I59" s="11">
        <v>653.42061741317593</v>
      </c>
      <c r="J59" s="11">
        <v>5.7713002429345837</v>
      </c>
      <c r="K59" s="11">
        <v>-3.0736549669968305</v>
      </c>
      <c r="L59" s="11">
        <f>VARP(data!$I$2:$I$507)</f>
        <v>50.893979351731517</v>
      </c>
      <c r="M59" s="11">
        <v>-48.351792193285306</v>
      </c>
    </row>
    <row r="60" spans="2:13" ht="16" thickBot="1">
      <c r="C60" s="12" t="s">
        <v>9</v>
      </c>
      <c r="D60" s="12">
        <v>1.1620122404661843</v>
      </c>
      <c r="E60" s="12">
        <v>-97.396152884750578</v>
      </c>
      <c r="F60" s="12">
        <v>-30.460504991485585</v>
      </c>
      <c r="G60" s="12">
        <v>-0.45451240708337864</v>
      </c>
      <c r="H60" s="12">
        <v>-30.500830351981755</v>
      </c>
      <c r="I60" s="12">
        <v>-724.82042837725965</v>
      </c>
      <c r="J60" s="12">
        <v>-10.090675608117616</v>
      </c>
      <c r="K60" s="12">
        <v>4.4845655517192906</v>
      </c>
      <c r="L60" s="12">
        <v>-48.351792193285306</v>
      </c>
      <c r="M60" s="12">
        <f>VARP(data!$J$2:$J$507)</f>
        <v>84.419556156164219</v>
      </c>
    </row>
    <row r="62" spans="2:13" ht="16" thickBot="1">
      <c r="B62" s="32" t="s">
        <v>174</v>
      </c>
    </row>
    <row r="63" spans="2:13">
      <c r="C63" t="s">
        <v>180</v>
      </c>
    </row>
    <row r="64" spans="2:13">
      <c r="C64" t="s">
        <v>181</v>
      </c>
      <c r="J64">
        <f>CORREL(dataset[CRIME_RATE],dataset[PTRATIO])</f>
        <v>1.0800586106705168E-2</v>
      </c>
    </row>
    <row r="71" spans="1:13">
      <c r="A71" t="s">
        <v>31</v>
      </c>
    </row>
    <row r="72" spans="1:13" ht="21" thickBot="1">
      <c r="B72" s="15" t="s">
        <v>176</v>
      </c>
    </row>
    <row r="73" spans="1:13" ht="16" thickTop="1">
      <c r="C73" s="13"/>
      <c r="D73" s="13" t="s">
        <v>6</v>
      </c>
      <c r="E73" s="13" t="s">
        <v>0</v>
      </c>
      <c r="F73" s="13" t="s">
        <v>1</v>
      </c>
      <c r="G73" s="13" t="s">
        <v>2</v>
      </c>
      <c r="H73" s="13" t="s">
        <v>7</v>
      </c>
      <c r="I73" s="13" t="s">
        <v>3</v>
      </c>
      <c r="J73" s="13" t="s">
        <v>4</v>
      </c>
      <c r="K73" s="13" t="s">
        <v>8</v>
      </c>
      <c r="L73" s="13" t="s">
        <v>5</v>
      </c>
      <c r="M73" s="13" t="s">
        <v>9</v>
      </c>
    </row>
    <row r="74" spans="1:13">
      <c r="C74" s="11" t="s">
        <v>6</v>
      </c>
      <c r="D74">
        <v>1</v>
      </c>
      <c r="E74">
        <v>6.8594631451170916E-3</v>
      </c>
      <c r="F74">
        <v>-5.510651018097835E-3</v>
      </c>
      <c r="G74">
        <v>1.8509824853121615E-3</v>
      </c>
      <c r="H74">
        <v>-9.0550492233347733E-3</v>
      </c>
      <c r="I74">
        <v>-1.6748522203743222E-2</v>
      </c>
      <c r="J74">
        <v>1.0800586106705168E-2</v>
      </c>
      <c r="K74">
        <v>2.7396160141602868E-2</v>
      </c>
      <c r="L74">
        <v>-4.2398321425172351E-2</v>
      </c>
      <c r="M74">
        <v>4.3337871118629183E-2</v>
      </c>
    </row>
    <row r="75" spans="1:13">
      <c r="C75" s="11" t="s">
        <v>0</v>
      </c>
      <c r="D75">
        <v>6.8594631451170916E-3</v>
      </c>
      <c r="E75">
        <v>1</v>
      </c>
      <c r="F75">
        <v>0.64477851135525488</v>
      </c>
      <c r="G75">
        <v>0.73147010378595789</v>
      </c>
      <c r="H75">
        <v>0.45602245175161338</v>
      </c>
      <c r="I75">
        <v>0.50645559355070491</v>
      </c>
      <c r="J75">
        <v>0.26151501167195718</v>
      </c>
      <c r="K75">
        <v>-0.24026493104775123</v>
      </c>
      <c r="L75">
        <v>0.60233852872623994</v>
      </c>
      <c r="M75">
        <v>-0.3769545650045959</v>
      </c>
    </row>
    <row r="76" spans="1:13">
      <c r="C76" s="11" t="s">
        <v>1</v>
      </c>
      <c r="D76">
        <v>-5.510651018097835E-3</v>
      </c>
      <c r="E76">
        <v>0.64477851135525488</v>
      </c>
      <c r="F76">
        <v>1</v>
      </c>
      <c r="G76">
        <v>0.76365144692091447</v>
      </c>
      <c r="H76">
        <v>0.59512927460384857</v>
      </c>
      <c r="I76">
        <v>0.72076017995154407</v>
      </c>
      <c r="J76">
        <v>0.38324755642888669</v>
      </c>
      <c r="K76">
        <v>-0.39167585265684346</v>
      </c>
      <c r="L76">
        <v>0.60379971647662123</v>
      </c>
      <c r="M76">
        <v>-0.48372516002837296</v>
      </c>
    </row>
    <row r="77" spans="1:13">
      <c r="C77" s="11" t="s">
        <v>2</v>
      </c>
      <c r="D77">
        <v>1.8509824853121615E-3</v>
      </c>
      <c r="E77">
        <v>0.73147010378595789</v>
      </c>
      <c r="F77">
        <v>0.76365144692091447</v>
      </c>
      <c r="G77">
        <v>1</v>
      </c>
      <c r="H77">
        <v>0.61144056348557552</v>
      </c>
      <c r="I77">
        <v>0.66802320040301999</v>
      </c>
      <c r="J77">
        <v>0.18893267711276665</v>
      </c>
      <c r="K77">
        <v>-0.30218818784959328</v>
      </c>
      <c r="L77">
        <v>0.59087892088084493</v>
      </c>
      <c r="M77">
        <v>-0.42732077237328164</v>
      </c>
    </row>
    <row r="78" spans="1:13">
      <c r="C78" s="11" t="s">
        <v>7</v>
      </c>
      <c r="D78">
        <v>-9.0550492233347733E-3</v>
      </c>
      <c r="E78">
        <v>0.45602245175161338</v>
      </c>
      <c r="F78">
        <v>0.59512927460384857</v>
      </c>
      <c r="G78">
        <v>0.61144056348557552</v>
      </c>
      <c r="H78">
        <v>1</v>
      </c>
      <c r="I78">
        <v>0.91022818853318221</v>
      </c>
      <c r="J78">
        <v>0.4647411785030543</v>
      </c>
      <c r="K78">
        <v>-0.20984666776610875</v>
      </c>
      <c r="L78">
        <v>0.48867633497506641</v>
      </c>
      <c r="M78">
        <v>-0.38162623063977752</v>
      </c>
    </row>
    <row r="79" spans="1:13">
      <c r="C79" s="11" t="s">
        <v>3</v>
      </c>
      <c r="D79">
        <v>-1.6748522203743222E-2</v>
      </c>
      <c r="E79">
        <v>0.50645559355070491</v>
      </c>
      <c r="F79">
        <v>0.72076017995154407</v>
      </c>
      <c r="G79">
        <v>0.66802320040301999</v>
      </c>
      <c r="H79">
        <v>0.91022818853318221</v>
      </c>
      <c r="I79">
        <v>1</v>
      </c>
      <c r="J79">
        <v>0.46085303506566561</v>
      </c>
      <c r="K79">
        <v>-0.29204783262321909</v>
      </c>
      <c r="L79">
        <v>0.54399341200156903</v>
      </c>
      <c r="M79">
        <v>-0.46853593356776635</v>
      </c>
    </row>
    <row r="80" spans="1:13">
      <c r="C80" s="11" t="s">
        <v>4</v>
      </c>
      <c r="D80">
        <v>1.0800586106705168E-2</v>
      </c>
      <c r="E80">
        <v>0.26151501167195718</v>
      </c>
      <c r="F80">
        <v>0.38324755642888669</v>
      </c>
      <c r="G80">
        <v>0.18893267711276665</v>
      </c>
      <c r="H80">
        <v>0.4647411785030543</v>
      </c>
      <c r="I80">
        <v>0.46085303506566561</v>
      </c>
      <c r="J80">
        <v>1</v>
      </c>
      <c r="K80">
        <v>-0.35550149455908486</v>
      </c>
      <c r="L80">
        <v>0.37404431671467536</v>
      </c>
      <c r="M80">
        <v>-0.50778668553756101</v>
      </c>
    </row>
    <row r="81" spans="2:13">
      <c r="C81" s="11" t="s">
        <v>8</v>
      </c>
      <c r="D81">
        <v>2.7396160141602868E-2</v>
      </c>
      <c r="E81">
        <v>-0.24026493104775123</v>
      </c>
      <c r="F81">
        <v>-0.39167585265684346</v>
      </c>
      <c r="G81">
        <v>-0.30218818784959328</v>
      </c>
      <c r="H81">
        <v>-0.20984666776610875</v>
      </c>
      <c r="I81">
        <v>-0.29204783262321909</v>
      </c>
      <c r="J81">
        <v>-0.35550149455908486</v>
      </c>
      <c r="K81">
        <v>1</v>
      </c>
      <c r="L81">
        <v>-0.61380827186639575</v>
      </c>
      <c r="M81">
        <v>0.69535994707153892</v>
      </c>
    </row>
    <row r="82" spans="2:13">
      <c r="C82" s="11" t="s">
        <v>5</v>
      </c>
      <c r="D82">
        <v>-4.2398321425172351E-2</v>
      </c>
      <c r="E82">
        <v>0.60233852872623994</v>
      </c>
      <c r="F82">
        <v>0.60379971647662123</v>
      </c>
      <c r="G82">
        <v>0.59087892088084493</v>
      </c>
      <c r="H82">
        <v>0.48867633497506641</v>
      </c>
      <c r="I82">
        <v>0.54399341200156903</v>
      </c>
      <c r="J82">
        <v>0.37404431671467536</v>
      </c>
      <c r="K82">
        <v>-0.61380827186639575</v>
      </c>
      <c r="L82">
        <v>1</v>
      </c>
      <c r="M82">
        <v>-0.7376627261740144</v>
      </c>
    </row>
    <row r="83" spans="2:13" ht="16" thickBot="1">
      <c r="C83" s="12" t="s">
        <v>9</v>
      </c>
      <c r="D83">
        <v>4.3337871118629183E-2</v>
      </c>
      <c r="E83">
        <v>-0.3769545650045959</v>
      </c>
      <c r="F83">
        <v>-0.48372516002837296</v>
      </c>
      <c r="G83">
        <v>-0.42732077237328164</v>
      </c>
      <c r="H83">
        <v>-0.38162623063977752</v>
      </c>
      <c r="I83">
        <v>-0.46853593356776635</v>
      </c>
      <c r="J83">
        <v>-0.50778668553756101</v>
      </c>
      <c r="K83">
        <v>0.69535994707153892</v>
      </c>
      <c r="L83">
        <v>-0.7376627261740144</v>
      </c>
      <c r="M83">
        <v>1</v>
      </c>
    </row>
    <row r="85" spans="2:13" ht="16" thickBot="1">
      <c r="B85" s="42" t="s">
        <v>174</v>
      </c>
    </row>
    <row r="86" spans="2:13">
      <c r="C86" t="s">
        <v>32</v>
      </c>
      <c r="G86" s="1" t="s">
        <v>55</v>
      </c>
      <c r="H86" s="1"/>
    </row>
    <row r="87" spans="2:13">
      <c r="B87" s="43"/>
      <c r="C87" s="1" t="s">
        <v>46</v>
      </c>
      <c r="D87" s="1">
        <v>0.91022818853318221</v>
      </c>
      <c r="G87" s="1" t="s">
        <v>46</v>
      </c>
      <c r="H87" s="1">
        <v>0.91022818853318221</v>
      </c>
    </row>
    <row r="88" spans="2:13">
      <c r="C88" s="1" t="s">
        <v>39</v>
      </c>
      <c r="D88" s="1">
        <v>0.76365144692091447</v>
      </c>
      <c r="G88" s="1" t="s">
        <v>39</v>
      </c>
      <c r="H88" s="1">
        <v>0.76365144692091447</v>
      </c>
    </row>
    <row r="89" spans="2:13">
      <c r="C89" s="1" t="s">
        <v>34</v>
      </c>
      <c r="D89" s="33">
        <v>0.73147010378595789</v>
      </c>
      <c r="G89" s="1" t="s">
        <v>34</v>
      </c>
      <c r="H89" s="33">
        <v>0.73147010378595789</v>
      </c>
    </row>
    <row r="90" spans="2:13">
      <c r="C90" s="1" t="s">
        <v>41</v>
      </c>
      <c r="D90" s="1">
        <v>0.72076017995154407</v>
      </c>
    </row>
    <row r="91" spans="2:13">
      <c r="C91" s="1" t="s">
        <v>53</v>
      </c>
      <c r="D91" s="1">
        <v>0.69535994707153892</v>
      </c>
    </row>
    <row r="92" spans="2:13">
      <c r="C92" s="1" t="s">
        <v>44</v>
      </c>
      <c r="D92" s="33">
        <v>0.66802320040301999</v>
      </c>
    </row>
    <row r="93" spans="2:13">
      <c r="C93" s="1" t="s">
        <v>33</v>
      </c>
      <c r="D93" s="1">
        <v>0.64477851135525488</v>
      </c>
    </row>
    <row r="94" spans="2:13">
      <c r="C94" s="1" t="s">
        <v>43</v>
      </c>
      <c r="D94" s="1">
        <v>0.61144056348557552</v>
      </c>
    </row>
    <row r="95" spans="2:13">
      <c r="C95" s="1" t="s">
        <v>42</v>
      </c>
      <c r="D95" s="1">
        <v>0.60379971647662123</v>
      </c>
    </row>
    <row r="96" spans="2:13">
      <c r="C96" s="1" t="s">
        <v>38</v>
      </c>
      <c r="D96" s="1">
        <v>0.60233852872623994</v>
      </c>
    </row>
    <row r="97" spans="3:8">
      <c r="C97" s="1" t="s">
        <v>40</v>
      </c>
      <c r="D97" s="1">
        <v>0.59512927460384857</v>
      </c>
    </row>
    <row r="98" spans="3:8">
      <c r="C98" s="1" t="s">
        <v>45</v>
      </c>
      <c r="D98" s="1">
        <v>0.59087892088084493</v>
      </c>
    </row>
    <row r="99" spans="3:8">
      <c r="C99" s="1" t="s">
        <v>50</v>
      </c>
      <c r="D99" s="1">
        <v>0.54399341200156903</v>
      </c>
    </row>
    <row r="100" spans="3:8">
      <c r="C100" s="1" t="s">
        <v>36</v>
      </c>
      <c r="D100" s="1">
        <v>0.50645559355070491</v>
      </c>
    </row>
    <row r="101" spans="3:8">
      <c r="C101" s="1" t="s">
        <v>47</v>
      </c>
      <c r="D101" s="1">
        <v>0.48867633497506641</v>
      </c>
    </row>
    <row r="102" spans="3:8">
      <c r="C102" s="1" t="s">
        <v>48</v>
      </c>
      <c r="D102" s="1">
        <v>0.4647411785030543</v>
      </c>
    </row>
    <row r="103" spans="3:8">
      <c r="C103" s="1" t="s">
        <v>49</v>
      </c>
      <c r="D103" s="1">
        <v>0.46085303506566561</v>
      </c>
    </row>
    <row r="104" spans="3:8">
      <c r="C104" s="1" t="s">
        <v>35</v>
      </c>
      <c r="D104" s="1">
        <v>0.45602245175161338</v>
      </c>
    </row>
    <row r="105" spans="3:8">
      <c r="C105" s="1" t="s">
        <v>52</v>
      </c>
      <c r="D105" s="1">
        <v>0.38324755642888669</v>
      </c>
    </row>
    <row r="106" spans="3:8">
      <c r="C106" s="1" t="s">
        <v>51</v>
      </c>
      <c r="D106" s="1">
        <v>0.37404431671467536</v>
      </c>
    </row>
    <row r="107" spans="3:8">
      <c r="C107" s="1" t="s">
        <v>37</v>
      </c>
      <c r="D107" s="1">
        <v>0.26151501167195718</v>
      </c>
    </row>
    <row r="108" spans="3:8">
      <c r="C108" s="1" t="s">
        <v>54</v>
      </c>
      <c r="D108" s="1">
        <v>0.18893267711276665</v>
      </c>
    </row>
    <row r="112" spans="3:8">
      <c r="C112" t="s">
        <v>192</v>
      </c>
      <c r="G112" s="1" t="s">
        <v>70</v>
      </c>
      <c r="H112" s="1"/>
    </row>
    <row r="113" spans="1:8">
      <c r="C113" s="1" t="s">
        <v>65</v>
      </c>
      <c r="D113" s="1">
        <v>-0.29204783262321909</v>
      </c>
      <c r="G113" t="s">
        <v>63</v>
      </c>
      <c r="H113">
        <v>-0.20984666776610875</v>
      </c>
    </row>
    <row r="114" spans="1:8">
      <c r="C114" s="1" t="s">
        <v>62</v>
      </c>
      <c r="D114" s="1">
        <v>-0.46853593356776635</v>
      </c>
      <c r="G114" t="s">
        <v>56</v>
      </c>
      <c r="H114">
        <v>-0.24026493104775123</v>
      </c>
    </row>
    <row r="115" spans="1:8">
      <c r="C115" s="1" t="s">
        <v>66</v>
      </c>
      <c r="D115" s="1">
        <v>-0.35550149455908486</v>
      </c>
      <c r="G115" t="s">
        <v>65</v>
      </c>
      <c r="H115">
        <v>-0.29204783262321909</v>
      </c>
    </row>
    <row r="116" spans="1:8">
      <c r="C116" s="1" t="s">
        <v>67</v>
      </c>
      <c r="D116" s="1">
        <v>-0.50778668553756101</v>
      </c>
    </row>
    <row r="117" spans="1:8">
      <c r="C117" s="1" t="s">
        <v>60</v>
      </c>
      <c r="D117" s="1">
        <v>-0.30218818784959328</v>
      </c>
    </row>
    <row r="118" spans="1:8">
      <c r="C118" s="1" t="s">
        <v>61</v>
      </c>
      <c r="D118" s="1">
        <v>-0.42732077237328164</v>
      </c>
    </row>
    <row r="119" spans="1:8">
      <c r="C119" s="1" t="s">
        <v>69</v>
      </c>
      <c r="D119" s="1">
        <v>-0.7376627261740144</v>
      </c>
    </row>
    <row r="120" spans="1:8">
      <c r="C120" s="1" t="s">
        <v>58</v>
      </c>
      <c r="D120" s="1">
        <v>-0.39167585265684346</v>
      </c>
    </row>
    <row r="121" spans="1:8">
      <c r="C121" s="1" t="s">
        <v>59</v>
      </c>
      <c r="D121" s="1">
        <v>-0.48372516002837296</v>
      </c>
    </row>
    <row r="122" spans="1:8">
      <c r="C122" s="1" t="s">
        <v>63</v>
      </c>
      <c r="D122" s="1">
        <v>-0.20984666776610875</v>
      </c>
    </row>
    <row r="123" spans="1:8">
      <c r="C123" s="1" t="s">
        <v>64</v>
      </c>
      <c r="D123" s="1">
        <v>-0.38162623063977752</v>
      </c>
      <c r="H123" t="b">
        <f>-2 &lt; -9</f>
        <v>0</v>
      </c>
    </row>
    <row r="124" spans="1:8">
      <c r="C124" s="1" t="s">
        <v>68</v>
      </c>
      <c r="D124" s="1">
        <v>-0.61380827186639575</v>
      </c>
      <c r="H124" t="b">
        <f>-2 &gt; -9</f>
        <v>1</v>
      </c>
    </row>
    <row r="125" spans="1:8">
      <c r="C125" s="1" t="s">
        <v>56</v>
      </c>
      <c r="D125" s="1">
        <v>-0.24026493104775123</v>
      </c>
    </row>
    <row r="126" spans="1:8">
      <c r="C126" s="1" t="s">
        <v>57</v>
      </c>
      <c r="D126" s="1">
        <v>-0.3769545650045959</v>
      </c>
    </row>
    <row r="128" spans="1:8">
      <c r="A128" t="s">
        <v>98</v>
      </c>
    </row>
    <row r="129" spans="2:9">
      <c r="B129" s="19" t="s">
        <v>85</v>
      </c>
      <c r="C129" s="19"/>
      <c r="D129" s="19"/>
      <c r="E129" s="19"/>
      <c r="F129" s="19"/>
    </row>
    <row r="130" spans="2:9">
      <c r="B130" s="19"/>
      <c r="C130" s="19"/>
      <c r="D130" s="19"/>
      <c r="E130" s="19"/>
      <c r="F130" s="19"/>
    </row>
    <row r="131" spans="2:9" ht="16" thickBot="1">
      <c r="B131" s="20" t="s">
        <v>86</v>
      </c>
      <c r="C131" s="20"/>
      <c r="D131" s="19"/>
      <c r="E131" s="20"/>
      <c r="F131" s="20"/>
    </row>
    <row r="132" spans="2:9" ht="16" thickTop="1">
      <c r="B132" s="19" t="s">
        <v>71</v>
      </c>
      <c r="C132" s="19">
        <v>0.73766273000000004</v>
      </c>
      <c r="D132" s="19"/>
      <c r="E132" s="19" t="s">
        <v>87</v>
      </c>
      <c r="F132" s="19">
        <v>1851.0091600000001</v>
      </c>
    </row>
    <row r="133" spans="2:9">
      <c r="B133" s="19" t="s">
        <v>72</v>
      </c>
      <c r="C133" s="19">
        <v>0.54414629999999997</v>
      </c>
      <c r="D133" s="19"/>
      <c r="E133" s="19" t="s">
        <v>88</v>
      </c>
      <c r="F133" s="19">
        <v>1851.0569700000001</v>
      </c>
      <c r="G133" s="19"/>
      <c r="H133" s="19"/>
    </row>
    <row r="134" spans="2:9">
      <c r="B134" s="19" t="s">
        <v>73</v>
      </c>
      <c r="C134" s="19">
        <v>0.54324183000000004</v>
      </c>
      <c r="D134" s="19"/>
      <c r="E134" s="21" t="s">
        <v>89</v>
      </c>
      <c r="F134" s="21">
        <v>1859.4622300000001</v>
      </c>
      <c r="G134" s="19"/>
      <c r="H134" s="19"/>
    </row>
    <row r="135" spans="2:9">
      <c r="B135" s="19" t="s">
        <v>74</v>
      </c>
      <c r="C135" s="19">
        <v>6.2157604099999997</v>
      </c>
      <c r="D135" s="19"/>
      <c r="E135" s="19"/>
      <c r="F135" s="19"/>
      <c r="G135" s="19"/>
      <c r="H135" s="19"/>
    </row>
    <row r="136" spans="2:9">
      <c r="B136" s="21" t="s">
        <v>75</v>
      </c>
      <c r="C136" s="21">
        <v>506</v>
      </c>
      <c r="D136" s="19"/>
      <c r="E136" s="19"/>
      <c r="F136" s="19"/>
      <c r="G136" s="19"/>
      <c r="H136" s="19"/>
    </row>
    <row r="137" spans="2:9">
      <c r="B137" s="19"/>
      <c r="C137" s="19"/>
      <c r="D137" s="19"/>
      <c r="E137" s="19"/>
      <c r="F137" s="19"/>
      <c r="G137" s="19"/>
      <c r="H137" s="19"/>
    </row>
    <row r="138" spans="2:9" ht="16" thickBot="1">
      <c r="B138" s="19" t="s">
        <v>76</v>
      </c>
      <c r="C138" s="19"/>
      <c r="D138" s="19"/>
      <c r="E138" s="19"/>
      <c r="F138" s="22" t="s">
        <v>90</v>
      </c>
      <c r="G138" s="22">
        <v>0.05</v>
      </c>
      <c r="H138" s="19"/>
    </row>
    <row r="139" spans="2:9" ht="16" thickTop="1">
      <c r="B139" s="23"/>
      <c r="C139" s="23" t="s">
        <v>81</v>
      </c>
      <c r="D139" s="23" t="s">
        <v>82</v>
      </c>
      <c r="E139" s="23" t="s">
        <v>83</v>
      </c>
      <c r="F139" s="23" t="s">
        <v>84</v>
      </c>
      <c r="G139" s="23" t="s">
        <v>91</v>
      </c>
      <c r="H139" s="23" t="s">
        <v>92</v>
      </c>
    </row>
    <row r="140" spans="2:9">
      <c r="B140" s="19" t="s">
        <v>77</v>
      </c>
      <c r="C140" s="19">
        <v>1</v>
      </c>
      <c r="D140" s="19">
        <v>23243.914000000001</v>
      </c>
      <c r="E140" s="19">
        <v>23243.914000000001</v>
      </c>
      <c r="F140" s="19">
        <v>601.61787100000004</v>
      </c>
      <c r="G140" s="24">
        <v>5.0810999999999996E-88</v>
      </c>
      <c r="H140" s="22" t="s">
        <v>99</v>
      </c>
    </row>
    <row r="141" spans="2:9">
      <c r="B141" s="19" t="s">
        <v>78</v>
      </c>
      <c r="C141" s="19">
        <v>504</v>
      </c>
      <c r="D141" s="19">
        <v>19472.381399999998</v>
      </c>
      <c r="E141" s="19">
        <v>38.635677399999999</v>
      </c>
      <c r="F141" s="19"/>
      <c r="G141" s="19"/>
      <c r="H141" s="19"/>
    </row>
    <row r="142" spans="2:9">
      <c r="B142" s="21" t="s">
        <v>79</v>
      </c>
      <c r="C142" s="21">
        <v>505</v>
      </c>
      <c r="D142" s="21">
        <v>42716.295400000003</v>
      </c>
      <c r="E142" s="21"/>
      <c r="F142" s="21"/>
      <c r="G142" s="21"/>
      <c r="H142" s="21"/>
    </row>
    <row r="143" spans="2:9" ht="16" thickBot="1">
      <c r="B143" s="19"/>
      <c r="C143" s="19"/>
      <c r="D143" s="19"/>
      <c r="E143" s="19"/>
      <c r="F143" s="19"/>
      <c r="G143" s="19"/>
      <c r="H143" s="19"/>
    </row>
    <row r="144" spans="2:9" ht="16" thickTop="1">
      <c r="B144" s="23"/>
      <c r="C144" s="23" t="s">
        <v>93</v>
      </c>
      <c r="D144" s="23" t="s">
        <v>94</v>
      </c>
      <c r="E144" s="23" t="s">
        <v>95</v>
      </c>
      <c r="F144" s="23" t="s">
        <v>91</v>
      </c>
      <c r="G144" s="23" t="s">
        <v>96</v>
      </c>
      <c r="H144" s="23" t="s">
        <v>97</v>
      </c>
      <c r="I144" s="18" t="s">
        <v>92</v>
      </c>
    </row>
    <row r="145" spans="1:9">
      <c r="B145" s="19" t="s">
        <v>80</v>
      </c>
      <c r="C145" s="19">
        <v>34.553840899999997</v>
      </c>
      <c r="D145" s="19">
        <v>0.56262734999999997</v>
      </c>
      <c r="E145" s="19">
        <v>61.415145500000001</v>
      </c>
      <c r="F145" s="24">
        <v>3.7429999999999998E-236</v>
      </c>
      <c r="G145" s="19">
        <v>33.448457040000001</v>
      </c>
      <c r="H145" s="19">
        <v>35.659224700000003</v>
      </c>
      <c r="I145" s="17" t="str">
        <f>IF(F145&lt;G138,"yes","no")</f>
        <v>yes</v>
      </c>
    </row>
    <row r="146" spans="1:9">
      <c r="B146" s="21" t="s">
        <v>5</v>
      </c>
      <c r="C146" s="21">
        <v>-0.95004940000000004</v>
      </c>
      <c r="D146" s="21">
        <v>3.8733419999999998E-2</v>
      </c>
      <c r="E146" s="21">
        <v>-24.527899999999999</v>
      </c>
      <c r="F146" s="25">
        <v>5.0810999999999996E-88</v>
      </c>
      <c r="G146" s="21">
        <v>-1.0261482</v>
      </c>
      <c r="H146" s="21">
        <v>-0.87395049999999996</v>
      </c>
      <c r="I146" s="28" t="str">
        <f>IF(F146&lt;G138,"yes","no")</f>
        <v>yes</v>
      </c>
    </row>
    <row r="147" spans="1:9">
      <c r="I147" s="27"/>
    </row>
    <row r="148" spans="1:9">
      <c r="B148" t="s">
        <v>100</v>
      </c>
      <c r="C148" t="s">
        <v>103</v>
      </c>
      <c r="E148" t="s">
        <v>109</v>
      </c>
    </row>
    <row r="149" spans="1:9">
      <c r="B149" s="1" t="s">
        <v>101</v>
      </c>
      <c r="C149" s="1">
        <f>SLOPE(dataset[AVG_PRICE],dataset[LSTAT])</f>
        <v>-0.95004935375799049</v>
      </c>
    </row>
    <row r="150" spans="1:9">
      <c r="B150" s="1" t="s">
        <v>102</v>
      </c>
      <c r="C150" s="1">
        <f>INTERCEPT(dataset[AVG_PRICE],dataset[LSTAT])</f>
        <v>34.553840879383124</v>
      </c>
    </row>
    <row r="153" spans="1:9">
      <c r="B153" t="s">
        <v>104</v>
      </c>
      <c r="F153" s="1" t="s">
        <v>18</v>
      </c>
      <c r="G153" s="39">
        <v>23243.914000000001</v>
      </c>
    </row>
    <row r="154" spans="1:9">
      <c r="B154" s="1" t="s">
        <v>105</v>
      </c>
      <c r="C154" s="40">
        <v>0.54324183000000004</v>
      </c>
      <c r="F154" s="1" t="s">
        <v>106</v>
      </c>
      <c r="G154" s="39">
        <v>-0.95004940000000004</v>
      </c>
    </row>
    <row r="155" spans="1:9">
      <c r="B155" s="1" t="s">
        <v>107</v>
      </c>
      <c r="C155" s="41">
        <f>1 - C154</f>
        <v>0.45675816999999996</v>
      </c>
      <c r="F155" s="1" t="s">
        <v>80</v>
      </c>
      <c r="G155" s="39">
        <v>34.553840899999997</v>
      </c>
    </row>
    <row r="159" spans="1:9">
      <c r="A159" t="s">
        <v>108</v>
      </c>
    </row>
    <row r="160" spans="1:9">
      <c r="B160" t="s">
        <v>85</v>
      </c>
    </row>
    <row r="162" spans="2:10" ht="16" thickBot="1">
      <c r="B162" s="16" t="s">
        <v>86</v>
      </c>
      <c r="C162" s="16"/>
      <c r="E162" s="16"/>
      <c r="F162" s="16"/>
    </row>
    <row r="163" spans="2:10" ht="16" thickTop="1">
      <c r="B163" t="s">
        <v>71</v>
      </c>
      <c r="C163">
        <f>SQRT(C164)</f>
        <v>0.79910049822305895</v>
      </c>
      <c r="E163" t="s">
        <v>87</v>
      </c>
      <c r="F163">
        <f>C167*LN(D172/C167)+2*(C171+1)</f>
        <v>1735.5765186960718</v>
      </c>
    </row>
    <row r="164" spans="2:10">
      <c r="B164" t="s">
        <v>72</v>
      </c>
      <c r="C164">
        <f>D171/D173</f>
        <v>0.63856160626034097</v>
      </c>
      <c r="E164" t="s">
        <v>88</v>
      </c>
      <c r="F164">
        <f>F163+2*(C171+2)*(C171+3)/(C167-C171-3)</f>
        <v>1735.6563590154331</v>
      </c>
    </row>
    <row r="165" spans="2:10">
      <c r="B165" t="s">
        <v>73</v>
      </c>
      <c r="C165">
        <f>1-(1-C164)*(C167-1)/(C167-C171-1)</f>
        <v>0.63712447547012374</v>
      </c>
      <c r="E165" s="10" t="s">
        <v>89</v>
      </c>
      <c r="F165" s="10">
        <f>C167*LN(D172/C167)+(C171+1)*LN(C167)</f>
        <v>1748.2561287039343</v>
      </c>
    </row>
    <row r="166" spans="2:10">
      <c r="B166" t="s">
        <v>74</v>
      </c>
      <c r="C166">
        <f>SQRT(E172)</f>
        <v>5.5402573669886666</v>
      </c>
    </row>
    <row r="167" spans="2:10">
      <c r="B167" s="10" t="s">
        <v>75</v>
      </c>
      <c r="C167" s="10">
        <f>COUNT(data!J2:J507)</f>
        <v>506</v>
      </c>
    </row>
    <row r="169" spans="2:10" ht="16" thickBot="1">
      <c r="B169" t="s">
        <v>76</v>
      </c>
      <c r="F169" s="17" t="s">
        <v>90</v>
      </c>
      <c r="G169" s="17">
        <v>0.05</v>
      </c>
    </row>
    <row r="170" spans="2:10" ht="16" thickTop="1">
      <c r="B170" s="18"/>
      <c r="C170" s="18" t="s">
        <v>81</v>
      </c>
      <c r="D170" s="18" t="s">
        <v>82</v>
      </c>
      <c r="E170" s="18" t="s">
        <v>83</v>
      </c>
      <c r="F170" s="18" t="s">
        <v>84</v>
      </c>
      <c r="G170" s="18" t="s">
        <v>91</v>
      </c>
      <c r="H170" s="18" t="s">
        <v>92</v>
      </c>
    </row>
    <row r="171" spans="2:10">
      <c r="B171" t="s">
        <v>77</v>
      </c>
      <c r="C171">
        <f>COUNT(data!H2:I2)</f>
        <v>2</v>
      </c>
      <c r="D171">
        <f>DEVSQ(MMULT([1]!DESIGN(data!H2:I507),C176:C178))</f>
        <v>27276.986213706277</v>
      </c>
      <c r="E171">
        <f>D171/C171</f>
        <v>13638.493106853139</v>
      </c>
      <c r="F171">
        <f>E171/E172</f>
        <v>444.33089222434211</v>
      </c>
      <c r="G171">
        <f>_xlfn.F.DIST.RT(F171,C171,C172)</f>
        <v>7.008455349863635E-112</v>
      </c>
      <c r="H171" s="17" t="str">
        <f>IF(G171&lt;G169,"yes","no")</f>
        <v>yes</v>
      </c>
      <c r="I171" t="s">
        <v>243</v>
      </c>
    </row>
    <row r="172" spans="2:10">
      <c r="B172" t="s">
        <v>78</v>
      </c>
      <c r="C172">
        <f>C173-C171</f>
        <v>503</v>
      </c>
      <c r="D172">
        <f>D173-D171</f>
        <v>15439.309201313514</v>
      </c>
      <c r="E172">
        <f>D172/C172</f>
        <v>30.694451692472196</v>
      </c>
      <c r="I172" t="s">
        <v>244</v>
      </c>
    </row>
    <row r="173" spans="2:10">
      <c r="B173" s="10" t="s">
        <v>79</v>
      </c>
      <c r="C173" s="10">
        <f>C167-1</f>
        <v>505</v>
      </c>
      <c r="D173" s="10">
        <f>DEVSQ(data!J2:J507)</f>
        <v>42716.295415019791</v>
      </c>
      <c r="E173" s="10"/>
      <c r="F173" s="10"/>
      <c r="G173" s="10"/>
      <c r="H173" s="10"/>
    </row>
    <row r="174" spans="2:10" ht="16" thickBot="1"/>
    <row r="175" spans="2:10" ht="16" thickTop="1">
      <c r="B175" s="18"/>
      <c r="C175" s="18" t="s">
        <v>93</v>
      </c>
      <c r="D175" s="18" t="s">
        <v>94</v>
      </c>
      <c r="E175" s="18" t="s">
        <v>95</v>
      </c>
      <c r="F175" s="18" t="s">
        <v>91</v>
      </c>
      <c r="G175" s="18" t="s">
        <v>96</v>
      </c>
      <c r="H175" s="18" t="s">
        <v>97</v>
      </c>
      <c r="I175" s="18" t="s">
        <v>110</v>
      </c>
      <c r="J175" s="18" t="s">
        <v>92</v>
      </c>
    </row>
    <row r="176" spans="2:10">
      <c r="B176" t="s">
        <v>80</v>
      </c>
      <c r="C176">
        <f t="array" ref="C176:D178">[1]!RegCoeff(data!H2:I507,data!J2:J507)</f>
        <v>-1.3582728118745564</v>
      </c>
      <c r="D176">
        <v>3.1728277799470259</v>
      </c>
      <c r="E176">
        <f>C176/D176</f>
        <v>-0.42809534777120312</v>
      </c>
      <c r="F176">
        <f>_xlfn.T.DIST.2T(ABS(E176),$C$172)</f>
        <v>0.66876494076619819</v>
      </c>
      <c r="G176">
        <f>C176-_xlfn.T.INV.2T(G$169,$C$172)*D176</f>
        <v>-7.5919002818329648</v>
      </c>
      <c r="H176">
        <f>C176+_xlfn.T.INV.2T(G$169,$C$172)*D176</f>
        <v>4.875354658083852</v>
      </c>
      <c r="J176" s="17" t="str">
        <f>IF($F176&lt;$G$169,"yes","no")</f>
        <v>no</v>
      </c>
    </row>
    <row r="177" spans="1:10">
      <c r="B177" t="str">
        <f t="array" ref="B177:B178">TRANSPOSE(data!H1:I1)</f>
        <v>AVG_ROOM</v>
      </c>
      <c r="C177">
        <v>5.0947879843365511</v>
      </c>
      <c r="D177">
        <v>0.44446550037718507</v>
      </c>
      <c r="E177">
        <f>C177/D177</f>
        <v>11.462729908199805</v>
      </c>
      <c r="F177">
        <f>_xlfn.T.DIST.2T(ABS(E177),$C$172)</f>
        <v>3.4722576039980228E-27</v>
      </c>
      <c r="G177">
        <f>C177-_xlfn.T.INV.2T(G$169,$C$172)*D177</f>
        <v>4.2215504357651978</v>
      </c>
      <c r="H177">
        <f>C177+_xlfn.T.INV.2T(G$169,$C$172)*D177</f>
        <v>5.9680255329079044</v>
      </c>
      <c r="I177">
        <f>[1]!VIF(data!H2:I507,1)</f>
        <v>1.6045198544158512</v>
      </c>
      <c r="J177" s="17" t="str">
        <f t="shared" ref="J177:J178" si="1">IF($F177&lt;$G$169,"yes","no")</f>
        <v>yes</v>
      </c>
    </row>
    <row r="178" spans="1:10">
      <c r="B178" s="10" t="str">
        <v>LSTAT</v>
      </c>
      <c r="C178" s="10">
        <v>-0.64235833424412891</v>
      </c>
      <c r="D178" s="10">
        <v>4.3731464814494379E-2</v>
      </c>
      <c r="E178" s="10">
        <f>C178/D178</f>
        <v>-14.688699245931167</v>
      </c>
      <c r="F178" s="10">
        <f>_xlfn.T.DIST.2T(ABS(E178),$C$172)</f>
        <v>6.6693654802182096E-41</v>
      </c>
      <c r="G178" s="10">
        <f>C178-_xlfn.T.INV.2T(G$169,$C$172)*D178</f>
        <v>-0.72827716730909386</v>
      </c>
      <c r="H178" s="10">
        <f>C178+_xlfn.T.INV.2T(G$169,$C$172)*D178</f>
        <v>-0.55643950117916396</v>
      </c>
      <c r="I178" s="10">
        <f>[1]!VIF(data!H2:I507,2)</f>
        <v>1.6045198544158512</v>
      </c>
      <c r="J178" s="26" t="str">
        <f t="shared" si="1"/>
        <v>yes</v>
      </c>
    </row>
    <row r="182" spans="1:10">
      <c r="B182" s="1" t="s">
        <v>18</v>
      </c>
      <c r="C182" s="39">
        <v>27276.986213706277</v>
      </c>
      <c r="D182" s="1"/>
    </row>
    <row r="183" spans="1:10">
      <c r="B183" s="1" t="s">
        <v>111</v>
      </c>
      <c r="C183" s="39">
        <v>-0.64235833424412891</v>
      </c>
      <c r="D183" s="1">
        <v>5.0947879843365511</v>
      </c>
    </row>
    <row r="184" spans="1:10">
      <c r="B184" s="1" t="s">
        <v>80</v>
      </c>
      <c r="C184" s="39">
        <v>-1.3582728118745564</v>
      </c>
      <c r="D184" s="1"/>
    </row>
    <row r="187" spans="1:10">
      <c r="B187" t="s">
        <v>115</v>
      </c>
    </row>
    <row r="188" spans="1:10">
      <c r="B188" s="1" t="s">
        <v>105</v>
      </c>
      <c r="C188" s="40">
        <v>0.63712447547012374</v>
      </c>
    </row>
    <row r="189" spans="1:10">
      <c r="B189" s="1" t="s">
        <v>107</v>
      </c>
      <c r="C189" s="41">
        <f>1 - C188</f>
        <v>0.36287552452987626</v>
      </c>
    </row>
    <row r="192" spans="1:10">
      <c r="A192" t="s">
        <v>116</v>
      </c>
    </row>
    <row r="193" spans="2:5">
      <c r="B193" t="s">
        <v>117</v>
      </c>
    </row>
    <row r="194" spans="2:5">
      <c r="C194" s="29" t="s">
        <v>120</v>
      </c>
      <c r="D194" s="30">
        <v>7</v>
      </c>
    </row>
    <row r="195" spans="2:5">
      <c r="C195" s="29" t="s">
        <v>121</v>
      </c>
      <c r="D195" s="30">
        <v>20</v>
      </c>
    </row>
    <row r="196" spans="2:5">
      <c r="C196" s="29" t="s">
        <v>122</v>
      </c>
      <c r="D196" s="30" t="s">
        <v>118</v>
      </c>
    </row>
    <row r="198" spans="2:5">
      <c r="B198" t="s">
        <v>119</v>
      </c>
    </row>
    <row r="199" spans="2:5">
      <c r="B199" s="19" t="s">
        <v>123</v>
      </c>
      <c r="C199" t="s">
        <v>114</v>
      </c>
    </row>
    <row r="200" spans="2:5">
      <c r="B200" t="s">
        <v>124</v>
      </c>
    </row>
    <row r="201" spans="2:5">
      <c r="B201" s="1" t="s">
        <v>112</v>
      </c>
      <c r="C201" s="39">
        <v>-0.64235833424412891</v>
      </c>
    </row>
    <row r="202" spans="2:5">
      <c r="B202" s="1" t="s">
        <v>113</v>
      </c>
      <c r="C202" s="1">
        <v>5.0947879843365511</v>
      </c>
    </row>
    <row r="203" spans="2:5">
      <c r="B203" s="1" t="s">
        <v>102</v>
      </c>
      <c r="C203" s="1">
        <v>-1.3582728118745564</v>
      </c>
    </row>
    <row r="205" spans="2:5">
      <c r="B205" t="s">
        <v>125</v>
      </c>
    </row>
    <row r="206" spans="2:5">
      <c r="C206" s="29" t="s">
        <v>126</v>
      </c>
      <c r="D206">
        <f xml:space="preserve"> -0.642358334*20 + 5.094787984*7 -1.358272812</f>
        <v>21.458076395999999</v>
      </c>
      <c r="E206" t="s">
        <v>232</v>
      </c>
    </row>
    <row r="207" spans="2:5">
      <c r="D207" s="35">
        <f>D206*1000</f>
        <v>21458.076396</v>
      </c>
      <c r="E207" t="s">
        <v>233</v>
      </c>
    </row>
    <row r="208" spans="2:5">
      <c r="D208" s="35"/>
    </row>
    <row r="209" spans="1:6">
      <c r="B209" t="s">
        <v>234</v>
      </c>
      <c r="D209" t="b">
        <f>21458 &lt; 30000</f>
        <v>1</v>
      </c>
    </row>
    <row r="213" spans="1:6">
      <c r="A213" t="s">
        <v>127</v>
      </c>
    </row>
    <row r="214" spans="1:6">
      <c r="B214" t="s">
        <v>128</v>
      </c>
    </row>
    <row r="215" spans="1:6">
      <c r="C215" s="1" t="s">
        <v>129</v>
      </c>
      <c r="D215" s="1" t="s">
        <v>98</v>
      </c>
      <c r="E215" s="39">
        <v>0.54324183000000004</v>
      </c>
      <c r="F215" s="40"/>
    </row>
    <row r="216" spans="1:6">
      <c r="C216" s="1" t="s">
        <v>130</v>
      </c>
      <c r="D216" s="1" t="s">
        <v>108</v>
      </c>
      <c r="E216" s="1">
        <v>0.63712447547012374</v>
      </c>
      <c r="F216" s="44"/>
    </row>
    <row r="218" spans="1:6">
      <c r="B218" t="s">
        <v>131</v>
      </c>
    </row>
    <row r="222" spans="1:6">
      <c r="A222" t="s">
        <v>132</v>
      </c>
    </row>
    <row r="223" spans="1:6">
      <c r="B223" t="s">
        <v>85</v>
      </c>
    </row>
    <row r="225" spans="2:10" ht="16" thickBot="1">
      <c r="B225" s="16" t="s">
        <v>86</v>
      </c>
      <c r="C225" s="16"/>
      <c r="E225" s="16"/>
      <c r="F225" s="16"/>
    </row>
    <row r="226" spans="2:10" ht="16" thickTop="1">
      <c r="B226" t="s">
        <v>71</v>
      </c>
      <c r="C226">
        <f>SQRT(C227)</f>
        <v>0.83297882354603858</v>
      </c>
      <c r="E226" t="s">
        <v>87</v>
      </c>
      <c r="F226">
        <f>C230*LN(D235/C230)+2*(C234+1)</f>
        <v>1665.5660555648292</v>
      </c>
    </row>
    <row r="227" spans="2:10">
      <c r="B227" t="s">
        <v>72</v>
      </c>
      <c r="C227">
        <f>D234/D236</f>
        <v>0.69385372047614247</v>
      </c>
      <c r="E227" t="s">
        <v>88</v>
      </c>
      <c r="F227">
        <f>F226+2*(C234+2)*(C234+3)/(C230-C234-3)</f>
        <v>1666.1004685202947</v>
      </c>
    </row>
    <row r="228" spans="2:10">
      <c r="B228" t="s">
        <v>73</v>
      </c>
      <c r="C228">
        <f>1-(1-C227)*(C230-1)/(C230-C234-1)</f>
        <v>0.68829864685574993</v>
      </c>
      <c r="E228" s="10" t="s">
        <v>89</v>
      </c>
      <c r="F228" s="10">
        <f>C230*LN(D235/C230)+(C234+1)*LN(C230)</f>
        <v>1707.8314222577039</v>
      </c>
    </row>
    <row r="229" spans="2:10">
      <c r="B229" t="s">
        <v>74</v>
      </c>
      <c r="C229">
        <f>SQRT(E235)</f>
        <v>5.1347635001350547</v>
      </c>
    </row>
    <row r="230" spans="2:10">
      <c r="B230" s="10" t="s">
        <v>75</v>
      </c>
      <c r="C230" s="10">
        <f>COUNT(data!J2:J507)</f>
        <v>506</v>
      </c>
    </row>
    <row r="232" spans="2:10" ht="16" thickBot="1">
      <c r="B232" t="s">
        <v>76</v>
      </c>
      <c r="F232" s="17" t="s">
        <v>90</v>
      </c>
      <c r="G232" s="17">
        <v>0.05</v>
      </c>
    </row>
    <row r="233" spans="2:10" ht="16" thickTop="1">
      <c r="B233" s="18"/>
      <c r="C233" s="18" t="s">
        <v>81</v>
      </c>
      <c r="D233" s="18" t="s">
        <v>82</v>
      </c>
      <c r="E233" s="18" t="s">
        <v>83</v>
      </c>
      <c r="F233" s="18" t="s">
        <v>84</v>
      </c>
      <c r="G233" s="18" t="s">
        <v>91</v>
      </c>
      <c r="H233" s="18" t="s">
        <v>92</v>
      </c>
    </row>
    <row r="234" spans="2:10">
      <c r="B234" t="s">
        <v>77</v>
      </c>
      <c r="C234">
        <f>COUNT(data!A2:I2)</f>
        <v>9</v>
      </c>
      <c r="D234">
        <f>DEVSQ(MMULT([1]!DESIGN(data!A2:I507),C239:C248))</f>
        <v>29638.86049866947</v>
      </c>
      <c r="E234">
        <f>D234/C234</f>
        <v>3293.2067220743857</v>
      </c>
      <c r="F234">
        <f>E234/E235</f>
        <v>124.90450494283604</v>
      </c>
      <c r="G234">
        <f>_xlfn.F.DIST.RT(F234,C234,C235)</f>
        <v>1.932755545490486E-121</v>
      </c>
      <c r="H234" s="17" t="str">
        <f>IF(G234&lt;G232,"yes","no")</f>
        <v>yes</v>
      </c>
    </row>
    <row r="235" spans="2:10">
      <c r="B235" t="s">
        <v>78</v>
      </c>
      <c r="C235">
        <f>C236-C234</f>
        <v>496</v>
      </c>
      <c r="D235">
        <f>D236-D234</f>
        <v>13077.434916350321</v>
      </c>
      <c r="E235">
        <f>D235/C235</f>
        <v>26.365796202319196</v>
      </c>
    </row>
    <row r="236" spans="2:10">
      <c r="B236" s="10" t="s">
        <v>79</v>
      </c>
      <c r="C236" s="10">
        <f>C230-1</f>
        <v>505</v>
      </c>
      <c r="D236" s="10">
        <f>DEVSQ(data!J2:J507)</f>
        <v>42716.295415019791</v>
      </c>
      <c r="E236" s="10"/>
      <c r="F236" s="10"/>
      <c r="G236" s="10"/>
      <c r="H236" s="10"/>
    </row>
    <row r="237" spans="2:10" ht="16" thickBot="1"/>
    <row r="238" spans="2:10" ht="16" thickTop="1">
      <c r="B238" s="18"/>
      <c r="C238" s="18" t="s">
        <v>93</v>
      </c>
      <c r="D238" s="18" t="s">
        <v>94</v>
      </c>
      <c r="E238" s="18" t="s">
        <v>95</v>
      </c>
      <c r="F238" s="18" t="s">
        <v>91</v>
      </c>
      <c r="G238" s="18" t="s">
        <v>96</v>
      </c>
      <c r="H238" s="18" t="s">
        <v>97</v>
      </c>
      <c r="I238" s="18" t="s">
        <v>110</v>
      </c>
      <c r="J238" s="18" t="s">
        <v>92</v>
      </c>
    </row>
    <row r="239" spans="2:10">
      <c r="B239" t="s">
        <v>80</v>
      </c>
      <c r="C239">
        <f t="array" ref="C239:D248">[1]!RegCoeff(data!A2:I507,data!J2:J507)</f>
        <v>29.241315256500638</v>
      </c>
      <c r="D239">
        <v>4.8171255960748303</v>
      </c>
      <c r="E239">
        <f t="shared" ref="E239:E248" si="2">C239/D239</f>
        <v>6.0702829256367172</v>
      </c>
      <c r="F239">
        <f t="shared" ref="F239:F248" si="3">_xlfn.T.DIST.2T(ABS(E239),$C$235)</f>
        <v>2.5397764635999616E-9</v>
      </c>
      <c r="G239">
        <f t="shared" ref="G239:G248" si="4">C239-_xlfn.T.INV.2T(G$232,$C$235)*D239</f>
        <v>19.776827840219489</v>
      </c>
      <c r="H239">
        <f t="shared" ref="H239:H248" si="5">C239+_xlfn.T.INV.2T(G$232,$C$235)*D239</f>
        <v>38.705802672781786</v>
      </c>
      <c r="J239" s="17" t="str">
        <f>IF($F239 &lt;$G$232,"yes","no")</f>
        <v>yes</v>
      </c>
    </row>
    <row r="240" spans="2:10">
      <c r="B240" t="str">
        <f t="array" ref="B240:B248">TRANSPOSE(data!A1:I1)</f>
        <v>CRIME_RATE</v>
      </c>
      <c r="C240">
        <v>4.8725141318604101E-2</v>
      </c>
      <c r="D240">
        <v>7.8418646579864776E-2</v>
      </c>
      <c r="E240">
        <f t="shared" si="2"/>
        <v>0.62134636905497231</v>
      </c>
      <c r="F240">
        <f t="shared" si="3"/>
        <v>0.53465720116696813</v>
      </c>
      <c r="G240">
        <f t="shared" si="4"/>
        <v>-0.10534854410942256</v>
      </c>
      <c r="H240">
        <f t="shared" si="5"/>
        <v>0.20279882674663074</v>
      </c>
      <c r="I240">
        <f>[1]!VIF(data!A2:I507,1)</f>
        <v>1.0050588799467115</v>
      </c>
      <c r="J240" s="17" t="str">
        <f t="shared" ref="J240:J248" si="6">IF($F240 &lt;$G$232,"yes","no")</f>
        <v>no</v>
      </c>
    </row>
    <row r="241" spans="2:10">
      <c r="B241" t="str">
        <v>AGE</v>
      </c>
      <c r="C241">
        <v>3.2770688956176526E-2</v>
      </c>
      <c r="D241">
        <v>1.3097814009855432E-2</v>
      </c>
      <c r="E241">
        <f t="shared" si="2"/>
        <v>2.501996816531237</v>
      </c>
      <c r="F241">
        <f t="shared" si="3"/>
        <v>1.2670436901406405E-2</v>
      </c>
      <c r="G241">
        <f t="shared" si="4"/>
        <v>7.0366503880150248E-3</v>
      </c>
      <c r="H241">
        <f t="shared" si="5"/>
        <v>5.8504727524338024E-2</v>
      </c>
      <c r="I241">
        <f>[1]!VIF(data!A2:I507,2)</f>
        <v>2.6035731916156997</v>
      </c>
      <c r="J241" s="17" t="str">
        <f t="shared" si="6"/>
        <v>yes</v>
      </c>
    </row>
    <row r="242" spans="2:10">
      <c r="B242" t="str">
        <v>INDUS</v>
      </c>
      <c r="C242">
        <v>0.13055139892954534</v>
      </c>
      <c r="D242">
        <v>6.3117333907091122E-2</v>
      </c>
      <c r="E242">
        <f t="shared" si="2"/>
        <v>2.0683921650068005</v>
      </c>
      <c r="F242">
        <f t="shared" si="3"/>
        <v>3.9120860042193055E-2</v>
      </c>
      <c r="G242">
        <f t="shared" si="4"/>
        <v>6.5410943197504873E-3</v>
      </c>
      <c r="H242">
        <f t="shared" si="5"/>
        <v>0.25456170353934021</v>
      </c>
      <c r="I242">
        <f>[1]!VIF(data!A2:I507,3)</f>
        <v>3.5912091376853077</v>
      </c>
      <c r="J242" s="17" t="str">
        <f t="shared" si="6"/>
        <v>yes</v>
      </c>
    </row>
    <row r="243" spans="2:10">
      <c r="B243" t="str">
        <v>NOX</v>
      </c>
      <c r="C243">
        <v>-10.321182797844266</v>
      </c>
      <c r="D243">
        <v>3.8940362560021162</v>
      </c>
      <c r="E243">
        <f t="shared" si="2"/>
        <v>-2.6505101954137165</v>
      </c>
      <c r="F243">
        <f t="shared" si="3"/>
        <v>8.2938593414937645E-3</v>
      </c>
      <c r="G243">
        <f t="shared" si="4"/>
        <v>-17.972022787049742</v>
      </c>
      <c r="H243">
        <f t="shared" si="5"/>
        <v>-2.6703428086387886</v>
      </c>
      <c r="I243">
        <f>[1]!VIF(data!A2:I507,4)</f>
        <v>3.8998690047875959</v>
      </c>
      <c r="J243" s="17" t="str">
        <f t="shared" si="6"/>
        <v>yes</v>
      </c>
    </row>
    <row r="244" spans="2:10">
      <c r="B244" t="str">
        <v>DISTANCE</v>
      </c>
      <c r="C244">
        <v>0.26109357493488072</v>
      </c>
      <c r="D244">
        <v>6.7947067063959851E-2</v>
      </c>
      <c r="E244">
        <f t="shared" si="2"/>
        <v>3.8426025760480349</v>
      </c>
      <c r="F244">
        <f t="shared" si="3"/>
        <v>1.3754633918280917E-4</v>
      </c>
      <c r="G244">
        <f t="shared" si="4"/>
        <v>0.12759401209930349</v>
      </c>
      <c r="H244">
        <f t="shared" si="5"/>
        <v>0.39459313777045796</v>
      </c>
      <c r="I244">
        <f>[1]!VIF(data!A2:I507,5)</f>
        <v>6.7043222613049478</v>
      </c>
      <c r="J244" s="17" t="str">
        <f t="shared" si="6"/>
        <v>yes</v>
      </c>
    </row>
    <row r="245" spans="2:10">
      <c r="B245" t="str">
        <v>TAX</v>
      </c>
      <c r="C245">
        <v>-1.4401190390365847E-2</v>
      </c>
      <c r="D245">
        <v>3.9051575661650153E-3</v>
      </c>
      <c r="E245">
        <f t="shared" si="2"/>
        <v>-3.6877360634921215</v>
      </c>
      <c r="F245">
        <f t="shared" si="3"/>
        <v>2.5124706023866796E-4</v>
      </c>
      <c r="G245">
        <f t="shared" si="4"/>
        <v>-2.2073881065834328E-2</v>
      </c>
      <c r="H245">
        <f t="shared" si="5"/>
        <v>-6.7284997148973659E-3</v>
      </c>
      <c r="I245">
        <f>[1]!VIF(data!A2:I507,6)</f>
        <v>8.2969548500102572</v>
      </c>
      <c r="J245" s="17" t="str">
        <f t="shared" si="6"/>
        <v>yes</v>
      </c>
    </row>
    <row r="246" spans="2:10">
      <c r="B246" t="str">
        <v>PTRATIO</v>
      </c>
      <c r="C246">
        <v>-1.0743053484081106</v>
      </c>
      <c r="D246">
        <v>0.13360172188542851</v>
      </c>
      <c r="E246">
        <f t="shared" si="2"/>
        <v>-8.0411040609895128</v>
      </c>
      <c r="F246">
        <f t="shared" si="3"/>
        <v>6.5864159823552438E-15</v>
      </c>
      <c r="G246">
        <f t="shared" si="4"/>
        <v>-1.3368004381372365</v>
      </c>
      <c r="H246">
        <f t="shared" si="5"/>
        <v>-0.81181025867898482</v>
      </c>
      <c r="I246">
        <f>[1]!VIF(data!A2:I507,7)</f>
        <v>1.6023911719685535</v>
      </c>
      <c r="J246" s="17" t="str">
        <f t="shared" si="6"/>
        <v>yes</v>
      </c>
    </row>
    <row r="247" spans="2:10">
      <c r="B247" t="str">
        <v>AVG_ROOM</v>
      </c>
      <c r="C247">
        <v>4.125409151515619</v>
      </c>
      <c r="D247">
        <v>0.44275899858963497</v>
      </c>
      <c r="E247">
        <f t="shared" si="2"/>
        <v>9.3175049285428457</v>
      </c>
      <c r="F247">
        <f>_xlfn.T.DIST.2T(ABS(E247),$C$235)</f>
        <v>3.8928698157969983E-19</v>
      </c>
      <c r="G247">
        <f t="shared" si="4"/>
        <v>3.2554947415589002</v>
      </c>
      <c r="H247">
        <f t="shared" si="5"/>
        <v>4.9953235614723379</v>
      </c>
      <c r="I247">
        <f>[1]!VIF(data!A2:I507,8)</f>
        <v>1.8536287829347582</v>
      </c>
      <c r="J247" s="17" t="str">
        <f t="shared" si="6"/>
        <v>yes</v>
      </c>
    </row>
    <row r="248" spans="2:10">
      <c r="B248" s="10" t="str">
        <v>LSTAT</v>
      </c>
      <c r="C248" s="10">
        <v>-0.60348658908834441</v>
      </c>
      <c r="D248" s="10">
        <v>5.3081161221286026E-2</v>
      </c>
      <c r="E248" s="10">
        <f t="shared" si="2"/>
        <v>-11.369129371011967</v>
      </c>
      <c r="F248" s="10">
        <f t="shared" si="3"/>
        <v>8.9107126714390647E-27</v>
      </c>
      <c r="G248" s="10">
        <f t="shared" si="4"/>
        <v>-0.70777824028170644</v>
      </c>
      <c r="H248" s="10">
        <f t="shared" si="5"/>
        <v>-0.49919493789498237</v>
      </c>
      <c r="I248" s="10">
        <f>[1]!VIF(data!A2:I507,9)</f>
        <v>2.7520534561703816</v>
      </c>
      <c r="J248" s="26" t="str">
        <f t="shared" si="6"/>
        <v>yes</v>
      </c>
    </row>
    <row r="251" spans="2:10">
      <c r="B251" t="s">
        <v>135</v>
      </c>
    </row>
    <row r="252" spans="2:10">
      <c r="B252" t="s">
        <v>136</v>
      </c>
    </row>
    <row r="253" spans="2:10">
      <c r="B253" t="s">
        <v>148</v>
      </c>
    </row>
    <row r="254" spans="2:10">
      <c r="B254" s="1" t="s">
        <v>137</v>
      </c>
      <c r="C254" s="39">
        <v>4.8725141318604101E-2</v>
      </c>
    </row>
    <row r="255" spans="2:10">
      <c r="B255" s="1" t="s">
        <v>138</v>
      </c>
      <c r="C255" s="1">
        <v>3.2770688956176526E-2</v>
      </c>
    </row>
    <row r="256" spans="2:10">
      <c r="B256" s="1" t="s">
        <v>139</v>
      </c>
      <c r="C256" s="1">
        <v>0.13055139892954534</v>
      </c>
    </row>
    <row r="257" spans="1:18">
      <c r="B257" s="1" t="s">
        <v>140</v>
      </c>
      <c r="C257" s="1">
        <v>-10.321182797844266</v>
      </c>
    </row>
    <row r="258" spans="1:18">
      <c r="B258" s="1" t="s">
        <v>141</v>
      </c>
      <c r="C258" s="1">
        <v>0.26109357493488072</v>
      </c>
    </row>
    <row r="259" spans="1:18">
      <c r="B259" s="1" t="s">
        <v>142</v>
      </c>
      <c r="C259" s="1">
        <v>-1.4401190390365847E-2</v>
      </c>
    </row>
    <row r="260" spans="1:18">
      <c r="B260" s="1" t="s">
        <v>143</v>
      </c>
      <c r="C260" s="1">
        <v>-1.0743053484081106</v>
      </c>
    </row>
    <row r="261" spans="1:18">
      <c r="B261" s="1" t="s">
        <v>144</v>
      </c>
      <c r="C261" s="1">
        <v>4.125409151515619</v>
      </c>
    </row>
    <row r="262" spans="1:18">
      <c r="B262" s="1" t="s">
        <v>145</v>
      </c>
      <c r="C262" s="1">
        <v>-0.60348658908834441</v>
      </c>
    </row>
    <row r="263" spans="1:18">
      <c r="B263" s="1" t="s">
        <v>146</v>
      </c>
      <c r="C263" s="39">
        <v>29.241315256500638</v>
      </c>
    </row>
    <row r="265" spans="1:18">
      <c r="B265" t="s">
        <v>147</v>
      </c>
      <c r="I265" s="1" t="s">
        <v>18</v>
      </c>
      <c r="J265" s="39">
        <v>29638.86049866947</v>
      </c>
      <c r="K265" s="1"/>
      <c r="L265" s="1"/>
      <c r="M265" s="1"/>
      <c r="N265" s="1"/>
      <c r="O265" s="1"/>
      <c r="P265" s="1"/>
      <c r="Q265" s="1"/>
      <c r="R265" s="1"/>
    </row>
    <row r="266" spans="1:18">
      <c r="B266" s="1" t="s">
        <v>105</v>
      </c>
      <c r="C266" s="44">
        <v>0.68829864685574993</v>
      </c>
      <c r="I266" s="1" t="s">
        <v>111</v>
      </c>
      <c r="J266" s="39">
        <v>4.8725141318604101E-2</v>
      </c>
      <c r="K266" s="1">
        <v>3.2770688956176526E-2</v>
      </c>
      <c r="L266" s="1">
        <v>0.13055139892954534</v>
      </c>
      <c r="M266" s="1">
        <v>-10.321182797844266</v>
      </c>
      <c r="N266" s="1">
        <v>0.26109357493488072</v>
      </c>
      <c r="O266" s="1">
        <v>-1.4401190390365847E-2</v>
      </c>
      <c r="P266" s="1">
        <v>-1.0743053484081106</v>
      </c>
      <c r="Q266" s="1">
        <v>4.125409151515619</v>
      </c>
      <c r="R266" s="1">
        <v>-0.60348658908834441</v>
      </c>
    </row>
    <row r="267" spans="1:18">
      <c r="B267" s="1" t="s">
        <v>245</v>
      </c>
      <c r="C267" s="41">
        <f>1 - C266</f>
        <v>0.31170135314425007</v>
      </c>
      <c r="I267" s="1" t="s">
        <v>80</v>
      </c>
      <c r="J267" s="39">
        <v>29.241315256500638</v>
      </c>
      <c r="K267" s="1"/>
      <c r="L267" s="1"/>
      <c r="M267" s="1"/>
      <c r="N267" s="1"/>
      <c r="O267" s="1"/>
      <c r="P267" s="1"/>
      <c r="Q267" s="1"/>
      <c r="R267" s="1"/>
    </row>
    <row r="272" spans="1:18">
      <c r="A272" t="s">
        <v>134</v>
      </c>
    </row>
    <row r="273" spans="2:8">
      <c r="B273" t="s">
        <v>133</v>
      </c>
    </row>
    <row r="274" spans="2:8">
      <c r="B274" t="s">
        <v>85</v>
      </c>
    </row>
    <row r="276" spans="2:8" ht="16" thickBot="1">
      <c r="B276" s="16" t="s">
        <v>86</v>
      </c>
      <c r="C276" s="16"/>
      <c r="E276" s="16"/>
      <c r="F276" s="16"/>
    </row>
    <row r="277" spans="2:8" ht="16" thickTop="1">
      <c r="B277" t="s">
        <v>71</v>
      </c>
      <c r="C277">
        <f>SQRT(C278)</f>
        <v>0.83283577344273541</v>
      </c>
      <c r="E277" t="s">
        <v>87</v>
      </c>
      <c r="F277">
        <f>C281*LN(D286/C281)+2*(C285+1)</f>
        <v>1663.9597573680564</v>
      </c>
    </row>
    <row r="278" spans="2:8">
      <c r="B278" t="s">
        <v>72</v>
      </c>
      <c r="C278">
        <f>D285/D287</f>
        <v>0.69361542552595934</v>
      </c>
      <c r="E278" t="s">
        <v>88</v>
      </c>
      <c r="F278">
        <f>F277+2*(C285+2)*(C285+3)/(C281-C285-3)</f>
        <v>1664.4042018125008</v>
      </c>
    </row>
    <row r="279" spans="2:8">
      <c r="B279" t="s">
        <v>73</v>
      </c>
      <c r="C279">
        <f>1-(1-C278)*(C281-1)/(C281-C285-1)</f>
        <v>0.68868368187245366</v>
      </c>
      <c r="E279" s="10" t="s">
        <v>89</v>
      </c>
      <c r="F279" s="10">
        <f>C281*LN(D286/C281)+(C285+1)*LN(C281)</f>
        <v>1701.9985873916437</v>
      </c>
    </row>
    <row r="280" spans="2:8">
      <c r="B280" t="s">
        <v>74</v>
      </c>
      <c r="C280">
        <f>SQRT(E286)</f>
        <v>5.1315911130746992</v>
      </c>
    </row>
    <row r="281" spans="2:8">
      <c r="B281" s="10" t="s">
        <v>75</v>
      </c>
      <c r="C281" s="10">
        <f>COUNT(data!J2:J507)</f>
        <v>506</v>
      </c>
    </row>
    <row r="283" spans="2:8" ht="16" thickBot="1">
      <c r="B283" t="s">
        <v>76</v>
      </c>
      <c r="F283" s="17" t="s">
        <v>90</v>
      </c>
      <c r="G283" s="17">
        <v>0.05</v>
      </c>
    </row>
    <row r="284" spans="2:8" ht="16" thickTop="1">
      <c r="B284" s="18"/>
      <c r="C284" s="18" t="s">
        <v>81</v>
      </c>
      <c r="D284" s="18" t="s">
        <v>82</v>
      </c>
      <c r="E284" s="18" t="s">
        <v>83</v>
      </c>
      <c r="F284" s="18" t="s">
        <v>84</v>
      </c>
      <c r="G284" s="18" t="s">
        <v>91</v>
      </c>
      <c r="H284" s="18" t="s">
        <v>92</v>
      </c>
    </row>
    <row r="285" spans="2:8">
      <c r="B285" t="s">
        <v>77</v>
      </c>
      <c r="C285">
        <f>COUNT(data!B2:I2)</f>
        <v>8</v>
      </c>
      <c r="D285">
        <f>DEVSQ(MMULT([1]!DESIGN(data!B2:I507),C290:C298))</f>
        <v>29628.68142118154</v>
      </c>
      <c r="E285">
        <f>D285/C285</f>
        <v>3703.5851776476925</v>
      </c>
      <c r="F285">
        <f>E285/E286</f>
        <v>140.64304113473321</v>
      </c>
      <c r="G285">
        <f>_xlfn.F.DIST.RT(F285,C285,C286)</f>
        <v>1.9109687799318014E-122</v>
      </c>
      <c r="H285" s="17" t="str">
        <f>IF(G285&lt;G283,"yes","no")</f>
        <v>yes</v>
      </c>
    </row>
    <row r="286" spans="2:8">
      <c r="B286" t="s">
        <v>78</v>
      </c>
      <c r="C286">
        <f>C287-C285</f>
        <v>497</v>
      </c>
      <c r="D286">
        <f>D287-D285</f>
        <v>13087.613993838251</v>
      </c>
      <c r="E286">
        <f>D286/C286</f>
        <v>26.333227351787226</v>
      </c>
    </row>
    <row r="287" spans="2:8">
      <c r="B287" s="10" t="s">
        <v>79</v>
      </c>
      <c r="C287" s="10">
        <f>C281-1</f>
        <v>505</v>
      </c>
      <c r="D287" s="10">
        <f>DEVSQ(data!J2:J507)</f>
        <v>42716.295415019791</v>
      </c>
      <c r="E287" s="10"/>
      <c r="F287" s="10"/>
      <c r="G287" s="10"/>
      <c r="H287" s="10"/>
    </row>
    <row r="288" spans="2:8" ht="16" thickBot="1"/>
    <row r="289" spans="2:10" ht="16" thickTop="1">
      <c r="B289" s="18"/>
      <c r="C289" s="18" t="s">
        <v>93</v>
      </c>
      <c r="D289" s="18" t="s">
        <v>94</v>
      </c>
      <c r="E289" s="18" t="s">
        <v>95</v>
      </c>
      <c r="F289" s="18" t="s">
        <v>91</v>
      </c>
      <c r="G289" s="18" t="s">
        <v>96</v>
      </c>
      <c r="H289" s="18" t="s">
        <v>97</v>
      </c>
      <c r="I289" s="18" t="s">
        <v>110</v>
      </c>
      <c r="J289" s="18" t="s">
        <v>92</v>
      </c>
    </row>
    <row r="290" spans="2:10">
      <c r="B290" t="s">
        <v>80</v>
      </c>
      <c r="C290">
        <f t="array" ref="C290:D298">[1]!RegCoeff(data!B2:I507,data!J2:J507)</f>
        <v>29.428473493945788</v>
      </c>
      <c r="D290">
        <v>4.8047286243169038</v>
      </c>
      <c r="E290">
        <f t="shared" ref="E290:E298" si="7">C290/D290</f>
        <v>6.1248981565800049</v>
      </c>
      <c r="F290">
        <f t="shared" ref="F290:F298" si="8">_xlfn.T.DIST.2T(ABS(E290),$C$286)</f>
        <v>1.8459738422387624E-9</v>
      </c>
      <c r="G290">
        <f t="shared" ref="G290:G298" si="9">C290-_xlfn.T.INV.2T(G$283,$C$286)*D290</f>
        <v>19.988389590408097</v>
      </c>
      <c r="H290">
        <f t="shared" ref="H290:H298" si="10">C290+_xlfn.T.INV.2T(G$283,$C$286)*D290</f>
        <v>38.868557397483478</v>
      </c>
      <c r="J290" s="17" t="str">
        <f t="shared" ref="J290:J298" si="11">IF($F290&lt;$G$283,"yes","no")</f>
        <v>yes</v>
      </c>
    </row>
    <row r="291" spans="2:10">
      <c r="B291" t="str">
        <f t="array" ref="B291:B298">TRANSPOSE(data!B1:I1)</f>
        <v>AGE</v>
      </c>
      <c r="C291">
        <v>3.2934960428630297E-2</v>
      </c>
      <c r="D291">
        <v>1.3087054966333991E-2</v>
      </c>
      <c r="E291">
        <f t="shared" si="7"/>
        <v>2.5166059524739812</v>
      </c>
      <c r="F291">
        <f t="shared" si="8"/>
        <v>1.2162875189714347E-2</v>
      </c>
      <c r="G291">
        <f t="shared" si="9"/>
        <v>7.2221873269097403E-3</v>
      </c>
      <c r="H291">
        <f t="shared" si="10"/>
        <v>5.8647733530350854E-2</v>
      </c>
      <c r="I291">
        <f>[1]!VIF(data!B2:I507,1)</f>
        <v>2.6025124028219353</v>
      </c>
      <c r="J291" s="17" t="str">
        <f t="shared" si="11"/>
        <v>yes</v>
      </c>
    </row>
    <row r="292" spans="2:10">
      <c r="B292" t="str">
        <v>INDUS</v>
      </c>
      <c r="C292">
        <v>0.13071000668218175</v>
      </c>
      <c r="D292">
        <v>6.3077822553176593E-2</v>
      </c>
      <c r="E292">
        <f t="shared" si="7"/>
        <v>2.0722022636718171</v>
      </c>
      <c r="F292">
        <f t="shared" si="8"/>
        <v>3.8761668701978176E-2</v>
      </c>
      <c r="G292">
        <f t="shared" si="9"/>
        <v>6.7779422694686092E-3</v>
      </c>
      <c r="H292">
        <f t="shared" si="10"/>
        <v>0.2546420710948949</v>
      </c>
      <c r="I292">
        <f>[1]!VIF(data!B2:I507,2)</f>
        <v>3.5911503989354592</v>
      </c>
      <c r="J292" s="17" t="str">
        <f t="shared" si="11"/>
        <v>yes</v>
      </c>
    </row>
    <row r="293" spans="2:10">
      <c r="B293" t="str">
        <v>NOX</v>
      </c>
      <c r="C293">
        <v>-10.272705081509379</v>
      </c>
      <c r="D293">
        <v>3.8908492221425823</v>
      </c>
      <c r="E293">
        <f t="shared" si="7"/>
        <v>-2.6402218371886654</v>
      </c>
      <c r="F293">
        <f t="shared" si="8"/>
        <v>8.5457182892120023E-3</v>
      </c>
      <c r="G293">
        <f t="shared" si="9"/>
        <v>-17.917245696591941</v>
      </c>
      <c r="H293">
        <f t="shared" si="10"/>
        <v>-2.6281644664268171</v>
      </c>
      <c r="I293">
        <f>[1]!VIF(data!B2:I507,3)</f>
        <v>3.8983034552489508</v>
      </c>
      <c r="J293" s="17" t="str">
        <f t="shared" si="11"/>
        <v>yes</v>
      </c>
    </row>
    <row r="294" spans="2:10">
      <c r="B294" t="str">
        <v>DISTANCE</v>
      </c>
      <c r="C294">
        <v>0.26150642300181948</v>
      </c>
      <c r="D294">
        <v>6.7901840853028084E-2</v>
      </c>
      <c r="E294">
        <f t="shared" si="7"/>
        <v>3.8512420240247081</v>
      </c>
      <c r="F294">
        <f t="shared" si="8"/>
        <v>1.3288674405347533E-4</v>
      </c>
      <c r="G294">
        <f t="shared" si="9"/>
        <v>0.12809637532230453</v>
      </c>
      <c r="H294">
        <f t="shared" si="10"/>
        <v>0.3949164706813344</v>
      </c>
      <c r="I294">
        <f>[1]!VIF(data!B2:I507,4)</f>
        <v>6.7036811603368509</v>
      </c>
      <c r="J294" s="17" t="str">
        <f t="shared" si="11"/>
        <v>yes</v>
      </c>
    </row>
    <row r="295" spans="2:10">
      <c r="B295" t="str">
        <v>TAX</v>
      </c>
      <c r="C295">
        <v>-1.4452345036481897E-2</v>
      </c>
      <c r="D295">
        <v>3.9018774717523206E-3</v>
      </c>
      <c r="E295">
        <f t="shared" si="7"/>
        <v>-3.7039464055726476</v>
      </c>
      <c r="F295">
        <f t="shared" si="8"/>
        <v>2.360718130931446E-4</v>
      </c>
      <c r="G295">
        <f t="shared" si="9"/>
        <v>-2.2118553389696056E-2</v>
      </c>
      <c r="H295">
        <f t="shared" si="10"/>
        <v>-6.7861366832677383E-3</v>
      </c>
      <c r="I295">
        <f>[1]!VIF(data!B2:I507,5)</f>
        <v>8.2932672463005606</v>
      </c>
      <c r="J295" s="17" t="str">
        <f t="shared" si="11"/>
        <v>yes</v>
      </c>
    </row>
    <row r="296" spans="2:10">
      <c r="B296" t="str">
        <v>PTRATIO</v>
      </c>
      <c r="C296">
        <v>-1.071702472694493</v>
      </c>
      <c r="D296">
        <v>0.13345352921377152</v>
      </c>
      <c r="E296">
        <f t="shared" si="7"/>
        <v>-8.0305292711876852</v>
      </c>
      <c r="F296">
        <f t="shared" si="8"/>
        <v>7.0825099064793248E-15</v>
      </c>
      <c r="G296">
        <f t="shared" si="9"/>
        <v>-1.3339051092024667</v>
      </c>
      <c r="H296">
        <f t="shared" si="10"/>
        <v>-0.80949983618651933</v>
      </c>
      <c r="I296">
        <f>[1]!VIF(data!B2:I507,6)</f>
        <v>1.6008157976350457</v>
      </c>
      <c r="J296" s="17" t="str">
        <f t="shared" si="11"/>
        <v>yes</v>
      </c>
    </row>
    <row r="297" spans="2:10">
      <c r="B297" t="str">
        <v>AVG_ROOM</v>
      </c>
      <c r="C297">
        <v>4.1254689590847393</v>
      </c>
      <c r="D297">
        <v>0.44248544039972248</v>
      </c>
      <c r="E297">
        <f t="shared" si="7"/>
        <v>9.3234004611721613</v>
      </c>
      <c r="F297">
        <f t="shared" si="8"/>
        <v>3.6896907850979784E-19</v>
      </c>
      <c r="G297">
        <f t="shared" si="9"/>
        <v>3.2560963035039943</v>
      </c>
      <c r="H297">
        <f t="shared" si="10"/>
        <v>4.9948416146654839</v>
      </c>
      <c r="I297">
        <f>[1]!VIF(data!B2:I507,7)</f>
        <v>1.8536286953289838</v>
      </c>
      <c r="J297" s="17" t="str">
        <f t="shared" si="11"/>
        <v>yes</v>
      </c>
    </row>
    <row r="298" spans="2:10">
      <c r="B298" s="10" t="str">
        <v>LSTAT</v>
      </c>
      <c r="C298" s="10">
        <v>-0.60515928203540559</v>
      </c>
      <c r="D298" s="10">
        <v>5.298010014826459E-2</v>
      </c>
      <c r="E298" s="10">
        <f t="shared" si="7"/>
        <v>-11.422388412665697</v>
      </c>
      <c r="F298" s="10">
        <f t="shared" si="8"/>
        <v>5.4184429851613701E-27</v>
      </c>
      <c r="G298" s="10">
        <f t="shared" si="9"/>
        <v>-0.70925186035215759</v>
      </c>
      <c r="H298" s="10">
        <f t="shared" si="10"/>
        <v>-0.50106670371865358</v>
      </c>
      <c r="I298" s="10">
        <f>[1]!VIF(data!B2:I507,8)</f>
        <v>2.7449749607229692</v>
      </c>
      <c r="J298" s="26" t="str">
        <f t="shared" si="11"/>
        <v>yes</v>
      </c>
    </row>
    <row r="302" spans="2:10">
      <c r="B302" t="s">
        <v>149</v>
      </c>
    </row>
    <row r="304" spans="2:10">
      <c r="B304" s="1" t="s">
        <v>18</v>
      </c>
      <c r="C304" s="1">
        <v>29628.68142118154</v>
      </c>
      <c r="D304" s="1"/>
      <c r="E304" s="1"/>
      <c r="F304" s="1"/>
      <c r="G304" s="1"/>
      <c r="H304" s="1"/>
      <c r="I304" s="1"/>
      <c r="J304" s="1"/>
    </row>
    <row r="305" spans="1:12">
      <c r="B305" s="1" t="s">
        <v>111</v>
      </c>
      <c r="C305" s="1">
        <v>3.2934960428630297E-2</v>
      </c>
      <c r="D305" s="1">
        <v>0.13071000668218175</v>
      </c>
      <c r="E305" s="1">
        <v>-10.272705081509379</v>
      </c>
      <c r="F305" s="1">
        <v>0.26150642300181948</v>
      </c>
      <c r="G305" s="1">
        <v>-1.4452345036481897E-2</v>
      </c>
      <c r="H305" s="1">
        <v>-1.071702472694493</v>
      </c>
      <c r="I305" s="1">
        <v>4.1254689590847393</v>
      </c>
      <c r="J305" s="1">
        <v>-0.60515928203540559</v>
      </c>
    </row>
    <row r="306" spans="1:12">
      <c r="B306" s="1" t="s">
        <v>80</v>
      </c>
      <c r="C306" s="1">
        <v>29.428473493945788</v>
      </c>
      <c r="D306" s="1"/>
      <c r="E306" s="1"/>
      <c r="F306" s="1"/>
      <c r="G306" s="1"/>
      <c r="H306" s="1"/>
      <c r="I306" s="1"/>
      <c r="J306" s="1"/>
    </row>
    <row r="309" spans="1:12">
      <c r="A309" t="s">
        <v>153</v>
      </c>
    </row>
    <row r="310" spans="1:12">
      <c r="B310" t="s">
        <v>177</v>
      </c>
    </row>
    <row r="311" spans="1:12">
      <c r="C311" s="1" t="s">
        <v>105</v>
      </c>
      <c r="D311" s="44">
        <v>0.68868368187245366</v>
      </c>
    </row>
    <row r="312" spans="1:12">
      <c r="C312" s="1" t="s">
        <v>107</v>
      </c>
      <c r="D312" s="41">
        <f>1 - D311</f>
        <v>0.31131631812754634</v>
      </c>
    </row>
    <row r="317" spans="1:12">
      <c r="A317" t="s">
        <v>154</v>
      </c>
    </row>
    <row r="318" spans="1:12">
      <c r="B318" t="s">
        <v>128</v>
      </c>
    </row>
    <row r="319" spans="1:12">
      <c r="C319" t="s">
        <v>159</v>
      </c>
      <c r="H319" s="1" t="s">
        <v>164</v>
      </c>
      <c r="I319" s="40">
        <v>0.68829864685574993</v>
      </c>
      <c r="K319" s="1" t="s">
        <v>161</v>
      </c>
      <c r="L319" s="1">
        <v>0.69385372047614247</v>
      </c>
    </row>
    <row r="320" spans="1:12">
      <c r="C320" t="s">
        <v>160</v>
      </c>
      <c r="H320" s="1" t="s">
        <v>165</v>
      </c>
      <c r="I320" s="44">
        <v>0.68868368187245366</v>
      </c>
      <c r="K320" s="1" t="s">
        <v>162</v>
      </c>
      <c r="L320" s="1">
        <v>0.69361542552595934</v>
      </c>
    </row>
    <row r="322" spans="1:10">
      <c r="B322" t="s">
        <v>158</v>
      </c>
      <c r="G322" s="31"/>
    </row>
    <row r="323" spans="1:10">
      <c r="B323" t="s">
        <v>163</v>
      </c>
    </row>
    <row r="328" spans="1:10">
      <c r="A328" t="s">
        <v>155</v>
      </c>
    </row>
    <row r="329" spans="1:10">
      <c r="B329" t="s">
        <v>235</v>
      </c>
    </row>
    <row r="330" spans="1:10">
      <c r="C330" s="17" t="s">
        <v>0</v>
      </c>
      <c r="D330" s="17">
        <v>3.2934960428630297E-2</v>
      </c>
      <c r="F330" s="1" t="s">
        <v>168</v>
      </c>
      <c r="G330" s="45">
        <v>-10.272705081509379</v>
      </c>
      <c r="J330" t="s">
        <v>246</v>
      </c>
    </row>
    <row r="331" spans="1:10">
      <c r="C331" s="17" t="s">
        <v>1</v>
      </c>
      <c r="D331" s="17">
        <v>0.13071000668218175</v>
      </c>
      <c r="F331" s="1" t="s">
        <v>171</v>
      </c>
      <c r="G331" s="45">
        <v>-1.071702472694493</v>
      </c>
      <c r="J331">
        <v>0.871</v>
      </c>
    </row>
    <row r="332" spans="1:10">
      <c r="C332" s="17" t="s">
        <v>2</v>
      </c>
      <c r="D332" s="17">
        <v>-10.272705081509379</v>
      </c>
      <c r="F332" s="1" t="s">
        <v>173</v>
      </c>
      <c r="G332" s="45">
        <v>-0.60515928203540559</v>
      </c>
    </row>
    <row r="333" spans="1:10">
      <c r="C333" s="17" t="s">
        <v>7</v>
      </c>
      <c r="D333" s="17">
        <v>0.26150642300181948</v>
      </c>
      <c r="F333" s="1" t="s">
        <v>170</v>
      </c>
      <c r="G333" s="45">
        <v>-1.4452345036481897E-2</v>
      </c>
    </row>
    <row r="334" spans="1:10">
      <c r="C334" s="17" t="s">
        <v>3</v>
      </c>
      <c r="D334" s="17">
        <v>-1.4452345036481897E-2</v>
      </c>
      <c r="F334" s="1" t="s">
        <v>166</v>
      </c>
      <c r="G334" s="46">
        <v>3.2934960428630297E-2</v>
      </c>
    </row>
    <row r="335" spans="1:10">
      <c r="C335" s="17" t="s">
        <v>4</v>
      </c>
      <c r="D335" s="17">
        <v>-1.071702472694493</v>
      </c>
      <c r="F335" s="1" t="s">
        <v>167</v>
      </c>
      <c r="G335" s="45">
        <v>0.13071000668218175</v>
      </c>
    </row>
    <row r="336" spans="1:10">
      <c r="C336" s="17" t="s">
        <v>8</v>
      </c>
      <c r="D336" s="17">
        <v>4.1254689590847393</v>
      </c>
      <c r="F336" s="1" t="s">
        <v>169</v>
      </c>
      <c r="G336" s="45">
        <v>0.26150642300181948</v>
      </c>
    </row>
    <row r="337" spans="2:8">
      <c r="C337" s="26" t="s">
        <v>5</v>
      </c>
      <c r="D337" s="26">
        <v>-0.60515928203540559</v>
      </c>
      <c r="F337" s="1" t="s">
        <v>172</v>
      </c>
      <c r="G337" s="45">
        <v>4.1254689590847393</v>
      </c>
    </row>
    <row r="338" spans="2:8">
      <c r="C338" s="17"/>
    </row>
    <row r="339" spans="2:8" ht="16">
      <c r="B339" s="38" t="s">
        <v>240</v>
      </c>
      <c r="C339" s="17"/>
    </row>
    <row r="340" spans="2:8">
      <c r="C340" s="17"/>
    </row>
    <row r="341" spans="2:8">
      <c r="B341" t="s">
        <v>85</v>
      </c>
    </row>
    <row r="343" spans="2:8" ht="16" thickBot="1">
      <c r="B343" s="16" t="s">
        <v>86</v>
      </c>
      <c r="C343" s="16"/>
      <c r="E343" s="16"/>
      <c r="F343" s="16"/>
    </row>
    <row r="344" spans="2:8" ht="16" thickTop="1">
      <c r="B344" t="s">
        <v>71</v>
      </c>
      <c r="C344">
        <v>0.42732077237328508</v>
      </c>
      <c r="E344" t="s">
        <v>87</v>
      </c>
      <c r="F344">
        <v>2146.4893382886557</v>
      </c>
    </row>
    <row r="345" spans="2:8">
      <c r="B345" t="s">
        <v>72</v>
      </c>
      <c r="C345">
        <v>0.18260304250170092</v>
      </c>
      <c r="E345" t="s">
        <v>88</v>
      </c>
      <c r="F345">
        <v>2146.5371470535961</v>
      </c>
    </row>
    <row r="346" spans="2:8">
      <c r="B346" t="s">
        <v>73</v>
      </c>
      <c r="C346">
        <v>0.18098122314158527</v>
      </c>
      <c r="E346" s="10" t="s">
        <v>89</v>
      </c>
      <c r="F346" s="10">
        <v>2154.9424116272307</v>
      </c>
    </row>
    <row r="347" spans="2:8">
      <c r="B347" t="s">
        <v>74</v>
      </c>
      <c r="C347">
        <v>8.3233475775375041</v>
      </c>
    </row>
    <row r="348" spans="2:8">
      <c r="B348" s="10" t="s">
        <v>75</v>
      </c>
      <c r="C348" s="10">
        <v>506</v>
      </c>
    </row>
    <row r="350" spans="2:8" ht="16" thickBot="1">
      <c r="B350" t="s">
        <v>76</v>
      </c>
      <c r="F350" s="17" t="s">
        <v>90</v>
      </c>
      <c r="G350" s="17">
        <v>0.05</v>
      </c>
    </row>
    <row r="351" spans="2:8" ht="16" thickTop="1">
      <c r="B351" s="18"/>
      <c r="C351" s="18" t="s">
        <v>81</v>
      </c>
      <c r="D351" s="18" t="s">
        <v>82</v>
      </c>
      <c r="E351" s="18" t="s">
        <v>83</v>
      </c>
      <c r="F351" s="18" t="s">
        <v>84</v>
      </c>
      <c r="G351" s="18" t="s">
        <v>91</v>
      </c>
      <c r="H351" s="18" t="s">
        <v>92</v>
      </c>
    </row>
    <row r="352" spans="2:8">
      <c r="B352" t="s">
        <v>77</v>
      </c>
      <c r="C352">
        <v>1</v>
      </c>
      <c r="D352">
        <v>7800.1255071840715</v>
      </c>
      <c r="E352">
        <v>7800.1255071840715</v>
      </c>
      <c r="F352">
        <v>112.59148027970092</v>
      </c>
      <c r="G352">
        <v>7.0650415862487551E-24</v>
      </c>
      <c r="H352" s="17" t="s">
        <v>99</v>
      </c>
    </row>
    <row r="353" spans="2:9">
      <c r="B353" t="s">
        <v>78</v>
      </c>
      <c r="C353">
        <v>504</v>
      </c>
      <c r="D353">
        <v>34916.16990783572</v>
      </c>
      <c r="E353">
        <v>69.278114896499446</v>
      </c>
    </row>
    <row r="354" spans="2:9">
      <c r="B354" s="10" t="s">
        <v>79</v>
      </c>
      <c r="C354" s="10">
        <v>505</v>
      </c>
      <c r="D354" s="10">
        <v>42716.295415019791</v>
      </c>
      <c r="E354" s="10"/>
      <c r="F354" s="10"/>
      <c r="G354" s="10"/>
      <c r="H354" s="10"/>
    </row>
    <row r="355" spans="2:9" ht="16" thickBot="1"/>
    <row r="356" spans="2:9" ht="16" thickTop="1">
      <c r="B356" s="18"/>
      <c r="C356" s="18" t="s">
        <v>93</v>
      </c>
      <c r="D356" s="18" t="s">
        <v>94</v>
      </c>
      <c r="E356" s="18" t="s">
        <v>95</v>
      </c>
      <c r="F356" s="18" t="s">
        <v>91</v>
      </c>
      <c r="G356" s="18" t="s">
        <v>96</v>
      </c>
      <c r="H356" s="18" t="s">
        <v>97</v>
      </c>
    </row>
    <row r="357" spans="2:9">
      <c r="B357" t="s">
        <v>80</v>
      </c>
      <c r="C357">
        <v>41.345874467973367</v>
      </c>
      <c r="D357">
        <v>1.8111916457610482</v>
      </c>
      <c r="E357">
        <v>22.827995350320954</v>
      </c>
      <c r="F357">
        <v>9.8662453569814032E-80</v>
      </c>
      <c r="G357">
        <v>37.787458836857084</v>
      </c>
      <c r="H357">
        <v>44.90429009908965</v>
      </c>
    </row>
    <row r="358" spans="2:9">
      <c r="B358" s="10" t="s">
        <v>2</v>
      </c>
      <c r="C358" s="10">
        <v>-33.916055008661296</v>
      </c>
      <c r="D358" s="10">
        <v>3.1963370321953559</v>
      </c>
      <c r="E358" s="10">
        <v>-10.610913263225738</v>
      </c>
      <c r="F358" s="10">
        <v>7.0650415862517453E-24</v>
      </c>
      <c r="G358" s="10">
        <v>-40.19584085258316</v>
      </c>
      <c r="H358" s="10">
        <v>-27.636269164739428</v>
      </c>
      <c r="I358" t="b">
        <f>F358&lt;G350</f>
        <v>1</v>
      </c>
    </row>
    <row r="361" spans="2:9">
      <c r="C361" t="s">
        <v>236</v>
      </c>
      <c r="F361" t="s">
        <v>239</v>
      </c>
      <c r="I361" t="s">
        <v>250</v>
      </c>
    </row>
    <row r="362" spans="2:9">
      <c r="I362">
        <f>-33.91605501*(0.871)+41.34587447</f>
        <v>11.804990556289997</v>
      </c>
    </row>
    <row r="363" spans="2:9">
      <c r="C363" s="17" t="s">
        <v>237</v>
      </c>
      <c r="D363" s="17" t="s">
        <v>238</v>
      </c>
    </row>
    <row r="364" spans="2:9">
      <c r="C364">
        <v>0</v>
      </c>
      <c r="D364" s="19">
        <v>41.345874469999998</v>
      </c>
    </row>
    <row r="365" spans="2:9">
      <c r="C365">
        <v>1</v>
      </c>
      <c r="D365">
        <v>7.4298194599999974</v>
      </c>
    </row>
    <row r="366" spans="2:9">
      <c r="C366">
        <v>2</v>
      </c>
      <c r="D366">
        <v>-26.486235550000004</v>
      </c>
    </row>
    <row r="367" spans="2:9">
      <c r="C367">
        <v>3</v>
      </c>
      <c r="D367">
        <v>-60.402290559999997</v>
      </c>
    </row>
    <row r="368" spans="2:9">
      <c r="C368">
        <v>4</v>
      </c>
      <c r="D368">
        <v>-94.318345570000005</v>
      </c>
    </row>
    <row r="369" spans="1:5">
      <c r="C369">
        <v>5</v>
      </c>
      <c r="D369">
        <v>-128.23440058</v>
      </c>
    </row>
    <row r="370" spans="1:5">
      <c r="C370">
        <v>6</v>
      </c>
      <c r="D370">
        <v>-162.15045558999998</v>
      </c>
    </row>
    <row r="371" spans="1:5">
      <c r="C371">
        <v>7</v>
      </c>
      <c r="D371">
        <v>-196.06651060000002</v>
      </c>
    </row>
    <row r="372" spans="1:5">
      <c r="C372">
        <v>8</v>
      </c>
      <c r="D372">
        <v>-229.98256560999999</v>
      </c>
    </row>
    <row r="373" spans="1:5">
      <c r="C373">
        <v>9</v>
      </c>
      <c r="D373">
        <v>-263.89862061999997</v>
      </c>
    </row>
    <row r="374" spans="1:5">
      <c r="C374">
        <v>10</v>
      </c>
      <c r="D374">
        <v>-297.81467563000001</v>
      </c>
    </row>
    <row r="376" spans="1:5">
      <c r="B376" t="s">
        <v>252</v>
      </c>
      <c r="C376" s="17"/>
    </row>
    <row r="377" spans="1:5">
      <c r="B377" t="s">
        <v>251</v>
      </c>
      <c r="C377" s="17"/>
    </row>
    <row r="378" spans="1:5">
      <c r="E378" t="s">
        <v>248</v>
      </c>
    </row>
    <row r="379" spans="1:5">
      <c r="B379" t="s">
        <v>247</v>
      </c>
      <c r="C379" s="17"/>
    </row>
    <row r="380" spans="1:5">
      <c r="B380" t="s">
        <v>249</v>
      </c>
      <c r="C380" s="17"/>
    </row>
    <row r="381" spans="1:5" ht="16">
      <c r="B381" s="37"/>
    </row>
    <row r="382" spans="1:5">
      <c r="A382" t="s">
        <v>156</v>
      </c>
    </row>
    <row r="383" spans="1:5">
      <c r="B383" t="s">
        <v>157</v>
      </c>
    </row>
    <row r="384" spans="1:5">
      <c r="C384" t="s">
        <v>151</v>
      </c>
    </row>
    <row r="385" spans="3:4">
      <c r="C385" t="s">
        <v>152</v>
      </c>
    </row>
    <row r="386" spans="3:4">
      <c r="C386" t="s">
        <v>150</v>
      </c>
    </row>
    <row r="387" spans="3:4">
      <c r="C387" s="45" t="s">
        <v>166</v>
      </c>
      <c r="D387" s="46">
        <v>3.2934960428630297E-2</v>
      </c>
    </row>
    <row r="388" spans="3:4">
      <c r="C388" s="45" t="s">
        <v>167</v>
      </c>
      <c r="D388" s="45">
        <v>0.13071000668218175</v>
      </c>
    </row>
    <row r="389" spans="3:4">
      <c r="C389" s="45" t="s">
        <v>168</v>
      </c>
      <c r="D389" s="45">
        <v>-10.272705081509379</v>
      </c>
    </row>
    <row r="390" spans="3:4">
      <c r="C390" s="45" t="s">
        <v>169</v>
      </c>
      <c r="D390" s="45">
        <v>0.26150642300181948</v>
      </c>
    </row>
    <row r="391" spans="3:4">
      <c r="C391" s="45" t="s">
        <v>170</v>
      </c>
      <c r="D391" s="45">
        <v>-1.4452345036481897E-2</v>
      </c>
    </row>
    <row r="392" spans="3:4">
      <c r="C392" s="45" t="s">
        <v>171</v>
      </c>
      <c r="D392" s="45">
        <v>-1.071702472694493</v>
      </c>
    </row>
    <row r="393" spans="3:4">
      <c r="C393" s="45" t="s">
        <v>172</v>
      </c>
      <c r="D393" s="45">
        <v>4.1254689590847393</v>
      </c>
    </row>
    <row r="394" spans="3:4">
      <c r="C394" s="45" t="s">
        <v>173</v>
      </c>
      <c r="D394" s="45">
        <v>-0.60515928203540559</v>
      </c>
    </row>
    <row r="395" spans="3:4">
      <c r="C395" s="45" t="s">
        <v>146</v>
      </c>
      <c r="D395" s="46">
        <v>29.428473493945788</v>
      </c>
    </row>
  </sheetData>
  <sortState xmlns:xlrd2="http://schemas.microsoft.com/office/spreadsheetml/2017/richdata2" ref="G330:G337">
    <sortCondition ref="G330:G337"/>
  </sortState>
  <phoneticPr fontId="9" type="noConversion"/>
  <conditionalFormatting sqref="D83:L83 D82:K82 D81:J81 D80:I80 D79:H79 D78:G78 D77:F77 D76:E76 D75 E74 F74:F75 G74:G76 H74:H77 I74:I78 J74:J79 K74:K80 L74:L81 M74:M8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{6867195B-17AD-6641-8E85-AEF5C27A503B}</x14:id>
        </ext>
      </extLst>
    </cfRule>
  </conditionalFormatting>
  <conditionalFormatting sqref="D11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{14AAD1F2-07C6-7944-82BB-17319B74DDC3}</x14:id>
        </ext>
      </extLst>
    </cfRule>
  </conditionalFormatting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67195B-17AD-6641-8E85-AEF5C27A5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D83:L83 D82:K82 D81:J81 D80:I80 D79:H79 D78:G78 D77:F77 D76:E76 D75 E74 F74:F75 G74:G76 H74:H77 I74:I78 J74:J79 K74:K80 L74:L81 M74:M82</xm:sqref>
        </x14:conditionalFormatting>
        <x14:conditionalFormatting xmlns:xm="http://schemas.microsoft.com/office/excel/2006/main">
          <x14:cfRule type="dataBar" id="{14AAD1F2-07C6-7944-82BB-17319B74D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1E2-4588-D74B-A1E2-9BFAF5B40EF2}">
  <dimension ref="A1:F53"/>
  <sheetViews>
    <sheetView topLeftCell="A42" zoomScale="233" workbookViewId="0">
      <selection activeCell="A48" sqref="A48:H53"/>
    </sheetView>
  </sheetViews>
  <sheetFormatPr baseColWidth="10" defaultRowHeight="15"/>
  <cols>
    <col min="1" max="1" width="18.83203125" bestFit="1" customWidth="1"/>
  </cols>
  <sheetData>
    <row r="1" spans="1:6">
      <c r="A1" t="s">
        <v>185</v>
      </c>
    </row>
    <row r="2" spans="1:6">
      <c r="B2" t="s">
        <v>182</v>
      </c>
    </row>
    <row r="3" spans="1:6">
      <c r="C3" t="s">
        <v>183</v>
      </c>
      <c r="F3" t="s">
        <v>187</v>
      </c>
    </row>
    <row r="5" spans="1:6">
      <c r="B5" t="s">
        <v>184</v>
      </c>
    </row>
    <row r="6" spans="1:6">
      <c r="C6" t="s">
        <v>193</v>
      </c>
      <c r="F6" t="s">
        <v>186</v>
      </c>
    </row>
    <row r="9" spans="1:6">
      <c r="A9" t="s">
        <v>210</v>
      </c>
    </row>
    <row r="10" spans="1:6">
      <c r="B10" t="s">
        <v>211</v>
      </c>
    </row>
    <row r="11" spans="1:6">
      <c r="C11" t="s">
        <v>212</v>
      </c>
      <c r="F11" t="s">
        <v>214</v>
      </c>
    </row>
    <row r="13" spans="1:6">
      <c r="B13" t="s">
        <v>213</v>
      </c>
    </row>
    <row r="14" spans="1:6">
      <c r="C14" t="s">
        <v>215</v>
      </c>
      <c r="F14" t="s">
        <v>216</v>
      </c>
    </row>
    <row r="17" spans="1:6">
      <c r="A17" t="s">
        <v>188</v>
      </c>
    </row>
    <row r="18" spans="1:6">
      <c r="B18" t="s">
        <v>189</v>
      </c>
    </row>
    <row r="19" spans="1:6">
      <c r="C19" t="s">
        <v>190</v>
      </c>
      <c r="F19" t="s">
        <v>191</v>
      </c>
    </row>
    <row r="21" spans="1:6">
      <c r="B21" t="s">
        <v>203</v>
      </c>
    </row>
    <row r="22" spans="1:6">
      <c r="C22" t="s">
        <v>194</v>
      </c>
      <c r="F22" t="s">
        <v>195</v>
      </c>
    </row>
    <row r="25" spans="1:6">
      <c r="A25" t="s">
        <v>196</v>
      </c>
      <c r="B25" t="s">
        <v>199</v>
      </c>
    </row>
    <row r="26" spans="1:6">
      <c r="C26" t="s">
        <v>197</v>
      </c>
      <c r="F26" t="s">
        <v>198</v>
      </c>
    </row>
    <row r="28" spans="1:6">
      <c r="B28" t="s">
        <v>200</v>
      </c>
    </row>
    <row r="29" spans="1:6">
      <c r="C29" t="s">
        <v>201</v>
      </c>
      <c r="F29" t="s">
        <v>202</v>
      </c>
    </row>
    <row r="32" spans="1:6">
      <c r="A32" t="s">
        <v>204</v>
      </c>
    </row>
    <row r="33" spans="1:6">
      <c r="B33" t="s">
        <v>205</v>
      </c>
    </row>
    <row r="34" spans="1:6">
      <c r="C34" t="s">
        <v>206</v>
      </c>
      <c r="F34" t="s">
        <v>208</v>
      </c>
    </row>
    <row r="36" spans="1:6">
      <c r="B36" t="s">
        <v>224</v>
      </c>
    </row>
    <row r="37" spans="1:6">
      <c r="C37" t="s">
        <v>207</v>
      </c>
      <c r="F37" t="s">
        <v>209</v>
      </c>
    </row>
    <row r="40" spans="1:6">
      <c r="A40" t="s">
        <v>217</v>
      </c>
    </row>
    <row r="41" spans="1:6">
      <c r="B41" t="s">
        <v>218</v>
      </c>
    </row>
    <row r="42" spans="1:6">
      <c r="C42" t="s">
        <v>219</v>
      </c>
      <c r="F42" t="s">
        <v>220</v>
      </c>
    </row>
    <row r="44" spans="1:6">
      <c r="B44" t="s">
        <v>223</v>
      </c>
    </row>
    <row r="45" spans="1:6">
      <c r="C45" t="s">
        <v>221</v>
      </c>
      <c r="F45" t="s">
        <v>222</v>
      </c>
    </row>
    <row r="48" spans="1:6">
      <c r="A48" t="s">
        <v>225</v>
      </c>
    </row>
    <row r="49" spans="2:6">
      <c r="B49" t="s">
        <v>226</v>
      </c>
    </row>
    <row r="50" spans="2:6">
      <c r="C50" t="s">
        <v>227</v>
      </c>
      <c r="F50" t="s">
        <v>228</v>
      </c>
    </row>
    <row r="52" spans="2:6">
      <c r="B52" t="s">
        <v>231</v>
      </c>
    </row>
    <row r="53" spans="2:6">
      <c r="C53" t="s">
        <v>229</v>
      </c>
      <c r="F53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Answers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Vinay Govardhanam</cp:lastModifiedBy>
  <dcterms:created xsi:type="dcterms:W3CDTF">2020-06-02T13:46:53Z</dcterms:created>
  <dcterms:modified xsi:type="dcterms:W3CDTF">2022-11-28T17:48:18Z</dcterms:modified>
</cp:coreProperties>
</file>