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\Downloads\chandoo data analytics\chandoo excel\"/>
    </mc:Choice>
  </mc:AlternateContent>
  <xr:revisionPtr revIDLastSave="0" documentId="13_ncr:1_{110E7846-BC3A-4BDA-8833-3F5317E538EC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0" l="1" a="1"/>
  <c r="I10" i="10" s="1"/>
  <c r="I11" i="10" a="1"/>
  <c r="I11" i="10"/>
  <c r="I12" i="10" a="1"/>
  <c r="I12" i="10" s="1"/>
  <c r="I13" i="10" a="1"/>
  <c r="I13" i="10"/>
  <c r="I14" i="10" a="1"/>
  <c r="I14" i="10" s="1"/>
  <c r="I15" i="10" a="1"/>
  <c r="I15" i="10"/>
  <c r="I16" i="10" a="1"/>
  <c r="I16" i="10" s="1"/>
  <c r="I17" i="10" a="1"/>
  <c r="I17" i="10" s="1"/>
  <c r="I18" i="10" a="1"/>
  <c r="I18" i="10" s="1"/>
  <c r="I19" i="10" a="1"/>
  <c r="I19" i="10"/>
  <c r="I20" i="10" a="1"/>
  <c r="I20" i="10" s="1"/>
  <c r="I21" i="10" a="1"/>
  <c r="I21" i="10"/>
  <c r="I9" i="10" a="1"/>
  <c r="I9" i="10" s="1"/>
  <c r="K15" i="10"/>
  <c r="K14" i="10"/>
  <c r="B7" i="9" a="1"/>
  <c r="B7" i="9" s="1"/>
  <c r="B32" i="9" a="1"/>
  <c r="B32" i="9" s="1"/>
  <c r="B43" i="9" a="1"/>
  <c r="B43" i="9" s="1"/>
  <c r="F6" i="6"/>
  <c r="B7" i="6" a="1"/>
  <c r="B7" i="6" s="1"/>
  <c r="H9" i="10" a="1"/>
  <c r="H9" i="10" s="1"/>
  <c r="G9" i="10" a="1"/>
  <c r="G9" i="10" s="1"/>
  <c r="D9" i="10" a="1"/>
  <c r="D9" i="10" s="1"/>
  <c r="C11" i="8" a="1"/>
  <c r="C11" i="8" s="1"/>
  <c r="C7" i="8" a="1"/>
  <c r="C7" i="8" s="1"/>
  <c r="K7" i="7" a="1"/>
  <c r="K7" i="7" s="1"/>
  <c r="G7" i="7" a="1"/>
  <c r="G7" i="7" s="1"/>
  <c r="E9" i="7"/>
  <c r="C9" i="7"/>
  <c r="E10" i="6"/>
  <c r="E15" i="5" a="1"/>
  <c r="E15" i="5" s="1"/>
  <c r="D15" i="5" a="1"/>
  <c r="D15" i="5" s="1"/>
  <c r="F5" i="3" a="1"/>
  <c r="F5" i="3" s="1"/>
  <c r="E5" i="3" a="1"/>
  <c r="E5" i="3" s="1"/>
  <c r="D5" i="3" a="1"/>
  <c r="D5" i="3" s="1"/>
  <c r="C5" i="3" a="1"/>
  <c r="C5" i="3" s="1"/>
  <c r="Q64" i="4" a="1"/>
  <c r="Q64" i="4" s="1"/>
  <c r="Q63" i="4" a="1"/>
  <c r="Q63" i="4" s="1"/>
  <c r="I65" i="4" a="1"/>
  <c r="I65" i="4" s="1"/>
  <c r="B9" i="10" a="1"/>
  <c r="B9" i="10" s="1"/>
  <c r="L12" i="10" s="1" a="1"/>
  <c r="L12" i="10" s="1"/>
  <c r="G6" i="10"/>
  <c r="D6" i="10"/>
  <c r="C6" i="10"/>
  <c r="H19" i="10" l="1" a="1"/>
  <c r="H19" i="10" s="1"/>
  <c r="H18" i="10" a="1"/>
  <c r="H18" i="10" s="1"/>
  <c r="H13" i="10" a="1"/>
  <c r="H13" i="10" s="1"/>
  <c r="H10" i="10" a="1"/>
  <c r="H10" i="10" s="1"/>
  <c r="H20" i="10" a="1"/>
  <c r="H20" i="10" s="1"/>
  <c r="H15" i="10" a="1"/>
  <c r="H15" i="10" s="1"/>
  <c r="H12" i="10" a="1"/>
  <c r="H12" i="10" s="1"/>
  <c r="H16" i="10" a="1"/>
  <c r="H16" i="10" s="1"/>
  <c r="H11" i="10" a="1"/>
  <c r="H11" i="10" s="1"/>
  <c r="H21" i="10" a="1"/>
  <c r="H21" i="10" s="1"/>
  <c r="H17" i="10" a="1"/>
  <c r="H17" i="10" s="1"/>
  <c r="H14" i="10" a="1"/>
  <c r="H14" i="10" s="1"/>
  <c r="L11" i="10" a="1"/>
  <c r="L11" i="10" s="1"/>
  <c r="E9" i="10" a="1"/>
  <c r="E9" i="10" s="1"/>
  <c r="F9" i="10" s="1" a="1"/>
  <c r="F9" i="10" s="1"/>
  <c r="C9" i="10" a="1"/>
  <c r="C9" i="10" s="1"/>
  <c r="H22" i="7" a="1"/>
  <c r="H22" i="7" s="1"/>
  <c r="H20" i="7" a="1"/>
  <c r="H20" i="7" s="1"/>
  <c r="E22" i="7"/>
  <c r="E21" i="7"/>
  <c r="E20" i="7"/>
  <c r="E12" i="7"/>
  <c r="E11" i="7"/>
  <c r="E10" i="7"/>
  <c r="C22" i="7"/>
  <c r="C21" i="7"/>
  <c r="C20" i="7"/>
  <c r="C18" i="7"/>
  <c r="C10" i="7"/>
  <c r="C11" i="7"/>
  <c r="C12" i="7"/>
  <c r="E10" i="5" a="1"/>
  <c r="E10" i="5" s="1"/>
  <c r="E11" i="5" a="1"/>
  <c r="E11" i="5" s="1"/>
  <c r="E12" i="5" a="1"/>
  <c r="E12" i="5" s="1"/>
  <c r="E13" i="5" a="1"/>
  <c r="E13" i="5" s="1"/>
  <c r="E9" i="5" a="1"/>
  <c r="E9" i="5" s="1"/>
  <c r="D10" i="5" a="1"/>
  <c r="D10" i="5" s="1"/>
  <c r="D11" i="5" a="1"/>
  <c r="D11" i="5" s="1"/>
  <c r="D12" i="5" a="1"/>
  <c r="D12" i="5" s="1"/>
  <c r="D13" i="5" a="1"/>
  <c r="D13" i="5" s="1"/>
  <c r="D9" i="5" a="1"/>
  <c r="D9" i="5" s="1"/>
  <c r="E8" i="5"/>
  <c r="D8" i="5"/>
  <c r="E7" i="5"/>
  <c r="D7" i="5"/>
  <c r="C15" i="5" a="1"/>
  <c r="C15" i="5" s="1"/>
  <c r="C10" i="5"/>
  <c r="C11" i="5"/>
  <c r="C12" i="5"/>
  <c r="C13" i="5"/>
  <c r="C9" i="5"/>
  <c r="C8" i="5"/>
  <c r="C7" i="5"/>
  <c r="B64" i="4" a="1"/>
  <c r="B64" i="4" s="1"/>
  <c r="B65" i="4" a="1"/>
  <c r="B65" i="4" s="1"/>
  <c r="B6" i="4" a="1"/>
  <c r="B6" i="4" s="1"/>
  <c r="B7" i="4" a="1"/>
  <c r="B7" i="4" s="1"/>
  <c r="E8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<sst xmlns="http://schemas.openxmlformats.org/spreadsheetml/2006/main" count="2467" uniqueCount="817">
  <si>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</si>
  <si>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</si>
  <si>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</si>
  <si>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</si>
  <si>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</si>
  <si>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</si>
  <si>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</si>
  <si>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</si>
  <si>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</si>
  <si>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</si>
  <si>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</si>
  <si>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</si>
  <si>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</si>
  <si>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</si>
  <si>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</si>
  <si>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</si>
  <si>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</si>
  <si>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</si>
  <si>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</si>
  <si>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</si>
  <si>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</si>
  <si>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</si>
  <si>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</si>
  <si>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</si>
  <si>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</si>
  <si>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</si>
  <si>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</si>
  <si>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</si>
  <si>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</si>
  <si>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</si>
  <si>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</si>
  <si>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</si>
  <si>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</si>
  <si>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</si>
  <si>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</si>
  <si>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</si>
  <si>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</si>
  <si>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</si>
  <si>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</si>
  <si>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</si>
  <si>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</si>
  <si>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</si>
  <si>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</si>
  <si>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</si>
  <si>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</si>
  <si>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</si>
  <si>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</si>
  <si>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</si>
  <si>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</si>
  <si>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</si>
  <si>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</si>
  <si>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</si>
  <si>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</si>
  <si>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</si>
  <si>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</si>
  <si>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</si>
  <si>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</si>
  <si>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</si>
  <si>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</si>
  <si>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</si>
  <si>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</si>
  <si>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</si>
  <si>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</si>
  <si>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</si>
  <si>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</si>
  <si>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</si>
  <si>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</si>
  <si>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</si>
  <si>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</si>
  <si>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</si>
  <si>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</si>
  <si>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</si>
  <si>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</si>
  <si>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</si>
  <si>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</si>
  <si>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</si>
  <si>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</si>
  <si>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</si>
  <si>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</si>
  <si>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</si>
  <si>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</si>
  <si>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</si>
  <si>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</si>
  <si>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</si>
  <si>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</si>
  <si>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</si>
  <si>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</si>
  <si>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</si>
  <si>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</si>
  <si>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</si>
  <si>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</si>
  <si>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</si>
  <si>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</si>
  <si>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</si>
  <si>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</si>
  <si>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</si>
  <si>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</si>
  <si>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</si>
  <si>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</si>
  <si>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</si>
  <si>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</si>
  <si>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</si>
  <si>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</si>
  <si>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</si>
  <si>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</si>
  <si>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</si>
  <si>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</si>
  <si>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</si>
  <si>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</si>
  <si>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</si>
  <si>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</si>
  <si>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</si>
  <si>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</si>
  <si>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</si>
  <si>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</si>
  <si>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</si>
  <si>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</si>
  <si>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</si>
  <si>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</si>
  <si>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</si>
  <si>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</si>
  <si>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</si>
  <si>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</si>
  <si>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</si>
  <si>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</si>
  <si>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</si>
  <si>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</si>
  <si>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</si>
  <si>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</si>
  <si>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</si>
  <si>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</si>
  <si>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</si>
  <si>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</si>
  <si>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</si>
  <si>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</si>
  <si>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</si>
  <si>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</si>
  <si>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</si>
  <si>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</si>
  <si>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</si>
  <si>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</si>
  <si>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</si>
  <si>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</si>
  <si>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</si>
  <si>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</si>
  <si>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</si>
  <si>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</si>
  <si>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</si>
  <si>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</si>
  <si>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</si>
  <si>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</si>
  <si>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</si>
  <si>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</si>
  <si>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</si>
  <si>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</si>
  <si>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</si>
  <si>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</si>
  <si>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</si>
  <si>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</si>
  <si>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</si>
  <si>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</si>
  <si>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</si>
  <si>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</si>
  <si>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</si>
  <si>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</si>
  <si>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</si>
  <si>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</si>
  <si>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</si>
  <si>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</si>
  <si>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</si>
  <si>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</si>
  <si>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</si>
  <si>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</si>
  <si>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</si>
  <si>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</si>
  <si>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</si>
  <si>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</si>
  <si>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</si>
  <si>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</si>
  <si>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</si>
  <si>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</si>
  <si>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</si>
  <si>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</si>
  <si>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</si>
  <si>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</si>
  <si>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</si>
  <si>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</si>
  <si>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</si>
  <si>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</si>
  <si>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</si>
  <si>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</si>
  <si>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</si>
  <si>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</si>
  <si>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</si>
  <si>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</si>
  <si>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</si>
  <si>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</si>
  <si>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</si>
  <si>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</si>
  <si>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</si>
  <si>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</si>
  <si>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</si>
  <si>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</si>
  <si>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</si>
  <si>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</si>
  <si>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</si>
  <si>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</si>
  <si>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</si>
  <si>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</si>
  <si>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</si>
  <si>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</si>
  <si>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</si>
  <si>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</si>
  <si>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</si>
  <si>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</si>
  <si>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</si>
  <si>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</si>
  <si>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</si>
  <si>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</si>
  <si>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</si>
  <si>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</si>
  <si>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</si>
  <si>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</si>
  <si>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</si>
  <si>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</si>
  <si>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</si>
  <si>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</si>
  <si>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</si>
  <si>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</si>
  <si>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</si>
  <si>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</si>
  <si>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</si>
  <si>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</si>
  <si>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</si>
  <si>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</si>
  <si>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</si>
  <si>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</si>
  <si>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</si>
  <si>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</si>
  <si>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</si>
  <si>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</si>
  <si>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</si>
  <si>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</si>
  <si>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</si>
  <si>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</si>
  <si>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</si>
  <si>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</si>
  <si>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</si>
  <si>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</si>
  <si>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</si>
  <si>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</si>
  <si>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</si>
  <si>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</si>
  <si>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</si>
  <si>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</si>
  <si>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</si>
  <si>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</si>
  <si>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</si>
  <si>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</si>
  <si>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</si>
  <si>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</si>
  <si>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</si>
  <si>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</si>
  <si>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</si>
  <si>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</si>
  <si>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</si>
  <si>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</si>
  <si>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</si>
  <si>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</si>
  <si>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</si>
  <si>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</si>
  <si>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</si>
  <si>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</si>
  <si>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</si>
  <si>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</si>
  <si>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</si>
  <si>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</si>
  <si>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</si>
  <si>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</si>
  <si>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</si>
  <si>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</si>
  <si>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</si>
  <si>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</si>
  <si>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</si>
  <si>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</si>
  <si>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</si>
  <si>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</si>
  <si>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</si>
  <si>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</si>
  <si>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</si>
  <si>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</si>
  <si>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</si>
  <si>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</si>
  <si>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</si>
  <si>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</si>
  <si>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</si>
  <si>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</si>
  <si>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</si>
  <si>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</si>
  <si>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</si>
  <si>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</si>
  <si>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</si>
  <si>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</si>
  <si>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</si>
  <si>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</si>
  <si>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</si>
  <si>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</si>
  <si>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</si>
  <si>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</si>
  <si>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</si>
  <si>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</si>
  <si>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</si>
  <si>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</si>
  <si>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</si>
  <si>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</si>
  <si>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</si>
  <si>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</si>
  <si>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</si>
  <si>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</si>
  <si>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</si>
  <si>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</si>
  <si>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</si>
  <si>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</si>
  <si>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</si>
  <si>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</si>
  <si>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</si>
  <si>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</si>
  <si>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</si>
  <si>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</si>
  <si>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</si>
  <si>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</si>
  <si>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</si>
  <si>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</si>
  <si>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</si>
  <si>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</si>
  <si>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</si>
  <si>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</si>
  <si>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</si>
  <si>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</si>
  <si>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</si>
  <si>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</si>
  <si>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</si>
  <si>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</si>
  <si>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</si>
  <si>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</si>
  <si>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</si>
  <si>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</si>
  <si>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</si>
  <si>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</si>
  <si>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</si>
  <si>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</si>
  <si>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</si>
  <si>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</si>
  <si>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</si>
  <si>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</si>
  <si>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</si>
  <si>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</si>
  <si>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</si>
  <si>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</si>
  <si>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</si>
  <si>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</si>
  <si>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</si>
  <si>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</si>
  <si>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</si>
  <si>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</si>
  <si>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</si>
  <si>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</si>
  <si>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</si>
  <si>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</si>
  <si>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</si>
  <si>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</si>
  <si>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</si>
  <si>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</si>
  <si>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</si>
  <si>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</si>
  <si>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</si>
  <si>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</si>
  <si>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</si>
  <si>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</si>
  <si>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</si>
  <si>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</si>
  <si>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</si>
  <si>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</si>
  <si>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</si>
  <si>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</si>
  <si>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</si>
  <si>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</si>
  <si>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</si>
  <si>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</si>
  <si>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</si>
  <si>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</si>
  <si>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</si>
  <si>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</si>
  <si>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</si>
  <si>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</si>
  <si>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</si>
  <si>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</si>
  <si>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</si>
  <si>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</si>
  <si>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</si>
  <si>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</si>
  <si>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</si>
  <si>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</si>
  <si>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</si>
  <si>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</si>
  <si>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</si>
  <si>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</si>
  <si>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</si>
  <si>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</si>
  <si>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</si>
  <si>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</si>
  <si>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</si>
  <si>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</si>
  <si>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</si>
  <si>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</si>
  <si>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</si>
  <si>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</si>
  <si>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</si>
  <si>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</si>
  <si>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</si>
  <si>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</si>
  <si>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</si>
  <si>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</si>
  <si>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</si>
  <si>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</si>
  <si>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</si>
  <si>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</si>
  <si>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</si>
  <si>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</si>
  <si>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</si>
  <si>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</si>
  <si>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</si>
  <si>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</si>
  <si>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</si>
  <si>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</si>
  <si>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</si>
  <si>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</si>
  <si>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</si>
  <si>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</si>
  <si>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</si>
  <si>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</si>
  <si>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</si>
  <si>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</si>
  <si>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</si>
  <si>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</si>
  <si>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</si>
  <si>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</si>
  <si>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</si>
  <si>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</si>
  <si>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</si>
  <si>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</si>
  <si>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</si>
  <si>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</si>
  <si>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</si>
  <si>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</si>
  <si>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</si>
  <si>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</si>
  <si>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</si>
  <si>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</si>
  <si>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</si>
  <si>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</si>
  <si>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</si>
  <si>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</si>
  <si>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</si>
  <si>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</si>
  <si>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</si>
  <si>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</si>
  <si>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</si>
  <si>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</si>
  <si>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</si>
  <si>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</si>
  <si>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</si>
  <si>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</si>
  <si>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</si>
  <si>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</si>
  <si>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</si>
  <si>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</si>
  <si>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</si>
  <si>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</si>
  <si>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</si>
  <si>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</si>
  <si>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</si>
  <si>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</si>
  <si>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</si>
  <si>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</si>
  <si>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</si>
  <si>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</si>
  <si>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</si>
  <si>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</si>
  <si>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</si>
  <si>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</si>
  <si>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</si>
  <si>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</si>
  <si>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</si>
  <si>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</si>
  <si>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</si>
  <si>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</si>
  <si>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</si>
  <si>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</si>
  <si>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</si>
  <si>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</si>
  <si>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</si>
  <si>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</si>
  <si>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</si>
  <si>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</si>
  <si>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</si>
  <si>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</si>
  <si>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</si>
  <si>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</si>
  <si>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</si>
  <si>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</si>
  <si>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</si>
  <si>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</si>
  <si>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</si>
  <si>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</si>
  <si>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</si>
  <si>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</si>
  <si>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</si>
  <si>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</si>
  <si>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</si>
  <si>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</si>
  <si>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</si>
  <si>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</si>
  <si>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</si>
  <si>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</si>
  <si>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</si>
  <si>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</si>
  <si>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</si>
  <si>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</si>
  <si>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</si>
  <si>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</si>
  <si>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</si>
  <si>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</si>
  <si>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</si>
  <si>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</si>
  <si>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</si>
  <si>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</si>
  <si>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</si>
  <si>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</si>
  <si>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</si>
  <si>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</si>
  <si>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</si>
  <si>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</si>
  <si>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</si>
  <si>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</si>
  <si>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</si>
  <si>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</si>
  <si>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</si>
  <si>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</si>
  <si>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</si>
  <si>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</si>
  <si>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</si>
  <si>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</si>
  <si>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</si>
  <si>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</si>
  <si>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</si>
  <si>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</si>
  <si>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</si>
  <si>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</si>
  <si>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</si>
  <si>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</si>
  <si>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</si>
  <si>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</si>
  <si>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</si>
  <si>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</si>
  <si>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</si>
  <si>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</si>
  <si>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</si>
  <si>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</si>
  <si>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</si>
  <si>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</si>
  <si>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</si>
  <si>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</si>
  <si>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</si>
  <si>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</si>
  <si>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</si>
  <si>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</si>
  <si>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</si>
  <si>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</si>
  <si>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</si>
  <si>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</si>
  <si>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</si>
  <si>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</si>
  <si>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</si>
  <si>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</si>
  <si>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</si>
  <si>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</si>
  <si>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</si>
  <si>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</si>
  <si>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</si>
  <si>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</si>
  <si>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</si>
  <si>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</si>
  <si>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</si>
  <si>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</si>
  <si>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</si>
  <si>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</si>
  <si>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</si>
  <si>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</si>
  <si>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</si>
  <si>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</si>
  <si>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</si>
  <si>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</si>
  <si>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</si>
  <si>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</si>
  <si>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</si>
  <si>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</si>
  <si>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</si>
  <si>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</si>
  <si>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</si>
  <si>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</si>
  <si>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</si>
  <si>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</si>
  <si>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</si>
  <si>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</si>
  <si>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</si>
  <si>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</si>
  <si>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</si>
  <si>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</si>
  <si>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</si>
  <si>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</si>
  <si>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</si>
  <si>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</si>
  <si>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</si>
  <si>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</si>
  <si>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</si>
  <si>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</si>
  <si>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</si>
  <si>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</si>
  <si>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</si>
  <si>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</si>
  <si>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</si>
  <si>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</si>
  <si>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</si>
  <si>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</si>
  <si>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</si>
  <si>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</si>
  <si>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</si>
  <si>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</si>
  <si>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</si>
  <si>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</si>
  <si>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</si>
  <si>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</si>
  <si>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</si>
  <si>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</si>
  <si>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</si>
  <si>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</si>
  <si>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</si>
  <si>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</si>
  <si>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</si>
  <si>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</si>
  <si>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</si>
  <si>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</si>
  <si>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</si>
  <si>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</si>
  <si>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</si>
  <si>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</si>
  <si>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</si>
  <si>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</si>
  <si>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</si>
  <si>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</si>
  <si>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</si>
  <si>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</si>
  <si>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</si>
  <si>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</si>
  <si>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</si>
  <si>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</si>
  <si>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</si>
  <si>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</si>
  <si>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</si>
  <si>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</si>
  <si>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</si>
  <si>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</si>
  <si>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</si>
  <si>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</si>
  <si>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</si>
  <si>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</si>
  <si>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</si>
  <si>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</si>
  <si>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</si>
  <si>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</si>
  <si>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</si>
  <si>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</si>
  <si>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</si>
  <si>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</si>
  <si>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</si>
  <si>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</si>
  <si>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</si>
  <si>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</si>
  <si>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</si>
  <si>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</si>
  <si>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</si>
  <si>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</si>
  <si>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</si>
  <si>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</si>
  <si>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</si>
  <si>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</si>
  <si>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</si>
  <si>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</si>
  <si>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</si>
  <si>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</si>
  <si>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</si>
  <si>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</si>
  <si>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</si>
  <si>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</si>
  <si>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</si>
  <si>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</si>
  <si>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</si>
  <si>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</si>
  <si>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</si>
  <si>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</si>
  <si>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</si>
  <si>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</si>
  <si>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</si>
  <si>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</si>
  <si>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</si>
  <si>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</si>
  <si>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</si>
  <si>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</si>
  <si>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</si>
  <si>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</si>
  <si>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</si>
  <si>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</si>
  <si>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</si>
  <si>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</si>
  <si>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</si>
  <si>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</si>
  <si>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</si>
  <si>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</si>
  <si>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</si>
  <si>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</si>
  <si>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</si>
  <si>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</si>
  <si>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</si>
  <si>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</si>
  <si>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</si>
  <si>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</si>
  <si>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</si>
  <si>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</si>
  <si>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</si>
  <si>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</si>
  <si>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</si>
  <si>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</si>
  <si>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</si>
  <si>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</si>
  <si>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</si>
  <si>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</si>
  <si>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</si>
  <si>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</si>
  <si>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</si>
  <si>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</si>
  <si>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</si>
  <si>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</si>
  <si>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</si>
  <si>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</si>
  <si>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</si>
  <si>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</si>
  <si>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</si>
  <si>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</si>
  <si>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</si>
  <si>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</si>
  <si>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</si>
  <si>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>Total Salary</t>
  </si>
  <si>
    <t>Avg. Salary</t>
  </si>
  <si>
    <t>Permanent headcount</t>
  </si>
  <si>
    <t>All Employees with &gt;100k Salary</t>
  </si>
  <si>
    <t>Columns 1, 2, 3, 5, 6</t>
  </si>
  <si>
    <t>All such "Female" Employees</t>
  </si>
  <si>
    <t>Columns 1, 2, 3, 4, 5, 6</t>
  </si>
  <si>
    <t>who joined in 2020 or after…</t>
  </si>
  <si>
    <t>Lowest salary</t>
  </si>
  <si>
    <t>Highest salary</t>
  </si>
  <si>
    <t>Top 5 Salaries</t>
  </si>
  <si>
    <t>All emps</t>
  </si>
  <si>
    <t>with SORT + TAKE</t>
  </si>
  <si>
    <t>List all deparments and count them</t>
  </si>
  <si>
    <t>Department:</t>
  </si>
  <si>
    <t>All depts in one cell, comma seperated</t>
  </si>
  <si>
    <t>Count:</t>
  </si>
  <si>
    <t>Business Growth</t>
  </si>
  <si>
    <t>Employee Lookup</t>
  </si>
  <si>
    <t>Employee ID</t>
  </si>
  <si>
    <t>First name:</t>
  </si>
  <si>
    <t>Last name:</t>
  </si>
  <si>
    <t>Salary:</t>
  </si>
  <si>
    <t>Find all employees with 120,000 salary</t>
  </si>
  <si>
    <t>With XLOOKUP</t>
  </si>
  <si>
    <t>Entire data</t>
  </si>
  <si>
    <t>One person:</t>
  </si>
  <si>
    <t>All persons:</t>
  </si>
  <si>
    <t>Female employees with Monday start</t>
  </si>
  <si>
    <t>Highest Salary</t>
  </si>
  <si>
    <t>% diff from overall avg.</t>
  </si>
  <si>
    <t>Median Salary</t>
  </si>
  <si>
    <t>ALL Departments</t>
  </si>
  <si>
    <t>Female Ratio</t>
  </si>
  <si>
    <t>Calculate Median Salary and Female Ratio</t>
  </si>
  <si>
    <t>Other Challenge</t>
  </si>
  <si>
    <t>Permanent Headcounts</t>
  </si>
  <si>
    <t>COUNTIFS, SUMIFS, AVERAGEIFS</t>
  </si>
  <si>
    <t>Emplyees joined in 2020 or after</t>
  </si>
  <si>
    <t>Columns 1, 2, 3, 5, 6,8</t>
  </si>
  <si>
    <t xml:space="preserve"> Employees with &gt;100k Salary</t>
  </si>
  <si>
    <t>FILTER , FILTER, *</t>
  </si>
  <si>
    <t>UNIQUE, COUNTA, TEXTJOIN</t>
  </si>
  <si>
    <t>MIN, MAX, LARGE, FILTER , MINFIS, TAKE, SORT</t>
  </si>
  <si>
    <t>Employees with Salary of 120000</t>
  </si>
  <si>
    <t>VLOOKUP, INDEX MATCH, XLOOKUP, IFERROR, TRANSPOSE</t>
  </si>
  <si>
    <t>XLOOKUP, FILTER, TEXTJOIN</t>
  </si>
  <si>
    <t>Female employees with start date on Monday</t>
  </si>
  <si>
    <t>FILTER, LEFT,MONTH, DATE, WEEKDAY</t>
  </si>
  <si>
    <t>male count</t>
  </si>
  <si>
    <t>female count</t>
  </si>
  <si>
    <t>of accounting department</t>
  </si>
  <si>
    <t>AVERAGEIFS, MAXIFS, MEDIAN, FILTER, COUNTA, ROUND</t>
  </si>
  <si>
    <t>Employees with H as starting letter of First Name</t>
  </si>
  <si>
    <t>Female to Male ratio is calculated as "1:"&amp;ROUND(MALES/FEMALES,1)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</si>
</sst>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4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8" fontId="0" fillId="0" borderId="5" xfId="0" applyNumberFormat="1" applyBorder="1" applyAlignment="1">
      <alignment horizontal="center"/>
    </xf>
    <xf numFmtId="8" fontId="0" fillId="3" borderId="5" xfId="0" applyNumberFormat="1" applyFill="1" applyBorder="1" applyAlignment="1">
      <alignment horizontal="center"/>
    </xf>
    <xf numFmtId="8" fontId="0" fillId="0" borderId="5" xfId="0" applyNumberFormat="1" applyBorder="1" applyAlignment="1">
      <alignment horizontal="left"/>
    </xf>
    <xf numFmtId="8" fontId="0" fillId="0" borderId="0" xfId="0" applyNumberFormat="1" applyAlignment="1">
      <alignment horizontal="left"/>
    </xf>
    <xf numFmtId="0" fontId="6" fillId="0" borderId="2" xfId="0" applyFont="1" applyBorder="1" applyAlignment="1">
      <alignment vertical="center"/>
    </xf>
    <xf numFmtId="0" fontId="0" fillId="4" borderId="4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0" xfId="0" applyFont="1"/>
    <xf numFmtId="0" fontId="0" fillId="3" borderId="4" xfId="0" applyFill="1" applyBorder="1" applyAlignment="1">
      <alignment horizontal="left"/>
    </xf>
    <xf numFmtId="8" fontId="0" fillId="3" borderId="4" xfId="0" applyNumberFormat="1" applyFill="1" applyBorder="1" applyAlignment="1">
      <alignment horizontal="left"/>
    </xf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8" fillId="0" borderId="0" xfId="0" applyFont="1"/>
    <xf numFmtId="0" fontId="0" fillId="0" borderId="9" xfId="0" applyBorder="1"/>
    <xf numFmtId="0" fontId="0" fillId="0" borderId="10" xfId="0" applyBorder="1"/>
    <xf numFmtId="0" fontId="8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6" fontId="0" fillId="4" borderId="0" xfId="0" applyNumberFormat="1" applyFill="1"/>
    <xf numFmtId="6" fontId="0" fillId="0" borderId="9" xfId="0" applyNumberFormat="1" applyBorder="1"/>
    <xf numFmtId="6" fontId="0" fillId="0" borderId="10" xfId="0" applyNumberFormat="1" applyBorder="1"/>
    <xf numFmtId="165" fontId="9" fillId="0" borderId="9" xfId="0" applyNumberFormat="1" applyFont="1" applyBorder="1"/>
    <xf numFmtId="165" fontId="9" fillId="0" borderId="10" xfId="0" applyNumberFormat="1" applyFont="1" applyBorder="1"/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0" fillId="8" borderId="0" xfId="0" applyFill="1"/>
    <xf numFmtId="0" fontId="2" fillId="9" borderId="0" xfId="0" applyFont="1" applyFill="1"/>
    <xf numFmtId="0" fontId="2" fillId="0" borderId="0" xfId="0" applyFont="1" applyAlignment="1">
      <alignment wrapText="1"/>
    </xf>
    <xf numFmtId="0" fontId="0" fillId="11" borderId="0" xfId="0" applyFill="1"/>
    <xf numFmtId="0" fontId="2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7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12" borderId="0" xfId="0" applyFill="1"/>
    <xf numFmtId="0" fontId="2" fillId="12" borderId="0" xfId="0" applyFont="1" applyFill="1"/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6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/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abSelected="1" zoomScale="84" zoomScaleNormal="84" workbookViewId="0">
      <selection activeCell="K17" sqref="K17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4.33203125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2" spans="1:14" ht="5.25" customHeight="1" x14ac:dyDescent="0.3"/>
    <row r="3" spans="1:14" ht="5.25" customHeight="1" x14ac:dyDescent="0.3"/>
    <row r="4" spans="1:14" ht="5.25" customHeight="1" x14ac:dyDescent="0.3"/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797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11" t="s">
        <v>764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13" t="s">
        <v>769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40" t="s">
        <v>777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40" t="s">
        <v>785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19" t="s">
        <v>790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 t="s">
        <v>796</v>
      </c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F16"/>
  <sheetViews>
    <sheetView zoomScale="124" zoomScaleNormal="124" workbookViewId="0">
      <selection activeCell="B2" sqref="B2:F2"/>
    </sheetView>
  </sheetViews>
  <sheetFormatPr defaultRowHeight="14.4" x14ac:dyDescent="0.3"/>
  <cols>
    <col min="1" max="1" width="4.5546875" customWidth="1"/>
    <col min="2" max="2" width="26.88671875" customWidth="1"/>
    <col min="3" max="4" width="13.88671875" customWidth="1"/>
    <col min="5" max="5" width="11.109375" customWidth="1"/>
    <col min="6" max="6" width="20.88671875" customWidth="1"/>
  </cols>
  <sheetData>
    <row r="2" spans="2:6" x14ac:dyDescent="0.3">
      <c r="B2" s="69" t="s">
        <v>799</v>
      </c>
      <c r="C2" s="69"/>
      <c r="D2" s="69"/>
      <c r="E2" s="69"/>
      <c r="F2" s="69"/>
    </row>
    <row r="4" spans="2:6" x14ac:dyDescent="0.3">
      <c r="B4" s="26" t="s">
        <v>4</v>
      </c>
      <c r="C4" s="26" t="s">
        <v>761</v>
      </c>
      <c r="D4" s="26" t="s">
        <v>762</v>
      </c>
      <c r="E4" s="26" t="s">
        <v>763</v>
      </c>
      <c r="F4" s="29" t="s">
        <v>798</v>
      </c>
    </row>
    <row r="5" spans="2:6" x14ac:dyDescent="0.3">
      <c r="B5" t="s">
        <v>36</v>
      </c>
      <c r="C5" cm="1">
        <f t="array" ref="C5:C16">COUNTIFS(staff[Department],B5:B16)</f>
        <v>24</v>
      </c>
      <c r="D5" s="27" cm="1">
        <f t="array" ref="D5:D16">SUMIFS(staff[Salary],staff[Department],B5:B16)</f>
        <v>2013215.1600000001</v>
      </c>
      <c r="E5" s="27" cm="1">
        <f t="array" ref="E5:E16">AVERAGEIFS(staff[Salary],staff[Department],B5:B16)</f>
        <v>83883.965000000011</v>
      </c>
      <c r="F5" cm="1">
        <f t="array" ref="F5:F16">COUNTIFS(staff[Employee type],"Permanent",staff[Department], B5:B16)</f>
        <v>11</v>
      </c>
    </row>
    <row r="6" spans="2:6" x14ac:dyDescent="0.3">
      <c r="B6" t="s">
        <v>25</v>
      </c>
      <c r="C6">
        <v>24</v>
      </c>
      <c r="D6" s="27">
        <v>1912935.4700000002</v>
      </c>
      <c r="E6" s="27">
        <v>79705.644583333342</v>
      </c>
      <c r="F6">
        <v>16</v>
      </c>
    </row>
    <row r="7" spans="2:6" x14ac:dyDescent="0.3">
      <c r="B7" t="s">
        <v>16</v>
      </c>
      <c r="C7">
        <v>26</v>
      </c>
      <c r="D7" s="27">
        <v>2131387.4899999998</v>
      </c>
      <c r="E7" s="27">
        <v>81976.441923076913</v>
      </c>
      <c r="F7">
        <v>16</v>
      </c>
    </row>
    <row r="8" spans="2:6" x14ac:dyDescent="0.3">
      <c r="B8" t="s">
        <v>54</v>
      </c>
      <c r="C8">
        <v>12</v>
      </c>
      <c r="D8" s="27">
        <v>773295.6</v>
      </c>
      <c r="E8" s="27">
        <v>64441.299999999996</v>
      </c>
      <c r="F8">
        <v>9</v>
      </c>
    </row>
    <row r="9" spans="2:6" x14ac:dyDescent="0.3">
      <c r="B9" t="s">
        <v>131</v>
      </c>
      <c r="C9">
        <v>21</v>
      </c>
      <c r="D9" s="27">
        <v>1412092.87</v>
      </c>
      <c r="E9" s="27">
        <v>67242.51761904762</v>
      </c>
      <c r="F9">
        <v>13</v>
      </c>
    </row>
    <row r="10" spans="2:6" x14ac:dyDescent="0.3">
      <c r="B10" t="s">
        <v>101</v>
      </c>
      <c r="C10">
        <v>26</v>
      </c>
      <c r="D10" s="27">
        <v>1814980.59</v>
      </c>
      <c r="E10" s="27">
        <v>69806.945769230777</v>
      </c>
      <c r="F10">
        <v>18</v>
      </c>
    </row>
    <row r="11" spans="2:6" x14ac:dyDescent="0.3">
      <c r="B11" t="s">
        <v>97</v>
      </c>
      <c r="C11">
        <v>22</v>
      </c>
      <c r="D11" s="27">
        <v>1608406.3100000003</v>
      </c>
      <c r="E11" s="27">
        <v>73109.377727272746</v>
      </c>
      <c r="F11">
        <v>13</v>
      </c>
    </row>
    <row r="12" spans="2:6" x14ac:dyDescent="0.3">
      <c r="B12" t="s">
        <v>58</v>
      </c>
      <c r="C12">
        <v>18</v>
      </c>
      <c r="D12" s="27">
        <v>1204393.78</v>
      </c>
      <c r="E12" s="27">
        <v>66910.765555555554</v>
      </c>
      <c r="F12">
        <v>11</v>
      </c>
    </row>
    <row r="13" spans="2:6" x14ac:dyDescent="0.3">
      <c r="B13" t="s">
        <v>32</v>
      </c>
      <c r="C13">
        <v>21</v>
      </c>
      <c r="D13" s="27">
        <v>1568153.47</v>
      </c>
      <c r="E13" s="27">
        <v>74673.974761904756</v>
      </c>
      <c r="F13">
        <v>16</v>
      </c>
    </row>
    <row r="14" spans="2:6" x14ac:dyDescent="0.3">
      <c r="B14" t="s">
        <v>124</v>
      </c>
      <c r="C14">
        <v>29</v>
      </c>
      <c r="D14" s="27">
        <v>2180192.8699999992</v>
      </c>
      <c r="E14" s="27">
        <v>75179.064482758593</v>
      </c>
      <c r="F14">
        <v>19</v>
      </c>
    </row>
    <row r="15" spans="2:6" x14ac:dyDescent="0.3">
      <c r="B15" t="s">
        <v>50</v>
      </c>
      <c r="C15">
        <v>17</v>
      </c>
      <c r="D15" s="27">
        <v>1129351.75</v>
      </c>
      <c r="E15" s="27">
        <v>66432.455882352937</v>
      </c>
      <c r="F15">
        <v>11</v>
      </c>
    </row>
    <row r="16" spans="2:6" x14ac:dyDescent="0.3">
      <c r="B16" t="s">
        <v>105</v>
      </c>
      <c r="C16">
        <v>18</v>
      </c>
      <c r="D16" s="27">
        <v>1294147.72</v>
      </c>
      <c r="E16" s="27">
        <v>71897.095555555556</v>
      </c>
      <c r="F16">
        <v>13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3:W92"/>
  <sheetViews>
    <sheetView topLeftCell="B1" zoomScaleNormal="100" workbookViewId="0">
      <selection activeCell="B3" sqref="B3:N3"/>
    </sheetView>
  </sheetViews>
  <sheetFormatPr defaultRowHeight="14.4" x14ac:dyDescent="0.3"/>
  <cols>
    <col min="1" max="1" width="3.5546875" customWidth="1"/>
    <col min="9" max="9" width="11" bestFit="1" customWidth="1"/>
    <col min="19" max="19" width="12.5546875" bestFit="1" customWidth="1"/>
    <col min="20" max="20" width="20" bestFit="1" customWidth="1"/>
  </cols>
  <sheetData>
    <row r="3" spans="2:14" ht="15.6" x14ac:dyDescent="0.3">
      <c r="B3" s="70" t="s">
        <v>803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5" spans="2:14" x14ac:dyDescent="0.3">
      <c r="B5" s="25" t="s">
        <v>765</v>
      </c>
    </row>
    <row r="6" spans="2:14" x14ac:dyDescent="0.3">
      <c r="B6" s="29" t="str" cm="1">
        <f t="array" ref="B6:N6">staff[#Headers]</f>
        <v>Emp ID</v>
      </c>
      <c r="C6" s="29" t="str">
        <v>First Name</v>
      </c>
      <c r="D6" s="29" t="str">
        <v>Last Name</v>
      </c>
      <c r="E6" s="29" t="str">
        <v>Gender</v>
      </c>
      <c r="F6" s="29" t="str">
        <v>Department</v>
      </c>
      <c r="G6" s="29" t="str">
        <v>Salary</v>
      </c>
      <c r="H6" s="29" t="str">
        <v>Salary Bucket</v>
      </c>
      <c r="I6" s="29" t="str">
        <v>Start Date</v>
      </c>
      <c r="J6" s="29" t="str">
        <v>FTE</v>
      </c>
      <c r="K6" s="29" t="str">
        <v>Employee type</v>
      </c>
      <c r="L6" s="29" t="str">
        <v>Work location</v>
      </c>
      <c r="M6" s="29" t="str">
        <v>Tenure</v>
      </c>
      <c r="N6" s="29" t="str">
        <v>Work Type</v>
      </c>
    </row>
    <row r="7" spans="2:14" x14ac:dyDescent="0.3">
      <c r="B7" t="str" cm="1">
        <f t="array" ref="B7:N53">_xlfn._xlws.FILTER(staff[],staff[Salary]&gt;100000)</f>
        <v>PR00147</v>
      </c>
      <c r="C7" t="str">
        <v>Minerva</v>
      </c>
      <c r="D7" t="str">
        <v>Ricardot</v>
      </c>
      <c r="E7" t="str">
        <v>Male</v>
      </c>
      <c r="F7" t="str">
        <v>Engineering</v>
      </c>
      <c r="G7">
        <v>120000</v>
      </c>
      <c r="H7" t="str">
        <v>Above 100k</v>
      </c>
      <c r="I7" s="28">
        <v>43416</v>
      </c>
      <c r="J7">
        <v>1</v>
      </c>
      <c r="K7" t="str">
        <v>Permanent</v>
      </c>
      <c r="L7" t="str">
        <v>Remote</v>
      </c>
      <c r="M7">
        <v>5.6109589041095891</v>
      </c>
      <c r="N7" t="str">
        <v>Full time</v>
      </c>
    </row>
    <row r="8" spans="2:14" x14ac:dyDescent="0.3">
      <c r="B8" t="str">
        <v>PR00746</v>
      </c>
      <c r="C8" t="str">
        <v>Hogan</v>
      </c>
      <c r="D8" t="str">
        <v>Iles</v>
      </c>
      <c r="E8" t="str">
        <v>Female</v>
      </c>
      <c r="F8" t="str">
        <v>Accounting</v>
      </c>
      <c r="G8">
        <v>114177.23</v>
      </c>
      <c r="H8" t="str">
        <v>Above 100k</v>
      </c>
      <c r="I8" s="28">
        <v>43908</v>
      </c>
      <c r="J8">
        <v>1</v>
      </c>
      <c r="K8" t="str">
        <v>Permanent</v>
      </c>
      <c r="L8" t="str">
        <v>Wellington, New Zealand</v>
      </c>
      <c r="M8">
        <v>4.2630136986301368</v>
      </c>
      <c r="N8" t="str">
        <v>Full time</v>
      </c>
    </row>
    <row r="9" spans="2:14" x14ac:dyDescent="0.3">
      <c r="B9" t="str">
        <v>PR01159</v>
      </c>
      <c r="C9" t="str">
        <v>Mollie</v>
      </c>
      <c r="D9" t="str">
        <v>Hanway</v>
      </c>
      <c r="E9" t="str">
        <v>Male</v>
      </c>
      <c r="F9" t="str">
        <v>Engineering</v>
      </c>
      <c r="G9">
        <v>112645.99</v>
      </c>
      <c r="H9" t="str">
        <v>Above 100k</v>
      </c>
      <c r="I9" s="28">
        <v>43759</v>
      </c>
      <c r="J9">
        <v>0.6</v>
      </c>
      <c r="K9" t="str">
        <v>Permanent</v>
      </c>
      <c r="L9" t="str">
        <v>Seattle, USA</v>
      </c>
      <c r="M9">
        <v>4.6712328767123283</v>
      </c>
      <c r="N9" t="str">
        <v>Part time</v>
      </c>
    </row>
    <row r="10" spans="2:14" x14ac:dyDescent="0.3">
      <c r="B10" t="str">
        <v>PR02010</v>
      </c>
      <c r="C10" t="str">
        <v>Prerana</v>
      </c>
      <c r="D10" t="str">
        <v>Nishita</v>
      </c>
      <c r="E10" t="str">
        <v>Male</v>
      </c>
      <c r="F10" t="str">
        <v>Product Management</v>
      </c>
      <c r="G10">
        <v>115191.38</v>
      </c>
      <c r="H10" t="str">
        <v>Above 100k</v>
      </c>
      <c r="I10" s="28">
        <v>44004</v>
      </c>
      <c r="J10">
        <v>1</v>
      </c>
      <c r="K10" t="str">
        <v>Permanent</v>
      </c>
      <c r="L10" t="str">
        <v>Hyderabad, India</v>
      </c>
      <c r="M10">
        <v>4</v>
      </c>
      <c r="N10" t="str">
        <v>Full time</v>
      </c>
    </row>
    <row r="11" spans="2:14" x14ac:dyDescent="0.3">
      <c r="B11" t="str">
        <v>PR02208</v>
      </c>
      <c r="C11" t="str">
        <v>Gowri</v>
      </c>
      <c r="D11" t="str">
        <v>Sankar</v>
      </c>
      <c r="E11" t="str">
        <v>Female</v>
      </c>
      <c r="F11" t="str">
        <v>Training</v>
      </c>
      <c r="G11">
        <v>102934.09</v>
      </c>
      <c r="H11" t="str">
        <v>Above 100k</v>
      </c>
      <c r="I11" s="28">
        <v>44315</v>
      </c>
      <c r="J11">
        <v>1</v>
      </c>
      <c r="K11" t="str">
        <v>Permanent</v>
      </c>
      <c r="L11" t="str">
        <v>Hyderabad, India</v>
      </c>
      <c r="M11">
        <v>3.1479452054794521</v>
      </c>
      <c r="N11" t="str">
        <v>Full time</v>
      </c>
    </row>
    <row r="12" spans="2:14" x14ac:dyDescent="0.3">
      <c r="B12" t="str">
        <v>PR02288</v>
      </c>
      <c r="C12" t="str">
        <v>Althea</v>
      </c>
      <c r="D12" t="str">
        <v>Bronger</v>
      </c>
      <c r="E12" t="str">
        <v>Male</v>
      </c>
      <c r="F12" t="str">
        <v>Product Management</v>
      </c>
      <c r="G12">
        <v>104335.03999999999</v>
      </c>
      <c r="H12" t="str">
        <v>Above 100k</v>
      </c>
      <c r="I12" s="28">
        <v>43874</v>
      </c>
      <c r="J12">
        <v>1</v>
      </c>
      <c r="K12" t="str">
        <v>Permanent</v>
      </c>
      <c r="L12" t="str">
        <v>Columbus, USA</v>
      </c>
      <c r="M12">
        <v>4.3561643835616435</v>
      </c>
      <c r="N12" t="str">
        <v>Full time</v>
      </c>
    </row>
    <row r="13" spans="2:14" x14ac:dyDescent="0.3">
      <c r="B13" t="str">
        <v>PR03886</v>
      </c>
      <c r="C13" t="str">
        <v>Edd</v>
      </c>
      <c r="D13" t="str">
        <v>MacKnockiter</v>
      </c>
      <c r="E13" t="str">
        <v>Male</v>
      </c>
      <c r="F13" t="str">
        <v>Accounting</v>
      </c>
      <c r="G13">
        <v>119022.49</v>
      </c>
      <c r="H13" t="str">
        <v>Above 100k</v>
      </c>
      <c r="I13" s="28">
        <v>44431</v>
      </c>
      <c r="J13">
        <v>1</v>
      </c>
      <c r="K13" t="str">
        <v>Permanent</v>
      </c>
      <c r="L13" t="str">
        <v>Auckland, New Zealand</v>
      </c>
      <c r="M13">
        <v>2.8301369863013699</v>
      </c>
      <c r="N13" t="str">
        <v>Full time</v>
      </c>
    </row>
    <row r="14" spans="2:14" x14ac:dyDescent="0.3">
      <c r="B14" t="str">
        <v>PR04601</v>
      </c>
      <c r="C14" t="str">
        <v>Yedukondalu</v>
      </c>
      <c r="D14" t="str">
        <v>Panditula</v>
      </c>
      <c r="E14" t="str">
        <v>Need to check</v>
      </c>
      <c r="F14" t="str">
        <v>Support</v>
      </c>
      <c r="G14">
        <v>104802.63</v>
      </c>
      <c r="H14" t="str">
        <v>Above 100k</v>
      </c>
      <c r="I14" s="28">
        <v>44502</v>
      </c>
      <c r="J14">
        <v>1</v>
      </c>
      <c r="K14" t="str">
        <v>Permanent</v>
      </c>
      <c r="L14" t="str">
        <v>Hyderabad, India</v>
      </c>
      <c r="M14">
        <v>2.6356164383561644</v>
      </c>
      <c r="N14" t="str">
        <v>Full time</v>
      </c>
    </row>
    <row r="15" spans="2:14" x14ac:dyDescent="0.3">
      <c r="B15" t="str">
        <v>SQ00022</v>
      </c>
      <c r="C15" t="str">
        <v>Carlin</v>
      </c>
      <c r="D15" t="str">
        <v>Demke</v>
      </c>
      <c r="E15" t="str">
        <v>Male</v>
      </c>
      <c r="F15" t="str">
        <v>Business Development</v>
      </c>
      <c r="G15">
        <v>110042.37</v>
      </c>
      <c r="H15" t="str">
        <v>Above 100k</v>
      </c>
      <c r="I15" s="28">
        <v>43914</v>
      </c>
      <c r="J15">
        <v>1</v>
      </c>
      <c r="K15" t="str">
        <v>Permanent</v>
      </c>
      <c r="L15" t="str">
        <v>Columbus, USA</v>
      </c>
      <c r="M15">
        <v>4.2465753424657535</v>
      </c>
      <c r="N15" t="str">
        <v>Full time</v>
      </c>
    </row>
    <row r="16" spans="2:14" x14ac:dyDescent="0.3">
      <c r="B16" t="str">
        <v>SQ00144</v>
      </c>
      <c r="C16" t="str">
        <v>Collen</v>
      </c>
      <c r="D16" t="str">
        <v>Dunbleton</v>
      </c>
      <c r="E16" t="str">
        <v>Male</v>
      </c>
      <c r="F16" t="str">
        <v>Engineering</v>
      </c>
      <c r="G16">
        <v>118976.16</v>
      </c>
      <c r="H16" t="str">
        <v>Above 100k</v>
      </c>
      <c r="I16" s="28">
        <v>44120</v>
      </c>
      <c r="J16">
        <v>1</v>
      </c>
      <c r="K16" t="str">
        <v>Permanent</v>
      </c>
      <c r="L16" t="str">
        <v>Wellington, New Zealand</v>
      </c>
      <c r="M16">
        <v>3.6821917808219178</v>
      </c>
      <c r="N16" t="str">
        <v>Full time</v>
      </c>
    </row>
    <row r="17" spans="2:14" x14ac:dyDescent="0.3">
      <c r="B17" t="str">
        <v>SQ00498</v>
      </c>
      <c r="C17" t="str">
        <v>Amery</v>
      </c>
      <c r="D17" t="str">
        <v>Ofer</v>
      </c>
      <c r="E17" t="str">
        <v>Female</v>
      </c>
      <c r="F17" t="str">
        <v>Legal</v>
      </c>
      <c r="G17">
        <v>111049.84</v>
      </c>
      <c r="H17" t="str">
        <v>Above 100k</v>
      </c>
      <c r="I17" s="28">
        <v>44393</v>
      </c>
      <c r="J17">
        <v>1</v>
      </c>
      <c r="K17" t="str">
        <v>Permanent</v>
      </c>
      <c r="L17" t="str">
        <v>Wellington, New Zealand</v>
      </c>
      <c r="M17">
        <v>2.9342465753424656</v>
      </c>
      <c r="N17" t="str">
        <v>Full time</v>
      </c>
    </row>
    <row r="18" spans="2:14" x14ac:dyDescent="0.3">
      <c r="B18" t="str">
        <v>SQ01620</v>
      </c>
      <c r="C18" t="str">
        <v>Westbrook</v>
      </c>
      <c r="D18" t="str">
        <v>Brandino</v>
      </c>
      <c r="E18" t="str">
        <v>Male</v>
      </c>
      <c r="F18" t="str">
        <v>Legal</v>
      </c>
      <c r="G18">
        <v>113616.23</v>
      </c>
      <c r="H18" t="str">
        <v>Above 100k</v>
      </c>
      <c r="I18" s="28">
        <v>43255</v>
      </c>
      <c r="J18">
        <v>1</v>
      </c>
      <c r="K18" t="str">
        <v>Permanent</v>
      </c>
      <c r="L18" t="str">
        <v>Remote</v>
      </c>
      <c r="M18">
        <v>6.0520547945205481</v>
      </c>
      <c r="N18" t="str">
        <v>Full time</v>
      </c>
    </row>
    <row r="19" spans="2:14" x14ac:dyDescent="0.3">
      <c r="B19" t="str">
        <v>SQ02035</v>
      </c>
      <c r="C19" t="str">
        <v>Anni</v>
      </c>
      <c r="D19" t="str">
        <v>Izzard</v>
      </c>
      <c r="E19" t="str">
        <v>Male</v>
      </c>
      <c r="F19" t="str">
        <v>Human Resources</v>
      </c>
      <c r="G19">
        <v>103494.94</v>
      </c>
      <c r="H19" t="str">
        <v>Above 100k</v>
      </c>
      <c r="I19" s="28">
        <v>43256</v>
      </c>
      <c r="J19">
        <v>1</v>
      </c>
      <c r="K19" t="str">
        <v>Permanent</v>
      </c>
      <c r="L19" t="str">
        <v>Remote</v>
      </c>
      <c r="M19">
        <v>6.0493150684931507</v>
      </c>
      <c r="N19" t="str">
        <v>Full time</v>
      </c>
    </row>
    <row r="20" spans="2:14" x14ac:dyDescent="0.3">
      <c r="B20" t="str">
        <v>SQ02035</v>
      </c>
      <c r="C20" t="str">
        <v>Anni</v>
      </c>
      <c r="D20" t="str">
        <v>Izzard</v>
      </c>
      <c r="E20" t="str">
        <v>Male</v>
      </c>
      <c r="F20" t="str">
        <v>Human Resources</v>
      </c>
      <c r="G20">
        <v>103494.94</v>
      </c>
      <c r="H20" t="str">
        <v>Above 100k</v>
      </c>
      <c r="I20" s="28">
        <v>43256</v>
      </c>
      <c r="J20">
        <v>1</v>
      </c>
      <c r="K20" t="str">
        <v>Permanent</v>
      </c>
      <c r="L20" t="str">
        <v>Remote</v>
      </c>
      <c r="M20">
        <v>6.0493150684931507</v>
      </c>
      <c r="N20" t="str">
        <v>Full time</v>
      </c>
    </row>
    <row r="21" spans="2:14" x14ac:dyDescent="0.3">
      <c r="B21" t="str">
        <v>SQ02174</v>
      </c>
      <c r="C21" t="str">
        <v>Sidoney</v>
      </c>
      <c r="D21" t="str">
        <v>Yitzhok</v>
      </c>
      <c r="E21" t="str">
        <v>Female</v>
      </c>
      <c r="F21" t="str">
        <v>Engineering</v>
      </c>
      <c r="G21">
        <v>118442.54</v>
      </c>
      <c r="H21" t="str">
        <v>Above 100k</v>
      </c>
      <c r="I21" s="28">
        <v>44193</v>
      </c>
      <c r="J21">
        <v>1</v>
      </c>
      <c r="K21" t="str">
        <v>Permanent</v>
      </c>
      <c r="L21" t="str">
        <v>Auckland, New Zealand</v>
      </c>
      <c r="M21">
        <v>3.4821917808219176</v>
      </c>
      <c r="N21" t="str">
        <v>Full time</v>
      </c>
    </row>
    <row r="22" spans="2:14" x14ac:dyDescent="0.3">
      <c r="B22" t="str">
        <v>SQ02624</v>
      </c>
      <c r="C22" t="str">
        <v>Gwenneth</v>
      </c>
      <c r="D22" t="str">
        <v>Fealey</v>
      </c>
      <c r="E22" t="str">
        <v>Female</v>
      </c>
      <c r="F22" t="str">
        <v>Engineering</v>
      </c>
      <c r="G22">
        <v>114772.32</v>
      </c>
      <c r="H22" t="str">
        <v>Above 100k</v>
      </c>
      <c r="I22" s="28">
        <v>44251</v>
      </c>
      <c r="J22">
        <v>1</v>
      </c>
      <c r="K22" t="str">
        <v>Permanent</v>
      </c>
      <c r="L22" t="str">
        <v>Columbus, USA</v>
      </c>
      <c r="M22">
        <v>3.3232876712328765</v>
      </c>
      <c r="N22" t="str">
        <v>Full time</v>
      </c>
    </row>
    <row r="23" spans="2:14" x14ac:dyDescent="0.3">
      <c r="B23" t="str">
        <v>SQ02703</v>
      </c>
      <c r="C23" t="str">
        <v>Deepit</v>
      </c>
      <c r="D23" t="str">
        <v>Ranjana</v>
      </c>
      <c r="E23" t="str">
        <v>Female</v>
      </c>
      <c r="F23" t="str">
        <v>Marketing</v>
      </c>
      <c r="G23">
        <v>104903.79</v>
      </c>
      <c r="H23" t="str">
        <v>Above 100k</v>
      </c>
      <c r="I23" s="28">
        <v>43649</v>
      </c>
      <c r="J23">
        <v>1</v>
      </c>
      <c r="K23" t="str">
        <v>Permanent</v>
      </c>
      <c r="L23" t="str">
        <v>Chennai, India</v>
      </c>
      <c r="M23">
        <v>4.9726027397260273</v>
      </c>
      <c r="N23" t="str">
        <v>Full time</v>
      </c>
    </row>
    <row r="24" spans="2:14" x14ac:dyDescent="0.3">
      <c r="B24" t="str">
        <v>SQ03116</v>
      </c>
      <c r="C24" t="str">
        <v>Syd</v>
      </c>
      <c r="D24" t="str">
        <v>Fearn</v>
      </c>
      <c r="E24" t="str">
        <v>Male</v>
      </c>
      <c r="F24" t="str">
        <v>Engineering</v>
      </c>
      <c r="G24">
        <v>108872.77</v>
      </c>
      <c r="H24" t="str">
        <v>Above 100k</v>
      </c>
      <c r="I24" s="28">
        <v>43521</v>
      </c>
      <c r="J24">
        <v>1</v>
      </c>
      <c r="K24" t="str">
        <v>Permanent</v>
      </c>
      <c r="L24" t="str">
        <v>Remote</v>
      </c>
      <c r="M24">
        <v>5.3232876712328769</v>
      </c>
      <c r="N24" t="str">
        <v>Full time</v>
      </c>
    </row>
    <row r="25" spans="2:14" x14ac:dyDescent="0.3">
      <c r="B25" t="str">
        <v>SQ03387</v>
      </c>
      <c r="C25" t="str">
        <v>Robinia</v>
      </c>
      <c r="D25" t="str">
        <v>Scholling</v>
      </c>
      <c r="E25" t="str">
        <v>Female</v>
      </c>
      <c r="F25" t="str">
        <v>Human Resources</v>
      </c>
      <c r="G25">
        <v>100731.95</v>
      </c>
      <c r="H25" t="str">
        <v>Above 100k</v>
      </c>
      <c r="I25" s="28">
        <v>43936</v>
      </c>
      <c r="J25">
        <v>1</v>
      </c>
      <c r="K25" t="str">
        <v>Permanent</v>
      </c>
      <c r="L25" t="str">
        <v>Auckland, New Zealand</v>
      </c>
      <c r="M25">
        <v>4.1863013698630134</v>
      </c>
      <c r="N25" t="str">
        <v>Full time</v>
      </c>
    </row>
    <row r="26" spans="2:14" x14ac:dyDescent="0.3">
      <c r="B26" t="str">
        <v>SQ03476</v>
      </c>
      <c r="C26" t="str">
        <v>Ramalingam</v>
      </c>
      <c r="D26" t="str">
        <v>Kothapeta</v>
      </c>
      <c r="E26" t="str">
        <v>Need to check</v>
      </c>
      <c r="F26" t="str">
        <v>Accounting</v>
      </c>
      <c r="G26">
        <v>107107.6</v>
      </c>
      <c r="H26" t="str">
        <v>Above 100k</v>
      </c>
      <c r="I26" s="28">
        <v>43325</v>
      </c>
      <c r="J26">
        <v>0.9</v>
      </c>
      <c r="K26" t="str">
        <v>Permanent</v>
      </c>
      <c r="L26" t="str">
        <v>Chennai, India</v>
      </c>
      <c r="M26">
        <v>5.86027397260274</v>
      </c>
      <c r="N26" t="str">
        <v>Part time</v>
      </c>
    </row>
    <row r="27" spans="2:14" x14ac:dyDescent="0.3">
      <c r="B27" t="str">
        <v>SQ03491</v>
      </c>
      <c r="C27" t="str">
        <v>Freda</v>
      </c>
      <c r="D27" t="str">
        <v>Legan</v>
      </c>
      <c r="E27" t="str">
        <v>Female</v>
      </c>
      <c r="F27" t="str">
        <v>Sales</v>
      </c>
      <c r="G27">
        <v>102129.37</v>
      </c>
      <c r="H27" t="str">
        <v>Above 100k</v>
      </c>
      <c r="I27" s="28">
        <v>44396</v>
      </c>
      <c r="J27">
        <v>1</v>
      </c>
      <c r="K27" t="str">
        <v>Permanent</v>
      </c>
      <c r="L27" t="str">
        <v>Columbus, USA</v>
      </c>
      <c r="M27">
        <v>2.9260273972602739</v>
      </c>
      <c r="N27" t="str">
        <v>Full time</v>
      </c>
    </row>
    <row r="28" spans="2:14" x14ac:dyDescent="0.3">
      <c r="B28" t="str">
        <v>SQ03733</v>
      </c>
      <c r="C28" t="str">
        <v>Revkah</v>
      </c>
      <c r="D28" t="str">
        <v>Antonacci</v>
      </c>
      <c r="E28" t="str">
        <v>Male</v>
      </c>
      <c r="F28" t="str">
        <v>Engineering</v>
      </c>
      <c r="G28">
        <v>109143.17</v>
      </c>
      <c r="H28" t="str">
        <v>Above 100k</v>
      </c>
      <c r="I28" s="28">
        <v>43945</v>
      </c>
      <c r="J28">
        <v>1</v>
      </c>
      <c r="K28" t="str">
        <v>Permanent</v>
      </c>
      <c r="L28" t="str">
        <v>Wellington, New Zealand</v>
      </c>
      <c r="M28">
        <v>4.161643835616438</v>
      </c>
      <c r="N28" t="str">
        <v>Full time</v>
      </c>
    </row>
    <row r="29" spans="2:14" x14ac:dyDescent="0.3">
      <c r="B29" t="str">
        <v>SQ04603</v>
      </c>
      <c r="C29" t="str">
        <v>Natalee</v>
      </c>
      <c r="D29" t="str">
        <v>Craiker</v>
      </c>
      <c r="E29" t="str">
        <v>Male</v>
      </c>
      <c r="F29" t="str">
        <v>Product Management</v>
      </c>
      <c r="G29">
        <v>111229.47</v>
      </c>
      <c r="H29" t="str">
        <v>Above 100k</v>
      </c>
      <c r="I29" s="28">
        <v>43402</v>
      </c>
      <c r="J29">
        <v>1</v>
      </c>
      <c r="K29" t="str">
        <v>Permanent</v>
      </c>
      <c r="L29" t="str">
        <v>Remote</v>
      </c>
      <c r="M29">
        <v>5.6493150684931503</v>
      </c>
      <c r="N29" t="str">
        <v>Full time</v>
      </c>
    </row>
    <row r="30" spans="2:14" x14ac:dyDescent="0.3">
      <c r="B30" t="str">
        <v>SQ04612</v>
      </c>
      <c r="C30" t="str">
        <v>Mick</v>
      </c>
      <c r="D30" t="str">
        <v>Spraberry</v>
      </c>
      <c r="E30" t="str">
        <v>Female</v>
      </c>
      <c r="F30" t="str">
        <v>Services</v>
      </c>
      <c r="G30">
        <v>120000</v>
      </c>
      <c r="H30" t="str">
        <v>Above 100k</v>
      </c>
      <c r="I30" s="28">
        <v>43902</v>
      </c>
      <c r="J30">
        <v>0.9</v>
      </c>
      <c r="K30" t="str">
        <v>Permanent</v>
      </c>
      <c r="L30" t="str">
        <v>Remote</v>
      </c>
      <c r="M30">
        <v>4.279452054794521</v>
      </c>
      <c r="N30" t="str">
        <v>Part time</v>
      </c>
    </row>
    <row r="31" spans="2:14" x14ac:dyDescent="0.3">
      <c r="B31" t="str">
        <v>SQ04665</v>
      </c>
      <c r="C31" t="str">
        <v>Collin</v>
      </c>
      <c r="D31" t="str">
        <v>Jagson</v>
      </c>
      <c r="E31" t="str">
        <v>Male</v>
      </c>
      <c r="F31" t="str">
        <v>Services</v>
      </c>
      <c r="G31">
        <v>100424.23</v>
      </c>
      <c r="H31" t="str">
        <v>Above 100k</v>
      </c>
      <c r="I31" s="28">
        <v>43801</v>
      </c>
      <c r="J31">
        <v>1</v>
      </c>
      <c r="K31" t="str">
        <v>Permanent</v>
      </c>
      <c r="L31" t="str">
        <v>Auckland, New Zealand</v>
      </c>
      <c r="M31">
        <v>4.5561643835616437</v>
      </c>
      <c r="N31" t="str">
        <v>Full time</v>
      </c>
    </row>
    <row r="32" spans="2:14" x14ac:dyDescent="0.3">
      <c r="B32" t="str">
        <v>TN00579</v>
      </c>
      <c r="C32" t="str">
        <v>Rafaelita</v>
      </c>
      <c r="D32" t="str">
        <v>Blaksland</v>
      </c>
      <c r="E32" t="str">
        <v>Female</v>
      </c>
      <c r="F32" t="str">
        <v>Services</v>
      </c>
      <c r="G32">
        <v>109163.39</v>
      </c>
      <c r="H32" t="str">
        <v>Above 100k</v>
      </c>
      <c r="I32" s="28">
        <v>44019</v>
      </c>
      <c r="J32">
        <v>0.8</v>
      </c>
      <c r="K32" t="str">
        <v>Permanent</v>
      </c>
      <c r="L32" t="str">
        <v>Seattle, USA</v>
      </c>
      <c r="M32">
        <v>3.9589041095890409</v>
      </c>
      <c r="N32" t="str">
        <v>Part time</v>
      </c>
    </row>
    <row r="33" spans="2:14" x14ac:dyDescent="0.3">
      <c r="B33" t="str">
        <v>TN01281</v>
      </c>
      <c r="C33" t="str">
        <v>Cletus</v>
      </c>
      <c r="D33" t="str">
        <v>McGarahan</v>
      </c>
      <c r="E33" t="str">
        <v>Female</v>
      </c>
      <c r="F33" t="str">
        <v>Engineering</v>
      </c>
      <c r="G33">
        <v>114425.19</v>
      </c>
      <c r="H33" t="str">
        <v>Above 100k</v>
      </c>
      <c r="I33" s="28">
        <v>43857</v>
      </c>
      <c r="J33">
        <v>1</v>
      </c>
      <c r="K33" t="str">
        <v>Permanent</v>
      </c>
      <c r="L33" t="str">
        <v>Wellington, New Zealand</v>
      </c>
      <c r="M33">
        <v>4.4027397260273968</v>
      </c>
      <c r="N33" t="str">
        <v>Full time</v>
      </c>
    </row>
    <row r="34" spans="2:14" x14ac:dyDescent="0.3">
      <c r="B34" t="str">
        <v>TN04058</v>
      </c>
      <c r="C34" t="str">
        <v>Subbarao</v>
      </c>
      <c r="D34" t="str">
        <v>Malladi</v>
      </c>
      <c r="E34" t="str">
        <v>Male</v>
      </c>
      <c r="F34" t="str">
        <v>Product Management</v>
      </c>
      <c r="G34">
        <v>106775.14</v>
      </c>
      <c r="H34" t="str">
        <v>Above 100k</v>
      </c>
      <c r="I34" s="28">
        <v>43563</v>
      </c>
      <c r="J34">
        <v>1</v>
      </c>
      <c r="K34" t="str">
        <v>Fixed Term</v>
      </c>
      <c r="L34" t="str">
        <v>Hyderabad, India</v>
      </c>
      <c r="M34">
        <v>5.2082191780821914</v>
      </c>
      <c r="N34" t="str">
        <v>Full time</v>
      </c>
    </row>
    <row r="35" spans="2:14" x14ac:dyDescent="0.3">
      <c r="B35" t="str">
        <v>TN04058</v>
      </c>
      <c r="C35" t="str">
        <v>Vasu</v>
      </c>
      <c r="D35" t="str">
        <v>Nandin</v>
      </c>
      <c r="E35" t="str">
        <v>Male</v>
      </c>
      <c r="F35" t="str">
        <v>Product Management</v>
      </c>
      <c r="G35">
        <v>106775.14</v>
      </c>
      <c r="H35" t="str">
        <v>Above 100k</v>
      </c>
      <c r="I35" s="28">
        <v>43563</v>
      </c>
      <c r="J35">
        <v>1</v>
      </c>
      <c r="K35" t="str">
        <v>Fixed Term</v>
      </c>
      <c r="L35" t="str">
        <v>Hyderabad, India</v>
      </c>
      <c r="M35">
        <v>5.2082191780821914</v>
      </c>
      <c r="N35" t="str">
        <v>Full time</v>
      </c>
    </row>
    <row r="36" spans="2:14" x14ac:dyDescent="0.3">
      <c r="B36" t="str">
        <v>TN04246</v>
      </c>
      <c r="C36" t="str">
        <v>Shaylyn</v>
      </c>
      <c r="D36" t="str">
        <v>Ransbury</v>
      </c>
      <c r="E36" t="str">
        <v>Female</v>
      </c>
      <c r="F36" t="str">
        <v>Support</v>
      </c>
      <c r="G36">
        <v>100371.31</v>
      </c>
      <c r="H36" t="str">
        <v>Above 100k</v>
      </c>
      <c r="I36" s="28">
        <v>44067</v>
      </c>
      <c r="J36">
        <v>0.8</v>
      </c>
      <c r="K36" t="str">
        <v>Fixed Term</v>
      </c>
      <c r="L36" t="str">
        <v>Auckland, New Zealand</v>
      </c>
      <c r="M36">
        <v>3.8273972602739725</v>
      </c>
      <c r="N36" t="str">
        <v>Part time</v>
      </c>
    </row>
    <row r="37" spans="2:14" x14ac:dyDescent="0.3">
      <c r="B37" t="str">
        <v>TN04740</v>
      </c>
      <c r="C37" t="str">
        <v>Tristam</v>
      </c>
      <c r="D37" t="str">
        <v>Cuming</v>
      </c>
      <c r="E37" t="str">
        <v>Female</v>
      </c>
      <c r="F37" t="str">
        <v>Support</v>
      </c>
      <c r="G37">
        <v>104038.9</v>
      </c>
      <c r="H37" t="str">
        <v>Above 100k</v>
      </c>
      <c r="I37" s="28">
        <v>43815</v>
      </c>
      <c r="J37">
        <v>1</v>
      </c>
      <c r="K37" t="str">
        <v>Fixed Term</v>
      </c>
      <c r="L37" t="str">
        <v>Remote</v>
      </c>
      <c r="M37">
        <v>4.5178082191780824</v>
      </c>
      <c r="N37" t="str">
        <v>Full time</v>
      </c>
    </row>
    <row r="38" spans="2:14" x14ac:dyDescent="0.3">
      <c r="B38" t="str">
        <v>VT01684</v>
      </c>
      <c r="C38" t="str">
        <v>Audry</v>
      </c>
      <c r="D38" t="str">
        <v>Yu</v>
      </c>
      <c r="E38" t="str">
        <v>Female</v>
      </c>
      <c r="F38" t="str">
        <v>Training</v>
      </c>
      <c r="G38">
        <v>101187.36</v>
      </c>
      <c r="H38" t="str">
        <v>Above 100k</v>
      </c>
      <c r="I38" s="28">
        <v>43258</v>
      </c>
      <c r="J38">
        <v>1</v>
      </c>
      <c r="K38" t="str">
        <v>Fixed Term</v>
      </c>
      <c r="L38" t="str">
        <v>Columbus, USA</v>
      </c>
      <c r="M38">
        <v>6.043835616438356</v>
      </c>
      <c r="N38" t="str">
        <v>Full time</v>
      </c>
    </row>
    <row r="39" spans="2:14" x14ac:dyDescent="0.3">
      <c r="B39" t="str">
        <v>VT01762</v>
      </c>
      <c r="C39" t="str">
        <v>Geena</v>
      </c>
      <c r="D39" t="str">
        <v>Raghavanpillai</v>
      </c>
      <c r="E39" t="str">
        <v>Male</v>
      </c>
      <c r="F39" t="str">
        <v>Accounting</v>
      </c>
      <c r="G39">
        <v>102515.81</v>
      </c>
      <c r="H39" t="str">
        <v>Above 100k</v>
      </c>
      <c r="I39" s="28">
        <v>43902</v>
      </c>
      <c r="J39">
        <v>1</v>
      </c>
      <c r="K39" t="str">
        <v>Fixed Term</v>
      </c>
      <c r="L39" t="str">
        <v>Chennai, India</v>
      </c>
      <c r="M39">
        <v>4.279452054794521</v>
      </c>
      <c r="N39" t="str">
        <v>Full time</v>
      </c>
    </row>
    <row r="40" spans="2:14" x14ac:dyDescent="0.3">
      <c r="B40" t="str">
        <v>VT01893</v>
      </c>
      <c r="C40" t="str">
        <v>Lindy</v>
      </c>
      <c r="D40" t="str">
        <v>Guillet</v>
      </c>
      <c r="E40" t="str">
        <v>Male</v>
      </c>
      <c r="F40" t="str">
        <v>Training</v>
      </c>
      <c r="G40">
        <v>112778.28</v>
      </c>
      <c r="H40" t="str">
        <v>Above 100k</v>
      </c>
      <c r="I40" s="28">
        <v>43250</v>
      </c>
      <c r="J40">
        <v>1</v>
      </c>
      <c r="K40" t="str">
        <v>Fixed Term</v>
      </c>
      <c r="L40" t="str">
        <v>Remote</v>
      </c>
      <c r="M40">
        <v>6.065753424657534</v>
      </c>
      <c r="N40" t="str">
        <v>Full time</v>
      </c>
    </row>
    <row r="41" spans="2:14" x14ac:dyDescent="0.3">
      <c r="B41" t="str">
        <v>VT01893</v>
      </c>
      <c r="C41" t="str">
        <v>Lindy</v>
      </c>
      <c r="D41" t="str">
        <v>Guillet</v>
      </c>
      <c r="E41" t="str">
        <v>Male</v>
      </c>
      <c r="F41" t="str">
        <v>Training</v>
      </c>
      <c r="G41">
        <v>112778.28</v>
      </c>
      <c r="H41" t="str">
        <v>Above 100k</v>
      </c>
      <c r="I41" s="28">
        <v>43250</v>
      </c>
      <c r="J41">
        <v>1</v>
      </c>
      <c r="K41" t="str">
        <v>Fixed Term</v>
      </c>
      <c r="L41" t="str">
        <v>Remote</v>
      </c>
      <c r="M41">
        <v>6.065753424657534</v>
      </c>
      <c r="N41" t="str">
        <v>Full time</v>
      </c>
    </row>
    <row r="42" spans="2:14" x14ac:dyDescent="0.3">
      <c r="B42" t="str">
        <v>VT02491</v>
      </c>
      <c r="C42" t="str">
        <v>Alexis</v>
      </c>
      <c r="D42" t="str">
        <v>Gotfrey</v>
      </c>
      <c r="E42" t="str">
        <v>Male</v>
      </c>
      <c r="F42" t="str">
        <v>Engineering</v>
      </c>
      <c r="G42">
        <v>114465.93</v>
      </c>
      <c r="H42" t="str">
        <v>Above 100k</v>
      </c>
      <c r="I42" s="28">
        <v>43291</v>
      </c>
      <c r="J42">
        <v>1</v>
      </c>
      <c r="K42" t="str">
        <v>Temporary</v>
      </c>
      <c r="L42" t="str">
        <v>Wellington, New Zealand</v>
      </c>
      <c r="M42">
        <v>5.9534246575342467</v>
      </c>
      <c r="N42" t="str">
        <v>Full time</v>
      </c>
    </row>
    <row r="43" spans="2:14" x14ac:dyDescent="0.3">
      <c r="B43" t="str">
        <v>VT02801</v>
      </c>
      <c r="C43" t="str">
        <v>Shellysheldon</v>
      </c>
      <c r="D43" t="str">
        <v>Mahady</v>
      </c>
      <c r="E43" t="str">
        <v>Male</v>
      </c>
      <c r="F43" t="str">
        <v>Training</v>
      </c>
      <c r="G43">
        <v>114691.03</v>
      </c>
      <c r="H43" t="str">
        <v>Above 100k</v>
      </c>
      <c r="I43" s="28">
        <v>44039</v>
      </c>
      <c r="J43">
        <v>1</v>
      </c>
      <c r="K43" t="str">
        <v>Temporary</v>
      </c>
      <c r="L43" t="str">
        <v>Wellington, New Zealand</v>
      </c>
      <c r="M43">
        <v>3.904109589041096</v>
      </c>
      <c r="N43" t="str">
        <v>Full time</v>
      </c>
    </row>
    <row r="44" spans="2:14" x14ac:dyDescent="0.3">
      <c r="B44" t="str">
        <v>VT03421</v>
      </c>
      <c r="C44" t="str">
        <v>Alic</v>
      </c>
      <c r="D44" t="str">
        <v>Bagg</v>
      </c>
      <c r="E44" t="str">
        <v>Male</v>
      </c>
      <c r="F44" t="str">
        <v>Legal</v>
      </c>
      <c r="G44">
        <v>113747.56</v>
      </c>
      <c r="H44" t="str">
        <v>Above 100k</v>
      </c>
      <c r="I44" s="28">
        <v>44270</v>
      </c>
      <c r="J44">
        <v>0.7</v>
      </c>
      <c r="K44" t="str">
        <v>Temporary</v>
      </c>
      <c r="L44" t="str">
        <v>Columbus, USA</v>
      </c>
      <c r="M44">
        <v>3.2712328767123289</v>
      </c>
      <c r="N44" t="str">
        <v>Part time</v>
      </c>
    </row>
    <row r="45" spans="2:14" x14ac:dyDescent="0.3">
      <c r="B45" t="str">
        <v>VT03421</v>
      </c>
      <c r="C45" t="str">
        <v>Alic</v>
      </c>
      <c r="D45" t="str">
        <v>Bagg</v>
      </c>
      <c r="E45" t="str">
        <v>Male</v>
      </c>
      <c r="F45" t="str">
        <v>Legal</v>
      </c>
      <c r="G45">
        <v>113747.56</v>
      </c>
      <c r="H45" t="str">
        <v>Above 100k</v>
      </c>
      <c r="I45" s="28">
        <v>44270</v>
      </c>
      <c r="J45">
        <v>0.7</v>
      </c>
      <c r="K45" t="str">
        <v>Temporary</v>
      </c>
      <c r="L45" t="str">
        <v>Columbus, USA</v>
      </c>
      <c r="M45">
        <v>3.2712328767123289</v>
      </c>
      <c r="N45" t="str">
        <v>Part time</v>
      </c>
    </row>
    <row r="46" spans="2:14" x14ac:dyDescent="0.3">
      <c r="B46" t="str">
        <v>VT04028</v>
      </c>
      <c r="C46" t="str">
        <v>Michale</v>
      </c>
      <c r="D46" t="str">
        <v>Rolf</v>
      </c>
      <c r="E46" t="str">
        <v>Male</v>
      </c>
      <c r="F46" t="str">
        <v>Services</v>
      </c>
      <c r="G46">
        <v>111815.49</v>
      </c>
      <c r="H46" t="str">
        <v>Above 100k</v>
      </c>
      <c r="I46" s="28">
        <v>43895</v>
      </c>
      <c r="J46">
        <v>0.7</v>
      </c>
      <c r="K46" t="str">
        <v>Temporary</v>
      </c>
      <c r="L46" t="str">
        <v>Remote</v>
      </c>
      <c r="M46">
        <v>4.2986301369863016</v>
      </c>
      <c r="N46" t="str">
        <v>Part time</v>
      </c>
    </row>
    <row r="47" spans="2:14" x14ac:dyDescent="0.3">
      <c r="B47" t="str">
        <v>VT04028</v>
      </c>
      <c r="C47" t="str">
        <v>Michale</v>
      </c>
      <c r="D47" t="str">
        <v>Rolf</v>
      </c>
      <c r="E47" t="str">
        <v>Male</v>
      </c>
      <c r="F47" t="str">
        <v>Services</v>
      </c>
      <c r="G47">
        <v>111815.49</v>
      </c>
      <c r="H47" t="str">
        <v>Above 100k</v>
      </c>
      <c r="I47" s="28">
        <v>43895</v>
      </c>
      <c r="J47">
        <v>0.7</v>
      </c>
      <c r="K47" t="str">
        <v>Temporary</v>
      </c>
      <c r="L47" t="str">
        <v>Remote</v>
      </c>
      <c r="M47">
        <v>4.2986301369863016</v>
      </c>
      <c r="N47" t="str">
        <v>Part time</v>
      </c>
    </row>
    <row r="48" spans="2:14" x14ac:dyDescent="0.3">
      <c r="B48" t="str">
        <v>VT04093</v>
      </c>
      <c r="C48" t="str">
        <v>Prasanna</v>
      </c>
      <c r="D48" t="str">
        <v>Lakshmi</v>
      </c>
      <c r="E48" t="str">
        <v>Female</v>
      </c>
      <c r="F48" t="str">
        <v>Training</v>
      </c>
      <c r="G48">
        <v>116767.63</v>
      </c>
      <c r="H48" t="str">
        <v>Above 100k</v>
      </c>
      <c r="I48" s="28">
        <v>43949</v>
      </c>
      <c r="J48">
        <v>0.4</v>
      </c>
      <c r="K48" t="str">
        <v>Temporary</v>
      </c>
      <c r="L48" t="str">
        <v>Chennai, India</v>
      </c>
      <c r="M48">
        <v>4.1506849315068495</v>
      </c>
      <c r="N48" t="str">
        <v>Part time</v>
      </c>
    </row>
    <row r="49" spans="2:23" x14ac:dyDescent="0.3">
      <c r="B49" t="str">
        <v>VT04093</v>
      </c>
      <c r="C49" t="str">
        <v>Baruna</v>
      </c>
      <c r="D49" t="str">
        <v>Ogale</v>
      </c>
      <c r="E49" t="str">
        <v>Female</v>
      </c>
      <c r="F49" t="str">
        <v>Training</v>
      </c>
      <c r="G49">
        <v>116767.63</v>
      </c>
      <c r="H49" t="str">
        <v>Above 100k</v>
      </c>
      <c r="I49" s="28">
        <v>43949</v>
      </c>
      <c r="J49">
        <v>0.4</v>
      </c>
      <c r="K49" t="str">
        <v>Temporary</v>
      </c>
      <c r="L49" t="str">
        <v>Chennai, India</v>
      </c>
      <c r="M49">
        <v>4.1506849315068495</v>
      </c>
      <c r="N49" t="str">
        <v>Part time</v>
      </c>
    </row>
    <row r="50" spans="2:23" x14ac:dyDescent="0.3">
      <c r="B50" t="str">
        <v>VT04350</v>
      </c>
      <c r="C50" t="str">
        <v>Kulbhushan</v>
      </c>
      <c r="D50" t="str">
        <v>Moorthy</v>
      </c>
      <c r="E50" t="str">
        <v>Male</v>
      </c>
      <c r="F50" t="str">
        <v>Business Development</v>
      </c>
      <c r="G50">
        <v>106400.02</v>
      </c>
      <c r="H50" t="str">
        <v>Above 100k</v>
      </c>
      <c r="I50" s="28">
        <v>44021</v>
      </c>
      <c r="J50">
        <v>1</v>
      </c>
      <c r="K50" t="str">
        <v>Temporary</v>
      </c>
      <c r="L50" t="str">
        <v>Chennai, India</v>
      </c>
      <c r="M50">
        <v>3.9534246575342467</v>
      </c>
      <c r="N50" t="str">
        <v>Full time</v>
      </c>
    </row>
    <row r="51" spans="2:23" x14ac:dyDescent="0.3">
      <c r="B51" t="str">
        <v>VT04350</v>
      </c>
      <c r="C51" t="str">
        <v>Lalit</v>
      </c>
      <c r="D51" t="str">
        <v>Kothari</v>
      </c>
      <c r="E51" t="str">
        <v>Male</v>
      </c>
      <c r="F51" t="str">
        <v>Business Development</v>
      </c>
      <c r="G51">
        <v>106400.02</v>
      </c>
      <c r="H51" t="str">
        <v>Above 100k</v>
      </c>
      <c r="I51" s="28">
        <v>44021</v>
      </c>
      <c r="J51">
        <v>1</v>
      </c>
      <c r="K51" t="str">
        <v>Temporary</v>
      </c>
      <c r="L51" t="str">
        <v>Chennai, India</v>
      </c>
      <c r="M51">
        <v>3.9534246575342467</v>
      </c>
      <c r="N51" t="str">
        <v>Full time</v>
      </c>
    </row>
    <row r="52" spans="2:23" x14ac:dyDescent="0.3">
      <c r="B52" t="str">
        <v>VT04552</v>
      </c>
      <c r="C52" t="str">
        <v>Theresita</v>
      </c>
      <c r="D52" t="str">
        <v>Chasmer</v>
      </c>
      <c r="E52" t="str">
        <v>Female</v>
      </c>
      <c r="F52" t="str">
        <v>Product Management</v>
      </c>
      <c r="G52">
        <v>106665.67</v>
      </c>
      <c r="H52" t="str">
        <v>Above 100k</v>
      </c>
      <c r="I52" s="28">
        <v>43311</v>
      </c>
      <c r="J52">
        <v>1</v>
      </c>
      <c r="K52" t="str">
        <v>Temporary</v>
      </c>
      <c r="L52" t="str">
        <v>Columbus, USA</v>
      </c>
      <c r="M52">
        <v>5.8986301369863012</v>
      </c>
      <c r="N52" t="str">
        <v>Full time</v>
      </c>
    </row>
    <row r="53" spans="2:23" x14ac:dyDescent="0.3">
      <c r="B53" t="str">
        <v>VT04681</v>
      </c>
      <c r="C53" t="str">
        <v>Nickolai</v>
      </c>
      <c r="D53" t="str">
        <v>Artin</v>
      </c>
      <c r="E53" t="str">
        <v>Female</v>
      </c>
      <c r="F53" t="str">
        <v>Product Management</v>
      </c>
      <c r="G53">
        <v>110906.35</v>
      </c>
      <c r="H53" t="str">
        <v>Above 100k</v>
      </c>
      <c r="I53" s="28">
        <v>43434</v>
      </c>
      <c r="J53">
        <v>1</v>
      </c>
      <c r="K53" t="str">
        <v>Temporary</v>
      </c>
      <c r="L53" t="str">
        <v>Wellington, New Zealand</v>
      </c>
      <c r="M53">
        <v>5.5616438356164384</v>
      </c>
      <c r="N53" t="str">
        <v>Full time</v>
      </c>
    </row>
    <row r="54" spans="2:23" x14ac:dyDescent="0.3">
      <c r="I54" s="28"/>
    </row>
    <row r="55" spans="2:23" x14ac:dyDescent="0.3">
      <c r="I55" s="28"/>
    </row>
    <row r="56" spans="2:23" x14ac:dyDescent="0.3">
      <c r="I56" s="28"/>
    </row>
    <row r="57" spans="2:23" x14ac:dyDescent="0.3">
      <c r="I57" s="28"/>
    </row>
    <row r="58" spans="2:23" x14ac:dyDescent="0.3">
      <c r="I58" s="28"/>
    </row>
    <row r="59" spans="2:23" x14ac:dyDescent="0.3">
      <c r="I59" s="28"/>
      <c r="Q59" s="25" t="s">
        <v>800</v>
      </c>
    </row>
    <row r="60" spans="2:23" x14ac:dyDescent="0.3">
      <c r="I60" s="1">
        <v>3</v>
      </c>
      <c r="Q60" s="25" t="s">
        <v>802</v>
      </c>
      <c r="U60" s="30">
        <v>108000</v>
      </c>
      <c r="W60" s="28">
        <v>43830</v>
      </c>
    </row>
    <row r="61" spans="2:23" x14ac:dyDescent="0.3">
      <c r="B61" s="25" t="s">
        <v>765</v>
      </c>
      <c r="F61" s="30">
        <v>108000</v>
      </c>
      <c r="I61" s="25" t="s">
        <v>767</v>
      </c>
      <c r="Q61" t="s">
        <v>801</v>
      </c>
    </row>
    <row r="62" spans="2:23" x14ac:dyDescent="0.3">
      <c r="B62" t="s">
        <v>766</v>
      </c>
      <c r="I62" t="s">
        <v>768</v>
      </c>
    </row>
    <row r="63" spans="2:23" x14ac:dyDescent="0.3">
      <c r="Q63" s="29" t="str" cm="1">
        <f t="array" ref="Q63:U63">_xlfn.CHOOSECOLS(staff[#Headers], 1,2,3,5,6)</f>
        <v>Emp ID</v>
      </c>
      <c r="R63" s="29" t="str">
        <v>First Name</v>
      </c>
      <c r="S63" s="29" t="str">
        <v>Last Name</v>
      </c>
      <c r="T63" s="29" t="str">
        <v>Department</v>
      </c>
      <c r="U63" s="29" t="str">
        <v>Salary</v>
      </c>
    </row>
    <row r="64" spans="2:23" x14ac:dyDescent="0.3">
      <c r="B64" s="29" t="str" cm="1">
        <f t="array" ref="B64:F64">_xlfn.CHOOSECOLS(staff[#Headers], 1,2,3,5,6)</f>
        <v>Emp ID</v>
      </c>
      <c r="C64" s="29" t="str">
        <v>First Name</v>
      </c>
      <c r="D64" s="29" t="str">
        <v>Last Name</v>
      </c>
      <c r="E64" s="29" t="str">
        <v>Department</v>
      </c>
      <c r="F64" s="29" t="str">
        <v>Salary</v>
      </c>
      <c r="Q64" t="str" cm="1">
        <f t="array" ref="Q64:V82">_xlfn.CHOOSECOLS(_xlfn._xlws.FILTER(staff[], (staff[Salary]&gt;U60)*(staff[Start Date]&gt;W60)),1,2,3,5,6,8)</f>
        <v>PR00746</v>
      </c>
      <c r="R64" t="str">
        <v>Hogan</v>
      </c>
      <c r="S64" t="str">
        <v>Iles</v>
      </c>
      <c r="T64" t="str">
        <v>Accounting</v>
      </c>
      <c r="U64">
        <v>114177.23</v>
      </c>
      <c r="V64" s="28">
        <v>43908</v>
      </c>
    </row>
    <row r="65" spans="2:22" x14ac:dyDescent="0.3">
      <c r="B65" t="str" cm="1">
        <f t="array" ref="B65:F92">_xlfn.CHOOSECOLS(_xlfn._xlws.FILTER(staff[], staff[Salary]&gt;F61),1,2,3,5,6)</f>
        <v>PR00147</v>
      </c>
      <c r="C65" t="str">
        <v>Minerva</v>
      </c>
      <c r="D65" t="str">
        <v>Ricardot</v>
      </c>
      <c r="E65" t="str">
        <v>Engineering</v>
      </c>
      <c r="F65">
        <v>120000</v>
      </c>
      <c r="I65" t="str" cm="1">
        <f t="array" ref="I65:N74">_xlfn._xlws.FILTER(staff[[Emp ID]:[Salary]], (staff[Salary]&gt;F61)*(staff[Gender]="Female"))</f>
        <v>PR00746</v>
      </c>
      <c r="J65" t="str">
        <v>Hogan</v>
      </c>
      <c r="K65" t="str">
        <v>Iles</v>
      </c>
      <c r="L65" t="str">
        <v>Female</v>
      </c>
      <c r="M65" t="str">
        <v>Accounting</v>
      </c>
      <c r="N65">
        <v>114177.23</v>
      </c>
      <c r="Q65" t="str">
        <v>PR02010</v>
      </c>
      <c r="R65" t="str">
        <v>Prerana</v>
      </c>
      <c r="S65" t="str">
        <v>Nishita</v>
      </c>
      <c r="T65" t="str">
        <v>Product Management</v>
      </c>
      <c r="U65">
        <v>115191.38</v>
      </c>
      <c r="V65" s="28">
        <v>44004</v>
      </c>
    </row>
    <row r="66" spans="2:22" x14ac:dyDescent="0.3">
      <c r="B66" t="str">
        <v>PR00746</v>
      </c>
      <c r="C66" t="str">
        <v>Hogan</v>
      </c>
      <c r="D66" t="str">
        <v>Iles</v>
      </c>
      <c r="E66" t="str">
        <v>Accounting</v>
      </c>
      <c r="F66">
        <v>114177.23</v>
      </c>
      <c r="I66" t="str">
        <v>SQ00498</v>
      </c>
      <c r="J66" t="str">
        <v>Amery</v>
      </c>
      <c r="K66" t="str">
        <v>Ofer</v>
      </c>
      <c r="L66" t="str">
        <v>Female</v>
      </c>
      <c r="M66" t="str">
        <v>Legal</v>
      </c>
      <c r="N66">
        <v>111049.84</v>
      </c>
      <c r="Q66" t="str">
        <v>PR03886</v>
      </c>
      <c r="R66" t="str">
        <v>Edd</v>
      </c>
      <c r="S66" t="str">
        <v>MacKnockiter</v>
      </c>
      <c r="T66" t="str">
        <v>Accounting</v>
      </c>
      <c r="U66">
        <v>119022.49</v>
      </c>
      <c r="V66" s="28">
        <v>44431</v>
      </c>
    </row>
    <row r="67" spans="2:22" x14ac:dyDescent="0.3">
      <c r="B67" t="str">
        <v>PR01159</v>
      </c>
      <c r="C67" t="str">
        <v>Mollie</v>
      </c>
      <c r="D67" t="str">
        <v>Hanway</v>
      </c>
      <c r="E67" t="str">
        <v>Engineering</v>
      </c>
      <c r="F67">
        <v>112645.99</v>
      </c>
      <c r="I67" t="str">
        <v>SQ02174</v>
      </c>
      <c r="J67" t="str">
        <v>Sidoney</v>
      </c>
      <c r="K67" t="str">
        <v>Yitzhok</v>
      </c>
      <c r="L67" t="str">
        <v>Female</v>
      </c>
      <c r="M67" t="str">
        <v>Engineering</v>
      </c>
      <c r="N67">
        <v>118442.54</v>
      </c>
      <c r="Q67" t="str">
        <v>SQ00022</v>
      </c>
      <c r="R67" t="str">
        <v>Carlin</v>
      </c>
      <c r="S67" t="str">
        <v>Demke</v>
      </c>
      <c r="T67" t="str">
        <v>Business Development</v>
      </c>
      <c r="U67">
        <v>110042.37</v>
      </c>
      <c r="V67" s="28">
        <v>43914</v>
      </c>
    </row>
    <row r="68" spans="2:22" x14ac:dyDescent="0.3">
      <c r="B68" t="str">
        <v>PR02010</v>
      </c>
      <c r="C68" t="str">
        <v>Prerana</v>
      </c>
      <c r="D68" t="str">
        <v>Nishita</v>
      </c>
      <c r="E68" t="str">
        <v>Product Management</v>
      </c>
      <c r="F68">
        <v>115191.38</v>
      </c>
      <c r="I68" t="str">
        <v>SQ02624</v>
      </c>
      <c r="J68" t="str">
        <v>Gwenneth</v>
      </c>
      <c r="K68" t="str">
        <v>Fealey</v>
      </c>
      <c r="L68" t="str">
        <v>Female</v>
      </c>
      <c r="M68" t="str">
        <v>Engineering</v>
      </c>
      <c r="N68">
        <v>114772.32</v>
      </c>
      <c r="Q68" t="str">
        <v>SQ00144</v>
      </c>
      <c r="R68" t="str">
        <v>Collen</v>
      </c>
      <c r="S68" t="str">
        <v>Dunbleton</v>
      </c>
      <c r="T68" t="str">
        <v>Engineering</v>
      </c>
      <c r="U68">
        <v>118976.16</v>
      </c>
      <c r="V68" s="28">
        <v>44120</v>
      </c>
    </row>
    <row r="69" spans="2:22" x14ac:dyDescent="0.3">
      <c r="B69" t="str">
        <v>PR03886</v>
      </c>
      <c r="C69" t="str">
        <v>Edd</v>
      </c>
      <c r="D69" t="str">
        <v>MacKnockiter</v>
      </c>
      <c r="E69" t="str">
        <v>Accounting</v>
      </c>
      <c r="F69">
        <v>119022.49</v>
      </c>
      <c r="I69" t="str">
        <v>SQ04612</v>
      </c>
      <c r="J69" t="str">
        <v>Mick</v>
      </c>
      <c r="K69" t="str">
        <v>Spraberry</v>
      </c>
      <c r="L69" t="str">
        <v>Female</v>
      </c>
      <c r="M69" t="str">
        <v>Services</v>
      </c>
      <c r="N69">
        <v>120000</v>
      </c>
      <c r="Q69" t="str">
        <v>SQ00498</v>
      </c>
      <c r="R69" t="str">
        <v>Amery</v>
      </c>
      <c r="S69" t="str">
        <v>Ofer</v>
      </c>
      <c r="T69" t="str">
        <v>Legal</v>
      </c>
      <c r="U69">
        <v>111049.84</v>
      </c>
      <c r="V69" s="28">
        <v>44393</v>
      </c>
    </row>
    <row r="70" spans="2:22" x14ac:dyDescent="0.3">
      <c r="B70" t="str">
        <v>SQ00022</v>
      </c>
      <c r="C70" t="str">
        <v>Carlin</v>
      </c>
      <c r="D70" t="str">
        <v>Demke</v>
      </c>
      <c r="E70" t="str">
        <v>Business Development</v>
      </c>
      <c r="F70">
        <v>110042.37</v>
      </c>
      <c r="I70" t="str">
        <v>TN00579</v>
      </c>
      <c r="J70" t="str">
        <v>Rafaelita</v>
      </c>
      <c r="K70" t="str">
        <v>Blaksland</v>
      </c>
      <c r="L70" t="str">
        <v>Female</v>
      </c>
      <c r="M70" t="str">
        <v>Services</v>
      </c>
      <c r="N70">
        <v>109163.39</v>
      </c>
      <c r="Q70" t="str">
        <v>SQ02174</v>
      </c>
      <c r="R70" t="str">
        <v>Sidoney</v>
      </c>
      <c r="S70" t="str">
        <v>Yitzhok</v>
      </c>
      <c r="T70" t="str">
        <v>Engineering</v>
      </c>
      <c r="U70">
        <v>118442.54</v>
      </c>
      <c r="V70" s="28">
        <v>44193</v>
      </c>
    </row>
    <row r="71" spans="2:22" x14ac:dyDescent="0.3">
      <c r="B71" t="str">
        <v>SQ00144</v>
      </c>
      <c r="C71" t="str">
        <v>Collen</v>
      </c>
      <c r="D71" t="str">
        <v>Dunbleton</v>
      </c>
      <c r="E71" t="str">
        <v>Engineering</v>
      </c>
      <c r="F71">
        <v>118976.16</v>
      </c>
      <c r="I71" t="str">
        <v>TN01281</v>
      </c>
      <c r="J71" t="str">
        <v>Cletus</v>
      </c>
      <c r="K71" t="str">
        <v>McGarahan</v>
      </c>
      <c r="L71" t="str">
        <v>Female</v>
      </c>
      <c r="M71" t="str">
        <v>Engineering</v>
      </c>
      <c r="N71">
        <v>114425.19</v>
      </c>
      <c r="Q71" t="str">
        <v>SQ02624</v>
      </c>
      <c r="R71" t="str">
        <v>Gwenneth</v>
      </c>
      <c r="S71" t="str">
        <v>Fealey</v>
      </c>
      <c r="T71" t="str">
        <v>Engineering</v>
      </c>
      <c r="U71">
        <v>114772.32</v>
      </c>
      <c r="V71" s="28">
        <v>44251</v>
      </c>
    </row>
    <row r="72" spans="2:22" x14ac:dyDescent="0.3">
      <c r="B72" t="str">
        <v>SQ00498</v>
      </c>
      <c r="C72" t="str">
        <v>Amery</v>
      </c>
      <c r="D72" t="str">
        <v>Ofer</v>
      </c>
      <c r="E72" t="str">
        <v>Legal</v>
      </c>
      <c r="F72">
        <v>111049.84</v>
      </c>
      <c r="I72" t="str">
        <v>VT04093</v>
      </c>
      <c r="J72" t="str">
        <v>Prasanna</v>
      </c>
      <c r="K72" t="str">
        <v>Lakshmi</v>
      </c>
      <c r="L72" t="str">
        <v>Female</v>
      </c>
      <c r="M72" t="str">
        <v>Training</v>
      </c>
      <c r="N72">
        <v>116767.63</v>
      </c>
      <c r="Q72" t="str">
        <v>SQ03733</v>
      </c>
      <c r="R72" t="str">
        <v>Revkah</v>
      </c>
      <c r="S72" t="str">
        <v>Antonacci</v>
      </c>
      <c r="T72" t="str">
        <v>Engineering</v>
      </c>
      <c r="U72">
        <v>109143.17</v>
      </c>
      <c r="V72" s="28">
        <v>43945</v>
      </c>
    </row>
    <row r="73" spans="2:22" x14ac:dyDescent="0.3">
      <c r="B73" t="str">
        <v>SQ01620</v>
      </c>
      <c r="C73" t="str">
        <v>Westbrook</v>
      </c>
      <c r="D73" t="str">
        <v>Brandino</v>
      </c>
      <c r="E73" t="str">
        <v>Legal</v>
      </c>
      <c r="F73">
        <v>113616.23</v>
      </c>
      <c r="I73" t="str">
        <v>VT04093</v>
      </c>
      <c r="J73" t="str">
        <v>Baruna</v>
      </c>
      <c r="K73" t="str">
        <v>Ogale</v>
      </c>
      <c r="L73" t="str">
        <v>Female</v>
      </c>
      <c r="M73" t="str">
        <v>Training</v>
      </c>
      <c r="N73">
        <v>116767.63</v>
      </c>
      <c r="Q73" t="str">
        <v>SQ04612</v>
      </c>
      <c r="R73" t="str">
        <v>Mick</v>
      </c>
      <c r="S73" t="str">
        <v>Spraberry</v>
      </c>
      <c r="T73" t="str">
        <v>Services</v>
      </c>
      <c r="U73">
        <v>120000</v>
      </c>
      <c r="V73" s="28">
        <v>43902</v>
      </c>
    </row>
    <row r="74" spans="2:22" x14ac:dyDescent="0.3">
      <c r="B74" t="str">
        <v>SQ02174</v>
      </c>
      <c r="C74" t="str">
        <v>Sidoney</v>
      </c>
      <c r="D74" t="str">
        <v>Yitzhok</v>
      </c>
      <c r="E74" t="str">
        <v>Engineering</v>
      </c>
      <c r="F74">
        <v>118442.54</v>
      </c>
      <c r="I74" t="str">
        <v>VT04681</v>
      </c>
      <c r="J74" t="str">
        <v>Nickolai</v>
      </c>
      <c r="K74" t="str">
        <v>Artin</v>
      </c>
      <c r="L74" t="str">
        <v>Female</v>
      </c>
      <c r="M74" t="str">
        <v>Product Management</v>
      </c>
      <c r="N74">
        <v>110906.35</v>
      </c>
      <c r="Q74" t="str">
        <v>TN00579</v>
      </c>
      <c r="R74" t="str">
        <v>Rafaelita</v>
      </c>
      <c r="S74" t="str">
        <v>Blaksland</v>
      </c>
      <c r="T74" t="str">
        <v>Services</v>
      </c>
      <c r="U74">
        <v>109163.39</v>
      </c>
      <c r="V74" s="28">
        <v>44019</v>
      </c>
    </row>
    <row r="75" spans="2:22" x14ac:dyDescent="0.3">
      <c r="B75" t="str">
        <v>SQ02624</v>
      </c>
      <c r="C75" t="str">
        <v>Gwenneth</v>
      </c>
      <c r="D75" t="str">
        <v>Fealey</v>
      </c>
      <c r="E75" t="str">
        <v>Engineering</v>
      </c>
      <c r="F75">
        <v>114772.32</v>
      </c>
      <c r="Q75" t="str">
        <v>TN01281</v>
      </c>
      <c r="R75" t="str">
        <v>Cletus</v>
      </c>
      <c r="S75" t="str">
        <v>McGarahan</v>
      </c>
      <c r="T75" t="str">
        <v>Engineering</v>
      </c>
      <c r="U75">
        <v>114425.19</v>
      </c>
      <c r="V75" s="28">
        <v>43857</v>
      </c>
    </row>
    <row r="76" spans="2:22" x14ac:dyDescent="0.3">
      <c r="B76" t="str">
        <v>SQ03116</v>
      </c>
      <c r="C76" t="str">
        <v>Syd</v>
      </c>
      <c r="D76" t="str">
        <v>Fearn</v>
      </c>
      <c r="E76" t="str">
        <v>Engineering</v>
      </c>
      <c r="F76">
        <v>108872.77</v>
      </c>
      <c r="Q76" t="str">
        <v>VT02801</v>
      </c>
      <c r="R76" t="str">
        <v>Shellysheldon</v>
      </c>
      <c r="S76" t="str">
        <v>Mahady</v>
      </c>
      <c r="T76" t="str">
        <v>Training</v>
      </c>
      <c r="U76">
        <v>114691.03</v>
      </c>
      <c r="V76" s="28">
        <v>44039</v>
      </c>
    </row>
    <row r="77" spans="2:22" x14ac:dyDescent="0.3">
      <c r="B77" t="str">
        <v>SQ03733</v>
      </c>
      <c r="C77" t="str">
        <v>Revkah</v>
      </c>
      <c r="D77" t="str">
        <v>Antonacci</v>
      </c>
      <c r="E77" t="str">
        <v>Engineering</v>
      </c>
      <c r="F77">
        <v>109143.17</v>
      </c>
      <c r="Q77" t="str">
        <v>VT03421</v>
      </c>
      <c r="R77" t="str">
        <v>Alic</v>
      </c>
      <c r="S77" t="str">
        <v>Bagg</v>
      </c>
      <c r="T77" t="str">
        <v>Legal</v>
      </c>
      <c r="U77">
        <v>113747.56</v>
      </c>
      <c r="V77" s="28">
        <v>44270</v>
      </c>
    </row>
    <row r="78" spans="2:22" x14ac:dyDescent="0.3">
      <c r="B78" t="str">
        <v>SQ04603</v>
      </c>
      <c r="C78" t="str">
        <v>Natalee</v>
      </c>
      <c r="D78" t="str">
        <v>Craiker</v>
      </c>
      <c r="E78" t="str">
        <v>Product Management</v>
      </c>
      <c r="F78">
        <v>111229.47</v>
      </c>
      <c r="Q78" t="str">
        <v>VT03421</v>
      </c>
      <c r="R78" t="str">
        <v>Alic</v>
      </c>
      <c r="S78" t="str">
        <v>Bagg</v>
      </c>
      <c r="T78" t="str">
        <v>Legal</v>
      </c>
      <c r="U78">
        <v>113747.56</v>
      </c>
      <c r="V78" s="28">
        <v>44270</v>
      </c>
    </row>
    <row r="79" spans="2:22" x14ac:dyDescent="0.3">
      <c r="B79" t="str">
        <v>SQ04612</v>
      </c>
      <c r="C79" t="str">
        <v>Mick</v>
      </c>
      <c r="D79" t="str">
        <v>Spraberry</v>
      </c>
      <c r="E79" t="str">
        <v>Services</v>
      </c>
      <c r="F79">
        <v>120000</v>
      </c>
      <c r="Q79" t="str">
        <v>VT04028</v>
      </c>
      <c r="R79" t="str">
        <v>Michale</v>
      </c>
      <c r="S79" t="str">
        <v>Rolf</v>
      </c>
      <c r="T79" t="str">
        <v>Services</v>
      </c>
      <c r="U79">
        <v>111815.49</v>
      </c>
      <c r="V79" s="28">
        <v>43895</v>
      </c>
    </row>
    <row r="80" spans="2:22" x14ac:dyDescent="0.3">
      <c r="B80" t="str">
        <v>TN00579</v>
      </c>
      <c r="C80" t="str">
        <v>Rafaelita</v>
      </c>
      <c r="D80" t="str">
        <v>Blaksland</v>
      </c>
      <c r="E80" t="str">
        <v>Services</v>
      </c>
      <c r="F80">
        <v>109163.39</v>
      </c>
      <c r="Q80" t="str">
        <v>VT04028</v>
      </c>
      <c r="R80" t="str">
        <v>Michale</v>
      </c>
      <c r="S80" t="str">
        <v>Rolf</v>
      </c>
      <c r="T80" t="str">
        <v>Services</v>
      </c>
      <c r="U80">
        <v>111815.49</v>
      </c>
      <c r="V80" s="28">
        <v>43895</v>
      </c>
    </row>
    <row r="81" spans="2:22" x14ac:dyDescent="0.3">
      <c r="B81" t="str">
        <v>TN01281</v>
      </c>
      <c r="C81" t="str">
        <v>Cletus</v>
      </c>
      <c r="D81" t="str">
        <v>McGarahan</v>
      </c>
      <c r="E81" t="str">
        <v>Engineering</v>
      </c>
      <c r="F81">
        <v>114425.19</v>
      </c>
      <c r="Q81" t="str">
        <v>VT04093</v>
      </c>
      <c r="R81" t="str">
        <v>Prasanna</v>
      </c>
      <c r="S81" t="str">
        <v>Lakshmi</v>
      </c>
      <c r="T81" t="str">
        <v>Training</v>
      </c>
      <c r="U81">
        <v>116767.63</v>
      </c>
      <c r="V81" s="28">
        <v>43949</v>
      </c>
    </row>
    <row r="82" spans="2:22" x14ac:dyDescent="0.3">
      <c r="B82" t="str">
        <v>VT01893</v>
      </c>
      <c r="C82" t="str">
        <v>Lindy</v>
      </c>
      <c r="D82" t="str">
        <v>Guillet</v>
      </c>
      <c r="E82" t="str">
        <v>Training</v>
      </c>
      <c r="F82">
        <v>112778.28</v>
      </c>
      <c r="Q82" t="str">
        <v>VT04093</v>
      </c>
      <c r="R82" t="str">
        <v>Baruna</v>
      </c>
      <c r="S82" t="str">
        <v>Ogale</v>
      </c>
      <c r="T82" t="str">
        <v>Training</v>
      </c>
      <c r="U82">
        <v>116767.63</v>
      </c>
      <c r="V82" s="28">
        <v>43949</v>
      </c>
    </row>
    <row r="83" spans="2:22" x14ac:dyDescent="0.3">
      <c r="B83" t="str">
        <v>VT01893</v>
      </c>
      <c r="C83" t="str">
        <v>Lindy</v>
      </c>
      <c r="D83" t="str">
        <v>Guillet</v>
      </c>
      <c r="E83" t="str">
        <v>Training</v>
      </c>
      <c r="F83">
        <v>112778.28</v>
      </c>
    </row>
    <row r="84" spans="2:22" x14ac:dyDescent="0.3">
      <c r="B84" t="str">
        <v>VT02491</v>
      </c>
      <c r="C84" t="str">
        <v>Alexis</v>
      </c>
      <c r="D84" t="str">
        <v>Gotfrey</v>
      </c>
      <c r="E84" t="str">
        <v>Engineering</v>
      </c>
      <c r="F84">
        <v>114465.93</v>
      </c>
    </row>
    <row r="85" spans="2:22" x14ac:dyDescent="0.3">
      <c r="B85" t="str">
        <v>VT02801</v>
      </c>
      <c r="C85" t="str">
        <v>Shellysheldon</v>
      </c>
      <c r="D85" t="str">
        <v>Mahady</v>
      </c>
      <c r="E85" t="str">
        <v>Training</v>
      </c>
      <c r="F85">
        <v>114691.03</v>
      </c>
    </row>
    <row r="86" spans="2:22" x14ac:dyDescent="0.3">
      <c r="B86" t="str">
        <v>VT03421</v>
      </c>
      <c r="C86" t="str">
        <v>Alic</v>
      </c>
      <c r="D86" t="str">
        <v>Bagg</v>
      </c>
      <c r="E86" t="str">
        <v>Legal</v>
      </c>
      <c r="F86">
        <v>113747.56</v>
      </c>
    </row>
    <row r="87" spans="2:22" x14ac:dyDescent="0.3">
      <c r="B87" t="str">
        <v>VT03421</v>
      </c>
      <c r="C87" t="str">
        <v>Alic</v>
      </c>
      <c r="D87" t="str">
        <v>Bagg</v>
      </c>
      <c r="E87" t="str">
        <v>Legal</v>
      </c>
      <c r="F87">
        <v>113747.56</v>
      </c>
    </row>
    <row r="88" spans="2:22" x14ac:dyDescent="0.3">
      <c r="B88" t="str">
        <v>VT04028</v>
      </c>
      <c r="C88" t="str">
        <v>Michale</v>
      </c>
      <c r="D88" t="str">
        <v>Rolf</v>
      </c>
      <c r="E88" t="str">
        <v>Services</v>
      </c>
      <c r="F88">
        <v>111815.49</v>
      </c>
    </row>
    <row r="89" spans="2:22" x14ac:dyDescent="0.3">
      <c r="B89" t="str">
        <v>VT04028</v>
      </c>
      <c r="C89" t="str">
        <v>Michale</v>
      </c>
      <c r="D89" t="str">
        <v>Rolf</v>
      </c>
      <c r="E89" t="str">
        <v>Services</v>
      </c>
      <c r="F89">
        <v>111815.49</v>
      </c>
    </row>
    <row r="90" spans="2:22" x14ac:dyDescent="0.3">
      <c r="B90" t="str">
        <v>VT04093</v>
      </c>
      <c r="C90" t="str">
        <v>Prasanna</v>
      </c>
      <c r="D90" t="str">
        <v>Lakshmi</v>
      </c>
      <c r="E90" t="str">
        <v>Training</v>
      </c>
      <c r="F90">
        <v>116767.63</v>
      </c>
    </row>
    <row r="91" spans="2:22" x14ac:dyDescent="0.3">
      <c r="B91" t="str">
        <v>VT04093</v>
      </c>
      <c r="C91" t="str">
        <v>Baruna</v>
      </c>
      <c r="D91" t="str">
        <v>Ogale</v>
      </c>
      <c r="E91" t="str">
        <v>Training</v>
      </c>
      <c r="F91">
        <v>116767.63</v>
      </c>
    </row>
    <row r="92" spans="2:22" x14ac:dyDescent="0.3">
      <c r="B92" t="str">
        <v>VT04681</v>
      </c>
      <c r="C92" t="str">
        <v>Nickolai</v>
      </c>
      <c r="D92" t="str">
        <v>Artin</v>
      </c>
      <c r="E92" t="str">
        <v>Product Management</v>
      </c>
      <c r="F92">
        <v>110906.35</v>
      </c>
    </row>
  </sheetData>
  <mergeCells count="1">
    <mergeCell ref="B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2:N37"/>
  <sheetViews>
    <sheetView zoomScale="117" zoomScaleNormal="117" workbookViewId="0">
      <selection activeCell="B2" sqref="B2:N2"/>
    </sheetView>
  </sheetViews>
  <sheetFormatPr defaultRowHeight="14.4" x14ac:dyDescent="0.3"/>
  <cols>
    <col min="1" max="1" width="2.88671875" customWidth="1"/>
    <col min="2" max="2" width="14.5546875" customWidth="1"/>
    <col min="3" max="5" width="13.109375" customWidth="1"/>
    <col min="7" max="7" width="0" hidden="1" customWidth="1"/>
  </cols>
  <sheetData>
    <row r="2" spans="2:14" ht="15.6" x14ac:dyDescent="0.3">
      <c r="B2" s="70" t="s">
        <v>805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ht="15.6" x14ac:dyDescent="0.3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2:14" x14ac:dyDescent="0.3">
      <c r="B4" s="25" t="s">
        <v>746</v>
      </c>
    </row>
    <row r="6" spans="2:14" x14ac:dyDescent="0.3">
      <c r="C6" s="33" t="s">
        <v>773</v>
      </c>
      <c r="D6" s="34" t="s">
        <v>15</v>
      </c>
      <c r="E6" s="34" t="s">
        <v>24</v>
      </c>
    </row>
    <row r="7" spans="2:14" x14ac:dyDescent="0.3">
      <c r="B7" s="32" t="s">
        <v>770</v>
      </c>
      <c r="C7" s="36">
        <f>MIN(staff[Salary])</f>
        <v>28160.79</v>
      </c>
      <c r="D7" s="37">
        <f>_xlfn.MINIFS(staff[Salary], staff[Gender],D$6)</f>
        <v>28160.79</v>
      </c>
      <c r="E7" s="37">
        <f>_xlfn.MINIFS(staff[Salary], staff[Gender],E$6)</f>
        <v>28305.08</v>
      </c>
    </row>
    <row r="8" spans="2:14" x14ac:dyDescent="0.3">
      <c r="B8" s="32" t="s">
        <v>771</v>
      </c>
      <c r="C8" s="36">
        <f>MAX(staff[Salary])</f>
        <v>120000</v>
      </c>
      <c r="D8" s="37">
        <f>_xlfn.MAXIFS(staff[Salary], staff[Gender],D$6)</f>
        <v>120000</v>
      </c>
      <c r="E8" s="37">
        <f>_xlfn.MAXIFS(staff[Salary], staff[Gender],E$6)</f>
        <v>120000</v>
      </c>
    </row>
    <row r="9" spans="2:14" x14ac:dyDescent="0.3">
      <c r="B9" s="32" t="s">
        <v>772</v>
      </c>
      <c r="C9" s="36">
        <f>LARGE(staff[Salary],G9)</f>
        <v>120000</v>
      </c>
      <c r="D9" s="37" cm="1">
        <f t="array" ref="D9">LARGE(_xlfn._xlws.FILTER(staff[Salary], staff[Gender]=D$6),G9)</f>
        <v>120000</v>
      </c>
      <c r="E9" s="37" cm="1">
        <f t="array" ref="E9">LARGE(_xlfn._xlws.FILTER(staff[Salary], staff[Gender]=E$6),G9)</f>
        <v>120000</v>
      </c>
      <c r="G9">
        <v>1</v>
      </c>
    </row>
    <row r="10" spans="2:14" x14ac:dyDescent="0.3">
      <c r="C10" s="36">
        <f>LARGE(staff[Salary],G10)</f>
        <v>120000</v>
      </c>
      <c r="D10" s="37" cm="1">
        <f t="array" ref="D10">LARGE(_xlfn._xlws.FILTER(staff[Salary], staff[Gender]=D$6),G10)</f>
        <v>119022.49</v>
      </c>
      <c r="E10" s="37" cm="1">
        <f t="array" ref="E10">LARGE(_xlfn._xlws.FILTER(staff[Salary], staff[Gender]=E$6),G10)</f>
        <v>118442.54</v>
      </c>
      <c r="G10">
        <v>2</v>
      </c>
    </row>
    <row r="11" spans="2:14" x14ac:dyDescent="0.3">
      <c r="C11" s="36">
        <f>LARGE(staff[Salary],G11)</f>
        <v>119022.49</v>
      </c>
      <c r="D11" s="37" cm="1">
        <f t="array" ref="D11">LARGE(_xlfn._xlws.FILTER(staff[Salary], staff[Gender]=D$6),G11)</f>
        <v>118976.16</v>
      </c>
      <c r="E11" s="37" cm="1">
        <f t="array" ref="E11">LARGE(_xlfn._xlws.FILTER(staff[Salary], staff[Gender]=E$6),G11)</f>
        <v>116767.63</v>
      </c>
      <c r="G11">
        <v>3</v>
      </c>
    </row>
    <row r="12" spans="2:14" x14ac:dyDescent="0.3">
      <c r="C12" s="36">
        <f>LARGE(staff[Salary],G12)</f>
        <v>118976.16</v>
      </c>
      <c r="D12" s="37" cm="1">
        <f t="array" ref="D12">LARGE(_xlfn._xlws.FILTER(staff[Salary], staff[Gender]=D$6),G12)</f>
        <v>115191.38</v>
      </c>
      <c r="E12" s="37" cm="1">
        <f t="array" ref="E12">LARGE(_xlfn._xlws.FILTER(staff[Salary], staff[Gender]=E$6),G12)</f>
        <v>116767.63</v>
      </c>
      <c r="G12">
        <v>4</v>
      </c>
    </row>
    <row r="13" spans="2:14" x14ac:dyDescent="0.3">
      <c r="C13" s="36">
        <f>LARGE(staff[Salary],G13)</f>
        <v>118442.54</v>
      </c>
      <c r="D13" s="37" cm="1">
        <f t="array" ref="D13">LARGE(_xlfn._xlws.FILTER(staff[Salary], staff[Gender]=D$6),G13)</f>
        <v>114691.03</v>
      </c>
      <c r="E13" s="37" cm="1">
        <f t="array" ref="E13">LARGE(_xlfn._xlws.FILTER(staff[Salary], staff[Gender]=E$6),G13)</f>
        <v>114772.32</v>
      </c>
      <c r="G13">
        <v>5</v>
      </c>
    </row>
    <row r="15" spans="2:14" x14ac:dyDescent="0.3">
      <c r="B15" s="32" t="s">
        <v>772</v>
      </c>
      <c r="C15" s="38" cm="1">
        <f t="array" ref="C15:C19">_xlfn.TAKE(_xlfn._xlws.SORT(staff[Salary],,-1),I15)</f>
        <v>120000</v>
      </c>
      <c r="D15" s="37" cm="1">
        <f t="array" ref="D15:D19">_xlfn.TAKE(_xlfn._xlws.SORT(_xlfn._xlws.FILTER(staff[Salary],staff[Gender]="Male"),,-1),5)</f>
        <v>120000</v>
      </c>
      <c r="E15" s="37" cm="1">
        <f t="array" ref="E15:E19">_xlfn.TAKE(_xlfn._xlws.SORT(_xlfn._xlws.FILTER(staff[Salary],staff[Gender]="Female"),,-1),5)</f>
        <v>120000</v>
      </c>
      <c r="I15">
        <v>5</v>
      </c>
    </row>
    <row r="16" spans="2:14" x14ac:dyDescent="0.3">
      <c r="B16" s="35" t="s">
        <v>774</v>
      </c>
      <c r="C16" s="38">
        <v>120000</v>
      </c>
      <c r="D16" s="37">
        <v>119022.49</v>
      </c>
      <c r="E16" s="37">
        <v>118442.54</v>
      </c>
    </row>
    <row r="17" spans="3:5" x14ac:dyDescent="0.3">
      <c r="C17" s="38">
        <v>119022.49</v>
      </c>
      <c r="D17" s="37">
        <v>118976.16</v>
      </c>
      <c r="E17" s="37">
        <v>116767.63</v>
      </c>
    </row>
    <row r="18" spans="3:5" x14ac:dyDescent="0.3">
      <c r="C18" s="38">
        <v>118976.16</v>
      </c>
      <c r="D18" s="37">
        <v>115191.38</v>
      </c>
      <c r="E18" s="37">
        <v>116767.63</v>
      </c>
    </row>
    <row r="19" spans="3:5" x14ac:dyDescent="0.3">
      <c r="C19" s="38">
        <v>118442.54</v>
      </c>
      <c r="D19" s="37">
        <v>114691.03</v>
      </c>
      <c r="E19" s="37">
        <v>114772.32</v>
      </c>
    </row>
    <row r="20" spans="3:5" x14ac:dyDescent="0.3">
      <c r="C20" s="39"/>
    </row>
    <row r="21" spans="3:5" x14ac:dyDescent="0.3">
      <c r="C21" s="39"/>
    </row>
    <row r="22" spans="3:5" x14ac:dyDescent="0.3">
      <c r="C22" s="39"/>
    </row>
    <row r="23" spans="3:5" x14ac:dyDescent="0.3">
      <c r="C23" s="39"/>
    </row>
    <row r="24" spans="3:5" x14ac:dyDescent="0.3">
      <c r="C24" s="39"/>
    </row>
    <row r="25" spans="3:5" x14ac:dyDescent="0.3">
      <c r="C25" s="39"/>
    </row>
    <row r="26" spans="3:5" x14ac:dyDescent="0.3">
      <c r="C26" s="39"/>
    </row>
    <row r="27" spans="3:5" x14ac:dyDescent="0.3">
      <c r="C27" s="39"/>
    </row>
    <row r="28" spans="3:5" x14ac:dyDescent="0.3">
      <c r="C28" s="39"/>
    </row>
    <row r="29" spans="3:5" x14ac:dyDescent="0.3">
      <c r="C29" s="39"/>
    </row>
    <row r="30" spans="3:5" x14ac:dyDescent="0.3">
      <c r="C30" s="39"/>
    </row>
    <row r="31" spans="3:5" x14ac:dyDescent="0.3">
      <c r="C31" s="39"/>
    </row>
    <row r="32" spans="3:5" x14ac:dyDescent="0.3">
      <c r="C32" s="39"/>
    </row>
    <row r="33" spans="3:3" x14ac:dyDescent="0.3">
      <c r="C33" s="39"/>
    </row>
    <row r="34" spans="3:3" x14ac:dyDescent="0.3">
      <c r="C34" s="39"/>
    </row>
    <row r="35" spans="3:3" x14ac:dyDescent="0.3">
      <c r="C35" s="39"/>
    </row>
    <row r="36" spans="3:3" x14ac:dyDescent="0.3">
      <c r="C36" s="39"/>
    </row>
    <row r="37" spans="3:3" x14ac:dyDescent="0.3">
      <c r="C37" s="39"/>
    </row>
  </sheetData>
  <mergeCells count="1">
    <mergeCell ref="B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2:H19"/>
  <sheetViews>
    <sheetView zoomScaleNormal="100" workbookViewId="0">
      <selection activeCell="B2" sqref="B2:H2"/>
    </sheetView>
  </sheetViews>
  <sheetFormatPr defaultRowHeight="14.4" x14ac:dyDescent="0.3"/>
  <cols>
    <col min="1" max="1" width="2.88671875" customWidth="1"/>
    <col min="2" max="2" width="12.33203125" customWidth="1"/>
  </cols>
  <sheetData>
    <row r="2" spans="2:8" ht="15.6" x14ac:dyDescent="0.3">
      <c r="B2" s="70" t="s">
        <v>804</v>
      </c>
      <c r="C2" s="70"/>
      <c r="D2" s="70"/>
      <c r="E2" s="70"/>
      <c r="F2" s="70"/>
      <c r="G2" s="70"/>
      <c r="H2" s="70"/>
    </row>
    <row r="4" spans="2:8" x14ac:dyDescent="0.3">
      <c r="B4" s="25" t="s">
        <v>775</v>
      </c>
    </row>
    <row r="6" spans="2:8" x14ac:dyDescent="0.3">
      <c r="B6" s="25" t="s">
        <v>776</v>
      </c>
      <c r="E6" t="s">
        <v>778</v>
      </c>
      <c r="F6">
        <f>COUNTA(_xlfn.ANCHORARRAY(B7))</f>
        <v>13</v>
      </c>
    </row>
    <row r="7" spans="2:8" x14ac:dyDescent="0.3">
      <c r="B7" t="str" cm="1">
        <f t="array" ref="B7:B19">_xlfn.UNIQUE(staff[Department])</f>
        <v>Training</v>
      </c>
    </row>
    <row r="8" spans="2:8" x14ac:dyDescent="0.3">
      <c r="B8" t="str">
        <v>Business Development</v>
      </c>
      <c r="E8" s="63" t="str">
        <f>_xlfn.TEXTJOIN(",",,_xlfn.ANCHORARRAY(B7))</f>
        <v>Training,Business Development,Business Growth,Engineering,Marketing,Legal,Accounting,Human Resources,Research and Development,Services,Product Management,Support,Sales</v>
      </c>
    </row>
    <row r="9" spans="2:8" x14ac:dyDescent="0.3">
      <c r="B9" t="str">
        <v>Business Growth</v>
      </c>
    </row>
    <row r="10" spans="2:8" x14ac:dyDescent="0.3">
      <c r="B10" t="str">
        <v>Engineering</v>
      </c>
      <c r="E10" s="64" t="str">
        <f>_xlfn.TEXTJOIN(",",,(_xlfn.UNIQUE(staff[Department])))</f>
        <v>Training,Business Development,Business Growth,Engineering,Marketing,Legal,Accounting,Human Resources,Research and Development,Services,Product Management,Support,Sales</v>
      </c>
    </row>
    <row r="11" spans="2:8" x14ac:dyDescent="0.3">
      <c r="B11" t="str">
        <v>Marketing</v>
      </c>
    </row>
    <row r="12" spans="2:8" x14ac:dyDescent="0.3">
      <c r="B12" t="str">
        <v>Legal</v>
      </c>
    </row>
    <row r="13" spans="2:8" x14ac:dyDescent="0.3">
      <c r="B13" t="str">
        <v>Accounting</v>
      </c>
    </row>
    <row r="14" spans="2:8" x14ac:dyDescent="0.3">
      <c r="B14" t="str">
        <v>Human Resources</v>
      </c>
    </row>
    <row r="15" spans="2:8" x14ac:dyDescent="0.3">
      <c r="B15" t="str">
        <v>Research and Development</v>
      </c>
    </row>
    <row r="16" spans="2:8" x14ac:dyDescent="0.3">
      <c r="B16" t="str">
        <v>Services</v>
      </c>
    </row>
    <row r="17" spans="2:2" x14ac:dyDescent="0.3">
      <c r="B17" t="str">
        <v>Product Management</v>
      </c>
    </row>
    <row r="18" spans="2:2" x14ac:dyDescent="0.3">
      <c r="B18" t="str">
        <v>Support</v>
      </c>
    </row>
    <row r="19" spans="2:2" x14ac:dyDescent="0.3">
      <c r="B19" t="str">
        <v>Sales</v>
      </c>
    </row>
  </sheetData>
  <mergeCells count="1"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2:T34"/>
  <sheetViews>
    <sheetView zoomScale="83" zoomScaleNormal="83" workbookViewId="0">
      <selection activeCell="B2" sqref="B2:I2"/>
    </sheetView>
  </sheetViews>
  <sheetFormatPr defaultRowHeight="14.4" x14ac:dyDescent="0.3"/>
  <cols>
    <col min="1" max="1" width="2.88671875" customWidth="1"/>
    <col min="2" max="2" width="13.33203125" customWidth="1"/>
    <col min="3" max="3" width="20.88671875" customWidth="1"/>
    <col min="4" max="4" width="4.33203125" customWidth="1"/>
    <col min="5" max="5" width="20" customWidth="1"/>
    <col min="9" max="9" width="10.77734375" customWidth="1"/>
    <col min="11" max="11" width="28.88671875" customWidth="1"/>
  </cols>
  <sheetData>
    <row r="2" spans="1:11" x14ac:dyDescent="0.3">
      <c r="B2" s="69" t="s">
        <v>807</v>
      </c>
      <c r="C2" s="69"/>
      <c r="D2" s="69"/>
      <c r="E2" s="69"/>
      <c r="F2" s="69"/>
      <c r="G2" s="69"/>
      <c r="H2" s="69"/>
      <c r="I2" s="69"/>
    </row>
    <row r="4" spans="1:11" x14ac:dyDescent="0.3">
      <c r="B4" s="25" t="s">
        <v>780</v>
      </c>
    </row>
    <row r="6" spans="1:11" x14ac:dyDescent="0.3">
      <c r="G6" s="65" t="s">
        <v>806</v>
      </c>
      <c r="H6" s="65"/>
      <c r="I6" s="65"/>
      <c r="K6" s="65" t="s">
        <v>806</v>
      </c>
    </row>
    <row r="7" spans="1:11" x14ac:dyDescent="0.3">
      <c r="B7" t="s">
        <v>781</v>
      </c>
      <c r="C7" s="41" t="s">
        <v>501</v>
      </c>
      <c r="E7" s="47" t="s">
        <v>786</v>
      </c>
      <c r="G7" t="str" cm="1">
        <f t="array" ref="G7:H8">_xlfn.CHOOSECOLS(_xlfn._xlws.FILTER(staff[],staff[Salary]=120000),2,3)</f>
        <v>Minerva</v>
      </c>
      <c r="H7" t="str">
        <v>Ricardot</v>
      </c>
      <c r="K7" t="str" cm="1">
        <f t="array" ref="K7:K8">_xlfn._xlws.FILTER(staff[First Name]&amp;" "&amp;staff[Last Name],staff[Salary]=120000)</f>
        <v>Minerva Ricardot</v>
      </c>
    </row>
    <row r="8" spans="1:11" x14ac:dyDescent="0.3">
      <c r="G8" t="str">
        <v>Mick</v>
      </c>
      <c r="H8" t="str">
        <v>Spraberry</v>
      </c>
      <c r="K8" t="str">
        <v>Mick Spraberry</v>
      </c>
    </row>
    <row r="9" spans="1:11" x14ac:dyDescent="0.3">
      <c r="A9" s="44">
        <v>2</v>
      </c>
      <c r="B9" t="s">
        <v>782</v>
      </c>
      <c r="C9" s="42" t="str">
        <f>IFERROR(VLOOKUP($C$7,staff[],A9,FALSE),"Not found")</f>
        <v>Edd</v>
      </c>
      <c r="E9" s="42" t="str">
        <f>_xlfn.XLOOKUP(C7,staff[Emp ID], staff[First Name],"Not found")</f>
        <v>Edd</v>
      </c>
    </row>
    <row r="10" spans="1:11" x14ac:dyDescent="0.3">
      <c r="A10" s="44">
        <v>3</v>
      </c>
      <c r="B10" t="s">
        <v>783</v>
      </c>
      <c r="C10" s="42" t="str">
        <f>IFERROR(VLOOKUP($C$7,staff[],A10,FALSE),"Not found")</f>
        <v>MacKnockiter</v>
      </c>
      <c r="E10" s="42" t="str">
        <f>_xlfn.XLOOKUP(C7,staff[Emp ID], staff[Last Name],"Not found")</f>
        <v>MacKnockiter</v>
      </c>
    </row>
    <row r="11" spans="1:11" x14ac:dyDescent="0.3">
      <c r="A11" s="44">
        <v>5</v>
      </c>
      <c r="B11" t="s">
        <v>776</v>
      </c>
      <c r="C11" s="42" t="str">
        <f>IFERROR(VLOOKUP($C$7,staff[],A11,FALSE),"Not found")</f>
        <v>Accounting</v>
      </c>
      <c r="E11" s="42" t="str">
        <f>_xlfn.XLOOKUP(C7,staff[Emp ID], staff[Department],"Not found")</f>
        <v>Accounting</v>
      </c>
    </row>
    <row r="12" spans="1:11" x14ac:dyDescent="0.3">
      <c r="A12" s="44">
        <v>6</v>
      </c>
      <c r="B12" t="s">
        <v>784</v>
      </c>
      <c r="C12" s="42">
        <f>IFERROR(VLOOKUP($C$7,staff[],A12,FALSE),"Not found")</f>
        <v>119022.49</v>
      </c>
      <c r="E12" s="42">
        <f>_xlfn.XLOOKUP(C7,staff[Emp ID], staff[Salary],"Not found")</f>
        <v>119022.49</v>
      </c>
    </row>
    <row r="17" spans="2:20" x14ac:dyDescent="0.3">
      <c r="B17" t="s">
        <v>783</v>
      </c>
      <c r="C17" s="41" t="s">
        <v>284</v>
      </c>
    </row>
    <row r="18" spans="2:20" x14ac:dyDescent="0.3">
      <c r="C18">
        <f>MATCH(C17,staff[Last Name],0)</f>
        <v>3</v>
      </c>
    </row>
    <row r="19" spans="2:20" x14ac:dyDescent="0.3">
      <c r="H19" t="s">
        <v>787</v>
      </c>
    </row>
    <row r="20" spans="2:20" x14ac:dyDescent="0.3">
      <c r="B20" t="s">
        <v>781</v>
      </c>
      <c r="C20" s="45" t="str">
        <f>INDEX(staff[Emp ID],MATCH(C17,staff[Last Name],0))</f>
        <v>PR00113</v>
      </c>
      <c r="E20" s="45" t="str">
        <f>_xlfn.XLOOKUP(C17,staff[Last Name], staff[Emp ID],"Not found")</f>
        <v>PR00113</v>
      </c>
      <c r="H20" t="str" cm="1">
        <f t="array" ref="H20:T20">_xlfn.XLOOKUP(C17,staff[Last Name], staff[])</f>
        <v>PR00113</v>
      </c>
      <c r="I20" t="str">
        <v>Van</v>
      </c>
      <c r="J20" t="str">
        <v>Tuxwell</v>
      </c>
      <c r="K20" t="str">
        <v>Female</v>
      </c>
      <c r="L20" t="str">
        <v>Business Growth</v>
      </c>
      <c r="M20">
        <v>80695.740000000005</v>
      </c>
      <c r="N20" t="str">
        <v>50k to 100k</v>
      </c>
      <c r="O20">
        <v>43360</v>
      </c>
      <c r="P20">
        <v>1</v>
      </c>
      <c r="Q20" t="str">
        <v>Permanent</v>
      </c>
      <c r="R20" t="str">
        <v>Columbus, USA</v>
      </c>
      <c r="S20">
        <v>5.7643835616438359</v>
      </c>
      <c r="T20" t="str">
        <v>Full time</v>
      </c>
    </row>
    <row r="21" spans="2:20" x14ac:dyDescent="0.3">
      <c r="B21" t="s">
        <v>776</v>
      </c>
      <c r="C21" s="45" t="str">
        <f>INDEX(staff[Department],MATCH(C17,staff[Last Name],0))</f>
        <v>Business Growth</v>
      </c>
      <c r="E21" s="45" t="str">
        <f>_xlfn.XLOOKUP(C17,staff[Last Name], staff[Department],"Not found")</f>
        <v>Business Growth</v>
      </c>
    </row>
    <row r="22" spans="2:20" x14ac:dyDescent="0.3">
      <c r="B22" t="s">
        <v>784</v>
      </c>
      <c r="C22" s="46">
        <f>INDEX(staff[Salary],MATCH(C17,staff[Last Name],0))</f>
        <v>80695.740000000005</v>
      </c>
      <c r="E22" s="46">
        <f>_xlfn.XLOOKUP(C17,staff[Last Name], staff[Salary],"Not found")</f>
        <v>80695.740000000005</v>
      </c>
      <c r="H22" t="str" cm="1">
        <f t="array" ref="H22:H34">TRANSPOSE(_xlfn.XLOOKUP(C17,staff[Last Name], staff[]))</f>
        <v>PR00113</v>
      </c>
    </row>
    <row r="23" spans="2:20" x14ac:dyDescent="0.3">
      <c r="H23" t="str">
        <v>Van</v>
      </c>
    </row>
    <row r="24" spans="2:20" x14ac:dyDescent="0.3">
      <c r="H24" t="str">
        <v>Tuxwell</v>
      </c>
    </row>
    <row r="25" spans="2:20" x14ac:dyDescent="0.3">
      <c r="H25" t="str">
        <v>Female</v>
      </c>
    </row>
    <row r="26" spans="2:20" x14ac:dyDescent="0.3">
      <c r="H26" t="str">
        <v>Business Growth</v>
      </c>
    </row>
    <row r="27" spans="2:20" x14ac:dyDescent="0.3">
      <c r="H27">
        <v>80695.740000000005</v>
      </c>
    </row>
    <row r="28" spans="2:20" x14ac:dyDescent="0.3">
      <c r="H28" t="str">
        <v>50k to 100k</v>
      </c>
    </row>
    <row r="29" spans="2:20" x14ac:dyDescent="0.3">
      <c r="H29">
        <v>43360</v>
      </c>
    </row>
    <row r="30" spans="2:20" x14ac:dyDescent="0.3">
      <c r="H30">
        <v>1</v>
      </c>
    </row>
    <row r="31" spans="2:20" x14ac:dyDescent="0.3">
      <c r="H31" t="str">
        <v>Permanent</v>
      </c>
    </row>
    <row r="32" spans="2:20" x14ac:dyDescent="0.3">
      <c r="H32" t="str">
        <v>Columbus, USA</v>
      </c>
    </row>
    <row r="33" spans="8:8" x14ac:dyDescent="0.3">
      <c r="H33">
        <v>5.7643835616438359</v>
      </c>
    </row>
    <row r="34" spans="8:8" x14ac:dyDescent="0.3">
      <c r="H34" t="str">
        <v>Full time</v>
      </c>
    </row>
  </sheetData>
  <mergeCells count="1"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2:G34"/>
  <sheetViews>
    <sheetView zoomScale="190" zoomScaleNormal="190" workbookViewId="0">
      <selection activeCell="B2" sqref="B2:G2"/>
    </sheetView>
  </sheetViews>
  <sheetFormatPr defaultRowHeight="14.4" x14ac:dyDescent="0.3"/>
  <cols>
    <col min="1" max="1" width="2.88671875" customWidth="1"/>
    <col min="2" max="2" width="12" customWidth="1"/>
    <col min="3" max="3" width="16.88671875" customWidth="1"/>
  </cols>
  <sheetData>
    <row r="2" spans="2:7" x14ac:dyDescent="0.3">
      <c r="B2" s="69" t="s">
        <v>808</v>
      </c>
      <c r="C2" s="69"/>
      <c r="D2" s="69"/>
      <c r="E2" s="69"/>
      <c r="F2" s="69"/>
      <c r="G2" s="69"/>
    </row>
    <row r="4" spans="2:7" x14ac:dyDescent="0.3">
      <c r="B4" s="25" t="s">
        <v>752</v>
      </c>
    </row>
    <row r="7" spans="2:7" x14ac:dyDescent="0.3">
      <c r="B7" t="s">
        <v>788</v>
      </c>
      <c r="C7" s="31" t="str" cm="1">
        <f t="array" ref="C7">_xlfn.XLOOKUP(MAX(staff[Salary]), staff[Salary], staff[First Name]&amp;" "&amp;staff[Last Name])</f>
        <v>Minerva Ricardot</v>
      </c>
    </row>
    <row r="11" spans="2:7" x14ac:dyDescent="0.3">
      <c r="B11" t="s">
        <v>789</v>
      </c>
      <c r="C11" s="48" t="str" cm="1">
        <f t="array" ref="C11">_xlfn.TEXTJOIN(", ",,_xlfn._xlws.FILTER(staff[First Name]&amp;" "&amp;staff[Last Name], staff[Salary]=MAX(staff[Salary])))</f>
        <v>Minerva Ricardot, Mick Spraberry</v>
      </c>
      <c r="D11" s="43"/>
      <c r="E11" s="43"/>
      <c r="F11" s="43"/>
      <c r="G11" s="49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2:N104"/>
  <sheetViews>
    <sheetView zoomScaleNormal="100" workbookViewId="0">
      <selection activeCell="B2" sqref="B2:E2"/>
    </sheetView>
  </sheetViews>
  <sheetFormatPr defaultRowHeight="14.4" x14ac:dyDescent="0.3"/>
  <cols>
    <col min="1" max="1" width="2.88671875" customWidth="1"/>
    <col min="2" max="2" width="10.88671875" customWidth="1"/>
    <col min="3" max="4" width="15.44140625" customWidth="1"/>
    <col min="9" max="9" width="12.44140625" customWidth="1"/>
  </cols>
  <sheetData>
    <row r="2" spans="2:9" x14ac:dyDescent="0.3">
      <c r="B2" s="71" t="s">
        <v>810</v>
      </c>
      <c r="C2" s="71"/>
      <c r="D2" s="71"/>
      <c r="E2" s="71"/>
    </row>
    <row r="4" spans="2:9" x14ac:dyDescent="0.3">
      <c r="B4" s="25" t="s">
        <v>754</v>
      </c>
    </row>
    <row r="6" spans="2:9" x14ac:dyDescent="0.3">
      <c r="B6" s="26" t="s">
        <v>0</v>
      </c>
      <c r="C6" s="26" t="s">
        <v>1</v>
      </c>
      <c r="D6" s="26" t="s">
        <v>2</v>
      </c>
    </row>
    <row r="7" spans="2:9" x14ac:dyDescent="0.3">
      <c r="B7" t="str" cm="1">
        <f t="array" ref="B7:D28">_xlfn._xlws.FILTER(staff[[Emp ID]:[Last Name]], MONTH(staff[Start Date])=3)</f>
        <v>PR00746</v>
      </c>
      <c r="C7" t="str">
        <v>Hogan</v>
      </c>
      <c r="D7" t="str">
        <v>Iles</v>
      </c>
      <c r="I7" s="6"/>
    </row>
    <row r="8" spans="2:9" x14ac:dyDescent="0.3">
      <c r="B8" t="str">
        <v>PR00893</v>
      </c>
      <c r="C8" t="str">
        <v>Vasavi</v>
      </c>
      <c r="D8" t="str">
        <v>Veeravasarapu</v>
      </c>
      <c r="I8" s="6"/>
    </row>
    <row r="9" spans="2:9" x14ac:dyDescent="0.3">
      <c r="B9" t="str">
        <v>SQ00022</v>
      </c>
      <c r="C9" t="str">
        <v>Carlin</v>
      </c>
      <c r="D9" t="str">
        <v>Demke</v>
      </c>
      <c r="I9" s="6"/>
    </row>
    <row r="10" spans="2:9" x14ac:dyDescent="0.3">
      <c r="B10" t="str">
        <v>SQ00105</v>
      </c>
      <c r="C10" t="str">
        <v>Sarayu</v>
      </c>
      <c r="D10" t="str">
        <v>Ragunathan</v>
      </c>
      <c r="I10" s="6"/>
    </row>
    <row r="11" spans="2:9" x14ac:dyDescent="0.3">
      <c r="B11" t="str">
        <v>SQ01519</v>
      </c>
      <c r="C11" t="str">
        <v>Caron</v>
      </c>
      <c r="D11" t="str">
        <v>Kolakovic</v>
      </c>
      <c r="I11" s="6"/>
    </row>
    <row r="12" spans="2:9" x14ac:dyDescent="0.3">
      <c r="B12" t="str">
        <v>SQ03112</v>
      </c>
      <c r="C12" t="str">
        <v>Kantimoy</v>
      </c>
      <c r="D12" t="str">
        <v>Pritish</v>
      </c>
      <c r="I12" s="6"/>
    </row>
    <row r="13" spans="2:9" x14ac:dyDescent="0.3">
      <c r="B13" t="str">
        <v>SQ03625</v>
      </c>
      <c r="C13" t="str">
        <v>Fidela</v>
      </c>
      <c r="D13" t="str">
        <v>Artis</v>
      </c>
      <c r="I13" s="6"/>
    </row>
    <row r="14" spans="2:9" x14ac:dyDescent="0.3">
      <c r="B14" t="str">
        <v>SQ04612</v>
      </c>
      <c r="C14" t="str">
        <v>Mick</v>
      </c>
      <c r="D14" t="str">
        <v>Spraberry</v>
      </c>
      <c r="I14" s="6"/>
    </row>
    <row r="15" spans="2:9" x14ac:dyDescent="0.3">
      <c r="B15" t="str">
        <v>TN01256</v>
      </c>
      <c r="C15" t="str">
        <v>Shattesh</v>
      </c>
      <c r="D15" t="str">
        <v>Utpat</v>
      </c>
      <c r="I15" s="6"/>
    </row>
    <row r="16" spans="2:9" x14ac:dyDescent="0.3">
      <c r="B16" t="str">
        <v>TN01256</v>
      </c>
      <c r="C16" t="str">
        <v>Sawini</v>
      </c>
      <c r="D16" t="str">
        <v>Chandan</v>
      </c>
      <c r="I16" s="6"/>
    </row>
    <row r="17" spans="2:14" x14ac:dyDescent="0.3">
      <c r="B17" t="str">
        <v>TN01601</v>
      </c>
      <c r="C17" t="str">
        <v>Melva</v>
      </c>
      <c r="D17" t="str">
        <v>Jickells</v>
      </c>
      <c r="I17" s="6"/>
    </row>
    <row r="18" spans="2:14" x14ac:dyDescent="0.3">
      <c r="B18" t="str">
        <v>TN01601</v>
      </c>
      <c r="C18" t="str">
        <v>Melva</v>
      </c>
      <c r="D18" t="str">
        <v>Jickells</v>
      </c>
      <c r="I18" s="6"/>
    </row>
    <row r="19" spans="2:14" x14ac:dyDescent="0.3">
      <c r="B19" t="str">
        <v>TN04892</v>
      </c>
      <c r="C19" t="str">
        <v>Luca</v>
      </c>
      <c r="D19" t="str">
        <v>Wolstenholme</v>
      </c>
      <c r="I19" s="6"/>
    </row>
    <row r="20" spans="2:14" x14ac:dyDescent="0.3">
      <c r="B20" t="str">
        <v>VT01762</v>
      </c>
      <c r="C20" t="str">
        <v>Geena</v>
      </c>
      <c r="D20" t="str">
        <v>Raghavanpillai</v>
      </c>
      <c r="I20" s="6"/>
    </row>
    <row r="21" spans="2:14" x14ac:dyDescent="0.3">
      <c r="B21" t="str">
        <v>VT01803</v>
      </c>
      <c r="C21" t="str">
        <v>Freddy</v>
      </c>
      <c r="D21" t="str">
        <v>Linford</v>
      </c>
      <c r="I21" s="6"/>
    </row>
    <row r="22" spans="2:14" x14ac:dyDescent="0.3">
      <c r="B22" t="str">
        <v>VT02417</v>
      </c>
      <c r="C22" t="str">
        <v>Evangelina</v>
      </c>
      <c r="D22" t="str">
        <v>Lergan</v>
      </c>
      <c r="I22" s="6"/>
    </row>
    <row r="23" spans="2:14" x14ac:dyDescent="0.3">
      <c r="B23" t="str">
        <v>VT03421</v>
      </c>
      <c r="C23" t="str">
        <v>Alic</v>
      </c>
      <c r="D23" t="str">
        <v>Bagg</v>
      </c>
      <c r="I23" s="6"/>
    </row>
    <row r="24" spans="2:14" x14ac:dyDescent="0.3">
      <c r="B24" t="str">
        <v>VT03421</v>
      </c>
      <c r="C24" t="str">
        <v>Alic</v>
      </c>
      <c r="D24" t="str">
        <v>Bagg</v>
      </c>
      <c r="I24" s="6"/>
    </row>
    <row r="25" spans="2:14" x14ac:dyDescent="0.3">
      <c r="B25" t="str">
        <v>VT03993</v>
      </c>
      <c r="C25" t="str">
        <v>Dulce</v>
      </c>
      <c r="D25" t="str">
        <v>Colbeck</v>
      </c>
      <c r="I25" s="6"/>
    </row>
    <row r="26" spans="2:14" x14ac:dyDescent="0.3">
      <c r="B26" t="str">
        <v>VT04028</v>
      </c>
      <c r="C26" t="str">
        <v>Michale</v>
      </c>
      <c r="D26" t="str">
        <v>Rolf</v>
      </c>
      <c r="I26" s="6"/>
    </row>
    <row r="27" spans="2:14" x14ac:dyDescent="0.3">
      <c r="B27" t="str">
        <v>VT04028</v>
      </c>
      <c r="C27" t="str">
        <v>Michale</v>
      </c>
      <c r="D27" t="str">
        <v>Rolf</v>
      </c>
      <c r="I27" s="6"/>
    </row>
    <row r="28" spans="2:14" x14ac:dyDescent="0.3">
      <c r="B28" t="str">
        <v>VT04415</v>
      </c>
      <c r="C28" t="str">
        <v>Malory</v>
      </c>
      <c r="D28" t="str">
        <v>Biles</v>
      </c>
      <c r="I28" s="6"/>
    </row>
    <row r="31" spans="2:14" x14ac:dyDescent="0.3">
      <c r="B31" s="75" t="s">
        <v>815</v>
      </c>
      <c r="C31" s="74"/>
      <c r="D31" s="74"/>
      <c r="E31" s="74"/>
    </row>
    <row r="32" spans="2:14" x14ac:dyDescent="0.3">
      <c r="B32" t="str" cm="1">
        <f t="array" ref="B32:N38">_xlfn._xlws.FILTER(staff[],LEFT(staff[First Name],1)="H")</f>
        <v>PR00246</v>
      </c>
      <c r="C32" t="str">
        <v>Husein</v>
      </c>
      <c r="D32" t="str">
        <v>Augar</v>
      </c>
      <c r="E32" t="str">
        <v>Female</v>
      </c>
      <c r="F32" t="str">
        <v>Marketing</v>
      </c>
      <c r="G32">
        <v>67905.8</v>
      </c>
      <c r="H32" t="str">
        <v>50k to 100k</v>
      </c>
      <c r="I32">
        <v>44194</v>
      </c>
      <c r="J32">
        <v>1</v>
      </c>
      <c r="K32" t="str">
        <v>Permanent</v>
      </c>
      <c r="L32" t="str">
        <v>Remote</v>
      </c>
      <c r="M32">
        <v>3.4794520547945207</v>
      </c>
      <c r="N32" t="str">
        <v>Full time</v>
      </c>
    </row>
    <row r="33" spans="2:14" x14ac:dyDescent="0.3">
      <c r="B33" t="str">
        <v>PR00746</v>
      </c>
      <c r="C33" t="str">
        <v>Hogan</v>
      </c>
      <c r="D33" t="str">
        <v>Iles</v>
      </c>
      <c r="E33" t="str">
        <v>Female</v>
      </c>
      <c r="F33" t="str">
        <v>Accounting</v>
      </c>
      <c r="G33">
        <v>114177.23</v>
      </c>
      <c r="H33" t="str">
        <v>Above 100k</v>
      </c>
      <c r="I33">
        <v>43908</v>
      </c>
      <c r="J33">
        <v>1</v>
      </c>
      <c r="K33" t="str">
        <v>Permanent</v>
      </c>
      <c r="L33" t="str">
        <v>Wellington, New Zealand</v>
      </c>
      <c r="M33">
        <v>4.2630136986301368</v>
      </c>
      <c r="N33" t="str">
        <v>Full time</v>
      </c>
    </row>
    <row r="34" spans="2:14" x14ac:dyDescent="0.3">
      <c r="B34" t="str">
        <v>SQ04437</v>
      </c>
      <c r="C34" t="str">
        <v>Hephzibah</v>
      </c>
      <c r="D34" t="str">
        <v>Summerell</v>
      </c>
      <c r="E34" t="str">
        <v>Female</v>
      </c>
      <c r="F34" t="str">
        <v>Services</v>
      </c>
      <c r="G34">
        <v>28305.08</v>
      </c>
      <c r="H34" t="str">
        <v>Under 50k</v>
      </c>
      <c r="I34">
        <v>43754</v>
      </c>
      <c r="J34">
        <v>1</v>
      </c>
      <c r="K34" t="str">
        <v>Permanent</v>
      </c>
      <c r="L34" t="str">
        <v>Remote</v>
      </c>
      <c r="M34">
        <v>4.6849315068493151</v>
      </c>
      <c r="N34" t="str">
        <v>Full time</v>
      </c>
    </row>
    <row r="35" spans="2:14" x14ac:dyDescent="0.3">
      <c r="B35" t="str">
        <v>TN00214</v>
      </c>
      <c r="C35" t="str">
        <v>Hemavati</v>
      </c>
      <c r="D35" t="str">
        <v>Muthiah</v>
      </c>
      <c r="E35" t="str">
        <v>Female</v>
      </c>
      <c r="F35" t="str">
        <v>Training</v>
      </c>
      <c r="G35">
        <v>37902.35</v>
      </c>
      <c r="H35" t="str">
        <v>Under 50k</v>
      </c>
      <c r="I35">
        <v>43823</v>
      </c>
      <c r="J35">
        <v>1</v>
      </c>
      <c r="K35" t="str">
        <v>Permanent</v>
      </c>
      <c r="L35" t="str">
        <v>Chennai, India</v>
      </c>
      <c r="M35">
        <v>4.4958904109589044</v>
      </c>
      <c r="N35" t="str">
        <v>Full time</v>
      </c>
    </row>
    <row r="36" spans="2:14" x14ac:dyDescent="0.3">
      <c r="B36" t="str">
        <v>TN04175</v>
      </c>
      <c r="C36" t="str">
        <v>Hinda</v>
      </c>
      <c r="D36" t="str">
        <v>Label</v>
      </c>
      <c r="E36" t="str">
        <v>Female</v>
      </c>
      <c r="F36" t="str">
        <v>Human Resources</v>
      </c>
      <c r="G36">
        <v>92704.48</v>
      </c>
      <c r="H36" t="str">
        <v>50k to 100k</v>
      </c>
      <c r="I36">
        <v>43430</v>
      </c>
      <c r="J36">
        <v>1</v>
      </c>
      <c r="K36" t="str">
        <v>Fixed Term</v>
      </c>
      <c r="L36" t="str">
        <v>Columbus, USA</v>
      </c>
      <c r="M36">
        <v>5.5726027397260278</v>
      </c>
      <c r="N36" t="str">
        <v>Full time</v>
      </c>
    </row>
    <row r="37" spans="2:14" x14ac:dyDescent="0.3">
      <c r="B37" t="str">
        <v>TN04775</v>
      </c>
      <c r="C37" t="str">
        <v>Hridaynath</v>
      </c>
      <c r="D37" t="str">
        <v>Tendulkar</v>
      </c>
      <c r="E37" t="str">
        <v>Female</v>
      </c>
      <c r="F37" t="str">
        <v>Legal</v>
      </c>
      <c r="G37">
        <v>31089.22</v>
      </c>
      <c r="H37" t="str">
        <v>Under 50k</v>
      </c>
      <c r="I37">
        <v>43776</v>
      </c>
      <c r="J37">
        <v>1</v>
      </c>
      <c r="K37" t="str">
        <v>Fixed Term</v>
      </c>
      <c r="L37" t="str">
        <v>Chennai, India</v>
      </c>
      <c r="M37">
        <v>4.624657534246575</v>
      </c>
      <c r="N37" t="str">
        <v>Full time</v>
      </c>
    </row>
    <row r="38" spans="2:14" x14ac:dyDescent="0.3">
      <c r="B38" t="str">
        <v>VT01996</v>
      </c>
      <c r="C38" t="str">
        <v>Hali</v>
      </c>
      <c r="D38" t="str">
        <v>Behnecke</v>
      </c>
      <c r="E38" t="str">
        <v>Male</v>
      </c>
      <c r="F38" t="str">
        <v>Human Resources</v>
      </c>
      <c r="G38">
        <v>65569.36</v>
      </c>
      <c r="H38" t="str">
        <v>50k to 100k</v>
      </c>
      <c r="I38">
        <v>43293</v>
      </c>
      <c r="J38">
        <v>1</v>
      </c>
      <c r="K38" t="str">
        <v>Fixed Term</v>
      </c>
      <c r="L38" t="str">
        <v>Auckland, New Zealand</v>
      </c>
      <c r="M38">
        <v>5.9479452054794519</v>
      </c>
      <c r="N38" t="str">
        <v>Full time</v>
      </c>
    </row>
    <row r="41" spans="2:14" x14ac:dyDescent="0.3">
      <c r="B41" s="66" t="s">
        <v>809</v>
      </c>
      <c r="C41" s="66"/>
      <c r="D41" s="66"/>
    </row>
    <row r="42" spans="2:14" x14ac:dyDescent="0.3">
      <c r="B42" s="63"/>
    </row>
    <row r="43" spans="2:14" x14ac:dyDescent="0.3">
      <c r="B43" t="str" cm="1">
        <f t="array" ref="B43:B104">_xlfn._xlws.FILTER(staff[First Name]&amp;" "&amp;staff[Last Name],(staff[Gender]="Female")*(WEEKDAY(staff[Start Date])=2))</f>
        <v>Torrance Collier</v>
      </c>
      <c r="I43" s="28"/>
    </row>
    <row r="44" spans="2:14" x14ac:dyDescent="0.3">
      <c r="B44" t="str">
        <v>Devrat Damarsingh</v>
      </c>
      <c r="I44" s="28"/>
    </row>
    <row r="45" spans="2:14" x14ac:dyDescent="0.3">
      <c r="B45" t="str">
        <v>Van Tuxwell</v>
      </c>
      <c r="I45" s="28"/>
    </row>
    <row r="46" spans="2:14" x14ac:dyDescent="0.3">
      <c r="B46" t="str">
        <v>Van Tuxwell</v>
      </c>
      <c r="I46" s="28"/>
    </row>
    <row r="47" spans="2:14" x14ac:dyDescent="0.3">
      <c r="B47" t="str">
        <v>Lalitchandra Vadali</v>
      </c>
      <c r="I47" s="28"/>
    </row>
    <row r="48" spans="2:14" x14ac:dyDescent="0.3">
      <c r="B48" t="str">
        <v>Inger Chapelhow</v>
      </c>
      <c r="I48" s="28"/>
    </row>
    <row r="49" spans="2:9" x14ac:dyDescent="0.3">
      <c r="B49" t="str">
        <v>Addi Studdeard</v>
      </c>
      <c r="I49" s="28"/>
    </row>
    <row r="50" spans="2:9" x14ac:dyDescent="0.3">
      <c r="B50" t="str">
        <v>Iris Wagg</v>
      </c>
      <c r="I50" s="28"/>
    </row>
    <row r="51" spans="2:9" x14ac:dyDescent="0.3">
      <c r="B51" t="str">
        <v>Beverie Moffet</v>
      </c>
      <c r="I51" s="28"/>
    </row>
    <row r="52" spans="2:9" x14ac:dyDescent="0.3">
      <c r="B52" t="str">
        <v>Louise Lamming</v>
      </c>
      <c r="I52" s="28"/>
    </row>
    <row r="53" spans="2:9" x14ac:dyDescent="0.3">
      <c r="B53" t="str">
        <v>Marmaduke Worssam</v>
      </c>
      <c r="I53" s="28"/>
    </row>
    <row r="54" spans="2:9" x14ac:dyDescent="0.3">
      <c r="B54" t="str">
        <v>Dinanath Simhambhatla</v>
      </c>
      <c r="I54" s="28"/>
    </row>
    <row r="55" spans="2:9" x14ac:dyDescent="0.3">
      <c r="B55" t="str">
        <v>Danica Nayshe</v>
      </c>
      <c r="I55" s="28"/>
    </row>
    <row r="56" spans="2:9" x14ac:dyDescent="0.3">
      <c r="B56" t="str">
        <v>Van Tuxwell</v>
      </c>
      <c r="I56" s="28"/>
    </row>
    <row r="57" spans="2:9" x14ac:dyDescent="0.3">
      <c r="B57" t="str">
        <v>Sameer Shashank</v>
      </c>
      <c r="I57" s="28"/>
    </row>
    <row r="58" spans="2:9" x14ac:dyDescent="0.3">
      <c r="B58" t="str">
        <v>Wyn Treadger</v>
      </c>
      <c r="I58" s="28"/>
    </row>
    <row r="59" spans="2:9" x14ac:dyDescent="0.3">
      <c r="B59" t="str">
        <v>Oona Donan</v>
      </c>
      <c r="I59" s="28"/>
    </row>
    <row r="60" spans="2:9" x14ac:dyDescent="0.3">
      <c r="B60" t="str">
        <v>Sarayu Ragunathan</v>
      </c>
      <c r="I60" s="28"/>
    </row>
    <row r="61" spans="2:9" x14ac:dyDescent="0.3">
      <c r="B61" t="str">
        <v>Bhuvan Pals</v>
      </c>
      <c r="I61" s="28"/>
    </row>
    <row r="62" spans="2:9" x14ac:dyDescent="0.3">
      <c r="B62" t="str">
        <v>Duran Appala</v>
      </c>
      <c r="I62" s="28"/>
    </row>
    <row r="63" spans="2:9" x14ac:dyDescent="0.3">
      <c r="B63" t="str">
        <v>Karuna Pashupathy</v>
      </c>
      <c r="I63" s="28"/>
    </row>
    <row r="64" spans="2:9" x14ac:dyDescent="0.3">
      <c r="B64" t="str">
        <v>Sahaj Jonnalagadda</v>
      </c>
      <c r="I64" s="28"/>
    </row>
    <row r="65" spans="2:9" x14ac:dyDescent="0.3">
      <c r="B65" t="str">
        <v>Austine Littlewood</v>
      </c>
      <c r="I65" s="28"/>
    </row>
    <row r="66" spans="2:9" x14ac:dyDescent="0.3">
      <c r="B66" t="str">
        <v>Sidoney Yitzhok</v>
      </c>
      <c r="I66" s="28"/>
    </row>
    <row r="67" spans="2:9" x14ac:dyDescent="0.3">
      <c r="B67" t="str">
        <v>Gradey Litton</v>
      </c>
      <c r="I67" s="28"/>
    </row>
    <row r="68" spans="2:9" x14ac:dyDescent="0.3">
      <c r="B68" t="str">
        <v>Felice McMurty</v>
      </c>
      <c r="I68" s="28"/>
    </row>
    <row r="69" spans="2:9" x14ac:dyDescent="0.3">
      <c r="B69" t="str">
        <v>Felice McMurty</v>
      </c>
      <c r="I69" s="28"/>
    </row>
    <row r="70" spans="2:9" x14ac:dyDescent="0.3">
      <c r="B70" t="str">
        <v>Freda Legan</v>
      </c>
      <c r="I70" s="28"/>
    </row>
    <row r="71" spans="2:9" x14ac:dyDescent="0.3">
      <c r="B71" t="str">
        <v>Amlankusum Rajabhushan</v>
      </c>
      <c r="I71" s="28"/>
    </row>
    <row r="72" spans="2:9" x14ac:dyDescent="0.3">
      <c r="B72" t="str">
        <v>Fidela Artis</v>
      </c>
      <c r="I72" s="28"/>
    </row>
    <row r="73" spans="2:9" x14ac:dyDescent="0.3">
      <c r="B73" t="str">
        <v>Krishnakanta Vellanki</v>
      </c>
      <c r="I73" s="28"/>
    </row>
    <row r="74" spans="2:9" x14ac:dyDescent="0.3">
      <c r="B74" t="str">
        <v>Sarojini Naueshwara</v>
      </c>
      <c r="I74" s="28"/>
    </row>
    <row r="75" spans="2:9" x14ac:dyDescent="0.3">
      <c r="B75" t="str">
        <v>Shubhra Potla</v>
      </c>
      <c r="I75" s="28"/>
    </row>
    <row r="76" spans="2:9" x14ac:dyDescent="0.3">
      <c r="B76" t="str">
        <v>Chandana Sannidhi</v>
      </c>
      <c r="I76" s="28"/>
    </row>
    <row r="77" spans="2:9" x14ac:dyDescent="0.3">
      <c r="B77" t="str">
        <v>Camilla Castle</v>
      </c>
      <c r="I77" s="28"/>
    </row>
    <row r="78" spans="2:9" x14ac:dyDescent="0.3">
      <c r="B78" t="str">
        <v>Mayur Kousika</v>
      </c>
      <c r="I78" s="28"/>
    </row>
    <row r="79" spans="2:9" x14ac:dyDescent="0.3">
      <c r="B79" t="str">
        <v>Cletus McGarahan</v>
      </c>
      <c r="I79" s="28"/>
    </row>
    <row r="80" spans="2:9" x14ac:dyDescent="0.3">
      <c r="B80" t="str">
        <v>Melva Jickells</v>
      </c>
      <c r="I80" s="28"/>
    </row>
    <row r="81" spans="2:9" x14ac:dyDescent="0.3">
      <c r="B81" t="str">
        <v>Melva Jickells</v>
      </c>
      <c r="I81" s="28"/>
    </row>
    <row r="82" spans="2:9" x14ac:dyDescent="0.3">
      <c r="B82" t="str">
        <v>Parasuramudu Jamakayala</v>
      </c>
      <c r="I82" s="28"/>
    </row>
    <row r="83" spans="2:9" x14ac:dyDescent="0.3">
      <c r="B83" t="str">
        <v>John Joseph</v>
      </c>
      <c r="I83" s="28"/>
    </row>
    <row r="84" spans="2:9" x14ac:dyDescent="0.3">
      <c r="B84" t="str">
        <v>Janina Wolverson</v>
      </c>
      <c r="I84" s="28"/>
    </row>
    <row r="85" spans="2:9" x14ac:dyDescent="0.3">
      <c r="B85" t="str">
        <v>Janina Wolverson</v>
      </c>
      <c r="I85" s="28"/>
    </row>
    <row r="86" spans="2:9" x14ac:dyDescent="0.3">
      <c r="B86" t="str">
        <v>Lea Chaplin</v>
      </c>
      <c r="I86" s="28"/>
    </row>
    <row r="87" spans="2:9" x14ac:dyDescent="0.3">
      <c r="B87" t="str">
        <v>Hinda Label</v>
      </c>
      <c r="I87" s="28"/>
    </row>
    <row r="88" spans="2:9" x14ac:dyDescent="0.3">
      <c r="B88" t="str">
        <v>Shaylyn Ransbury</v>
      </c>
      <c r="I88" s="28"/>
    </row>
    <row r="89" spans="2:9" x14ac:dyDescent="0.3">
      <c r="B89" t="str">
        <v>Tristam Cuming</v>
      </c>
      <c r="I89" s="28"/>
    </row>
    <row r="90" spans="2:9" x14ac:dyDescent="0.3">
      <c r="B90" t="str">
        <v>Magnum Locksley</v>
      </c>
      <c r="I90" s="28"/>
    </row>
    <row r="91" spans="2:9" x14ac:dyDescent="0.3">
      <c r="B91" t="str">
        <v>Letisha Carrett</v>
      </c>
      <c r="I91" s="28"/>
    </row>
    <row r="92" spans="2:9" x14ac:dyDescent="0.3">
      <c r="B92" t="str">
        <v>Letisha Carrett</v>
      </c>
      <c r="I92" s="28"/>
    </row>
    <row r="93" spans="2:9" x14ac:dyDescent="0.3">
      <c r="B93" t="str">
        <v>Chitrasen Laul</v>
      </c>
      <c r="I93" s="28"/>
    </row>
    <row r="94" spans="2:9" x14ac:dyDescent="0.3">
      <c r="B94" t="str">
        <v>Brendan Edgeller</v>
      </c>
      <c r="I94" s="28"/>
    </row>
    <row r="95" spans="2:9" x14ac:dyDescent="0.3">
      <c r="B95" t="str">
        <v>Dhruv Manjunath</v>
      </c>
      <c r="I95" s="28"/>
    </row>
    <row r="96" spans="2:9" x14ac:dyDescent="0.3">
      <c r="B96" t="str">
        <v>Kunja Prashanta</v>
      </c>
      <c r="I96" s="28"/>
    </row>
    <row r="97" spans="2:9" x14ac:dyDescent="0.3">
      <c r="B97" t="str">
        <v>Freddy Linford</v>
      </c>
      <c r="I97" s="28"/>
    </row>
    <row r="98" spans="2:9" x14ac:dyDescent="0.3">
      <c r="B98" t="str">
        <v>Delphine Jewis</v>
      </c>
      <c r="I98" s="28"/>
    </row>
    <row r="99" spans="2:9" x14ac:dyDescent="0.3">
      <c r="B99" t="str">
        <v>Delphine Jewis</v>
      </c>
      <c r="I99" s="28"/>
    </row>
    <row r="100" spans="2:9" x14ac:dyDescent="0.3">
      <c r="B100" t="str">
        <v>Adey Ryal</v>
      </c>
      <c r="I100" s="28"/>
    </row>
    <row r="101" spans="2:9" x14ac:dyDescent="0.3">
      <c r="B101" t="str">
        <v>Narois Motiwala</v>
      </c>
      <c r="I101" s="28"/>
    </row>
    <row r="102" spans="2:9" x14ac:dyDescent="0.3">
      <c r="B102" t="str">
        <v>Venkat Kodi</v>
      </c>
      <c r="I102" s="28"/>
    </row>
    <row r="103" spans="2:9" x14ac:dyDescent="0.3">
      <c r="B103" t="str">
        <v>Malory Biles</v>
      </c>
      <c r="I103" s="28"/>
    </row>
    <row r="104" spans="2:9" x14ac:dyDescent="0.3">
      <c r="B104" t="str">
        <v>Theresita Chasmer</v>
      </c>
      <c r="I104" s="28"/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2:Q21"/>
  <sheetViews>
    <sheetView zoomScale="122" zoomScaleNormal="122" workbookViewId="0">
      <selection activeCell="B2" sqref="B2:K2"/>
    </sheetView>
  </sheetViews>
  <sheetFormatPr defaultRowHeight="14.4" x14ac:dyDescent="0.3"/>
  <cols>
    <col min="1" max="1" width="2.88671875" customWidth="1"/>
    <col min="2" max="2" width="23.33203125" customWidth="1"/>
    <col min="3" max="3" width="11.33203125" customWidth="1"/>
    <col min="4" max="5" width="12.109375" customWidth="1"/>
    <col min="6" max="6" width="7.109375" customWidth="1"/>
    <col min="7" max="7" width="9.88671875" customWidth="1"/>
    <col min="11" max="11" width="11.6640625" customWidth="1"/>
  </cols>
  <sheetData>
    <row r="2" spans="2:17" x14ac:dyDescent="0.3">
      <c r="B2" s="69" t="s">
        <v>814</v>
      </c>
      <c r="C2" s="69"/>
      <c r="D2" s="69"/>
      <c r="E2" s="69"/>
      <c r="F2" s="69"/>
      <c r="G2" s="69"/>
      <c r="H2" s="69"/>
      <c r="I2" s="69"/>
      <c r="J2" s="69"/>
      <c r="K2" s="69"/>
    </row>
    <row r="4" spans="2:17" x14ac:dyDescent="0.3">
      <c r="B4" s="25" t="s">
        <v>756</v>
      </c>
    </row>
    <row r="6" spans="2:17" x14ac:dyDescent="0.3">
      <c r="B6" s="29" t="s">
        <v>794</v>
      </c>
      <c r="C6" s="30">
        <f>COUNTA(staff[Emp ID])</f>
        <v>260</v>
      </c>
      <c r="D6" s="57">
        <f>AVERAGE(staff[Salary])</f>
        <v>73877.880076923073</v>
      </c>
      <c r="E6" s="53"/>
      <c r="F6" s="53"/>
      <c r="G6" s="57">
        <f>MAX(staff[Salary])</f>
        <v>120000</v>
      </c>
      <c r="H6" s="30"/>
      <c r="I6" s="30"/>
    </row>
    <row r="7" spans="2:17" ht="8.25" customHeight="1" x14ac:dyDescent="0.3">
      <c r="E7" s="50"/>
      <c r="F7" s="50"/>
    </row>
    <row r="8" spans="2:17" ht="28.8" x14ac:dyDescent="0.3">
      <c r="B8" s="54" t="s">
        <v>4</v>
      </c>
      <c r="C8" s="55" t="s">
        <v>761</v>
      </c>
      <c r="D8" s="55" t="s">
        <v>763</v>
      </c>
      <c r="E8" s="72" t="s">
        <v>792</v>
      </c>
      <c r="F8" s="72"/>
      <c r="G8" s="55" t="s">
        <v>791</v>
      </c>
      <c r="H8" s="55" t="s">
        <v>793</v>
      </c>
      <c r="I8" s="56" t="s">
        <v>795</v>
      </c>
      <c r="K8" s="67"/>
    </row>
    <row r="9" spans="2:17" x14ac:dyDescent="0.3">
      <c r="B9" s="51" t="str" cm="1">
        <f t="array" ref="B9:B21">_xlfn._xlws.SORT(_xlfn.UNIQUE(staff[Department]))</f>
        <v>Accounting</v>
      </c>
      <c r="C9" s="51" cm="1">
        <f t="array" ref="C9:C21">COUNTIFS(staff[Department],_xlfn.ANCHORARRAY(B9))</f>
        <v>26</v>
      </c>
      <c r="D9" s="58" cm="1">
        <f t="array" ref="D9:D21">AVERAGEIFS(staff[Salary],staff[Department],_xlfn.ANCHORARRAY(B9))</f>
        <v>69806.945769230777</v>
      </c>
      <c r="E9" s="58" cm="1">
        <f t="array" ref="E9:E21">_xlfn.ANCHORARRAY(D9)-D6</f>
        <v>-4070.934307692296</v>
      </c>
      <c r="F9" s="60" cm="1">
        <f t="array" ref="F9:F21">_xlfn.ANCHORARRAY(E9)</f>
        <v>-4070.934307692296</v>
      </c>
      <c r="G9" s="58" cm="1">
        <f t="array" ref="G9:G21">_xlfn.MAXIFS(staff[Salary],staff[Department],_xlfn.ANCHORARRAY(B9))</f>
        <v>119022.49</v>
      </c>
      <c r="H9" s="51" cm="1">
        <f t="array" ref="H9">MEDIAN(_xlfn._xlws.FILTER(staff[Salary],staff[Department]=B9))</f>
        <v>69025.614999999991</v>
      </c>
      <c r="I9" s="63" t="str" cm="1">
        <f t="array" ref="I9">"1:"&amp;ROUND(COUNTA(_xlfn._xlws.FILTER(staff[Gender],(staff[Gender]="Male")*(staff[Department]=B9))) / COUNTA(_xlfn._xlws.FILTER(staff[Gender],(staff[Gender]="Female")*(staff[Department]=B9))),1)</f>
        <v>1:1.7</v>
      </c>
      <c r="K9" s="65" t="s">
        <v>816</v>
      </c>
      <c r="L9" s="65"/>
      <c r="M9" s="65"/>
      <c r="N9" s="65"/>
      <c r="O9" s="65"/>
      <c r="P9" s="65"/>
      <c r="Q9" s="65"/>
    </row>
    <row r="10" spans="2:17" x14ac:dyDescent="0.3">
      <c r="B10" s="52" t="str">
        <v>Business Development</v>
      </c>
      <c r="C10" s="52">
        <v>24</v>
      </c>
      <c r="D10" s="59">
        <v>79705.644583333342</v>
      </c>
      <c r="E10" s="59">
        <v>5827.764506410269</v>
      </c>
      <c r="F10" s="61">
        <v>5827.764506410269</v>
      </c>
      <c r="G10" s="59">
        <v>110042.37</v>
      </c>
      <c r="H10" s="51" cm="1">
        <f t="array" ref="H10">MEDIAN(_xlfn._xlws.FILTER(staff[Salary],staff[Department]=B10))</f>
        <v>80432.58</v>
      </c>
      <c r="I10" s="63" t="str" cm="1">
        <f t="array" ref="I10">"1:"&amp;ROUND(COUNTA(_xlfn._xlws.FILTER(staff[Gender],(staff[Gender]="Male")*(staff[Department]=B10))) / COUNTA(_xlfn._xlws.FILTER(staff[Gender],(staff[Gender]="Female")*(staff[Department]=B10))),1)</f>
        <v>1:1.7</v>
      </c>
    </row>
    <row r="11" spans="2:17" x14ac:dyDescent="0.3">
      <c r="B11" s="52" t="str">
        <v>Business Growth</v>
      </c>
      <c r="C11" s="52">
        <v>2</v>
      </c>
      <c r="D11" s="59">
        <v>82847.87</v>
      </c>
      <c r="E11" s="59">
        <v>8969.9899230769224</v>
      </c>
      <c r="F11" s="61">
        <v>8969.9899230769224</v>
      </c>
      <c r="G11" s="59">
        <v>85000</v>
      </c>
      <c r="H11" s="51" cm="1">
        <f t="array" ref="H11">MEDIAN(_xlfn._xlws.FILTER(staff[Salary],staff[Department]=B11))</f>
        <v>82847.87</v>
      </c>
      <c r="I11" s="63" t="str" cm="1">
        <f t="array" ref="I11">"1:"&amp;ROUND(COUNTA(_xlfn._xlws.FILTER(staff[Gender],(staff[Gender]="Male")*(staff[Department]=B11))) / COUNTA(_xlfn._xlws.FILTER(staff[Gender],(staff[Gender]="Female")*(staff[Department]=B11))),1)</f>
        <v>1:0.5</v>
      </c>
      <c r="K11" s="68" t="s">
        <v>811</v>
      </c>
      <c r="L11" cm="1">
        <f t="array" ref="L11">COUNTA(_xlfn._xlws.FILTER(staff[Gender],(staff[Gender]="Male")*(staff[Department]=B9)))</f>
        <v>15</v>
      </c>
      <c r="M11" s="73" t="s">
        <v>813</v>
      </c>
      <c r="N11" s="73"/>
    </row>
    <row r="12" spans="2:17" x14ac:dyDescent="0.3">
      <c r="B12" s="52" t="str">
        <v>Engineering</v>
      </c>
      <c r="C12" s="52">
        <v>26</v>
      </c>
      <c r="D12" s="59">
        <v>81976.441923076913</v>
      </c>
      <c r="E12" s="59">
        <v>8098.5618461538397</v>
      </c>
      <c r="F12" s="61">
        <v>8098.5618461538397</v>
      </c>
      <c r="G12" s="59">
        <v>120000</v>
      </c>
      <c r="H12" s="51" cm="1">
        <f t="array" ref="H12">MEDIAN(_xlfn._xlws.FILTER(staff[Salary],staff[Department]=B12))</f>
        <v>85332.304999999993</v>
      </c>
      <c r="I12" s="63" t="str" cm="1">
        <f t="array" ref="I12">"1:"&amp;ROUND(COUNTA(_xlfn._xlws.FILTER(staff[Gender],(staff[Gender]="Male")*(staff[Department]=B12))) / COUNTA(_xlfn._xlws.FILTER(staff[Gender],(staff[Gender]="Female")*(staff[Department]=B12))),1)</f>
        <v>1:1.6</v>
      </c>
      <c r="K12" s="68" t="s">
        <v>812</v>
      </c>
      <c r="L12" cm="1">
        <f t="array" ref="L12">COUNTA(_xlfn._xlws.FILTER(staff[Gender],(staff[Gender]="Female")*(staff[Department]=B9)))</f>
        <v>9</v>
      </c>
      <c r="M12" s="73"/>
      <c r="N12" s="73"/>
    </row>
    <row r="13" spans="2:17" x14ac:dyDescent="0.3">
      <c r="B13" s="52" t="str">
        <v>Human Resources</v>
      </c>
      <c r="C13" s="52">
        <v>22</v>
      </c>
      <c r="D13" s="59">
        <v>73109.377727272746</v>
      </c>
      <c r="E13" s="59">
        <v>-768.50234965032723</v>
      </c>
      <c r="F13" s="61">
        <v>-768.50234965032723</v>
      </c>
      <c r="G13" s="59">
        <v>103494.94</v>
      </c>
      <c r="H13" s="51" cm="1">
        <f t="array" ref="H13">MEDIAN(_xlfn._xlws.FILTER(staff[Salary],staff[Department]=B13))</f>
        <v>73182.794999999998</v>
      </c>
      <c r="I13" s="63" t="str" cm="1">
        <f t="array" ref="I13">"1:"&amp;ROUND(COUNTA(_xlfn._xlws.FILTER(staff[Gender],(staff[Gender]="Male")*(staff[Department]=B13))) / COUNTA(_xlfn._xlws.FILTER(staff[Gender],(staff[Gender]="Female")*(staff[Department]=B13))),1)</f>
        <v>1:1.7</v>
      </c>
    </row>
    <row r="14" spans="2:17" x14ac:dyDescent="0.3">
      <c r="B14" s="52" t="str">
        <v>Legal</v>
      </c>
      <c r="C14" s="52">
        <v>21</v>
      </c>
      <c r="D14" s="59">
        <v>67242.51761904762</v>
      </c>
      <c r="E14" s="59">
        <v>-6635.3624578754534</v>
      </c>
      <c r="F14" s="61">
        <v>-6635.3624578754534</v>
      </c>
      <c r="G14" s="59">
        <v>113747.56</v>
      </c>
      <c r="H14" s="51" cm="1">
        <f t="array" ref="H14">MEDIAN(_xlfn._xlws.FILTER(staff[Salary],staff[Department]=B14))</f>
        <v>66572.58</v>
      </c>
      <c r="I14" s="63" t="str" cm="1">
        <f t="array" ref="I14">"1:"&amp;ROUND(COUNTA(_xlfn._xlws.FILTER(staff[Gender],(staff[Gender]="Male")*(staff[Department]=B14))) / COUNTA(_xlfn._xlws.FILTER(staff[Gender],(staff[Gender]="Female")*(staff[Department]=B14))),1)</f>
        <v>1:1.9</v>
      </c>
      <c r="K14">
        <f>COUNTIFS(staff[Gender], "Male", staff[Department], B9)</f>
        <v>15</v>
      </c>
    </row>
    <row r="15" spans="2:17" x14ac:dyDescent="0.3">
      <c r="B15" s="52" t="str">
        <v>Marketing</v>
      </c>
      <c r="C15" s="52">
        <v>12</v>
      </c>
      <c r="D15" s="59">
        <v>64441.299999999996</v>
      </c>
      <c r="E15" s="59">
        <v>-9436.5800769230773</v>
      </c>
      <c r="F15" s="61">
        <v>-9436.5800769230773</v>
      </c>
      <c r="G15" s="59">
        <v>104903.79</v>
      </c>
      <c r="H15" s="51" cm="1">
        <f t="array" ref="H15">MEDIAN(_xlfn._xlws.FILTER(staff[Salary],staff[Department]=B15))</f>
        <v>66961.489999999991</v>
      </c>
      <c r="I15" s="63" t="str" cm="1">
        <f t="array" ref="I15">"1:"&amp;ROUND(COUNTA(_xlfn._xlws.FILTER(staff[Gender],(staff[Gender]="Male")*(staff[Department]=B15))) / COUNTA(_xlfn._xlws.FILTER(staff[Gender],(staff[Gender]="Female")*(staff[Department]=B15))),1)</f>
        <v>1:1.4</v>
      </c>
      <c r="K15">
        <f>COUNTIFS(staff[Gender], "Female", staff[Department], B9)</f>
        <v>9</v>
      </c>
    </row>
    <row r="16" spans="2:17" x14ac:dyDescent="0.3">
      <c r="B16" s="52" t="str">
        <v>Product Management</v>
      </c>
      <c r="C16" s="52">
        <v>29</v>
      </c>
      <c r="D16" s="59">
        <v>75179.064482758593</v>
      </c>
      <c r="E16" s="59">
        <v>1301.18440583552</v>
      </c>
      <c r="F16" s="61">
        <v>1301.18440583552</v>
      </c>
      <c r="G16" s="59">
        <v>115191.38</v>
      </c>
      <c r="H16" s="51" cm="1">
        <f t="array" ref="H16">MEDIAN(_xlfn._xlws.FILTER(staff[Salary],staff[Department]=B16))</f>
        <v>72502.61</v>
      </c>
      <c r="I16" s="63" t="str" cm="1">
        <f t="array" ref="I16">"1:"&amp;ROUND(COUNTA(_xlfn._xlws.FILTER(staff[Gender],(staff[Gender]="Male")*(staff[Department]=B16))) / COUNTA(_xlfn._xlws.FILTER(staff[Gender],(staff[Gender]="Female")*(staff[Department]=B16))),1)</f>
        <v>1:0.7</v>
      </c>
    </row>
    <row r="17" spans="2:9" x14ac:dyDescent="0.3">
      <c r="B17" s="52" t="str">
        <v>Research and Development</v>
      </c>
      <c r="C17" s="52">
        <v>18</v>
      </c>
      <c r="D17" s="59">
        <v>66910.765555555554</v>
      </c>
      <c r="E17" s="59">
        <v>-6967.114521367519</v>
      </c>
      <c r="F17" s="61">
        <v>-6967.114521367519</v>
      </c>
      <c r="G17" s="59">
        <v>99683.67</v>
      </c>
      <c r="H17" s="51" cm="1">
        <f t="array" ref="H17">MEDIAN(_xlfn._xlws.FILTER(staff[Salary],staff[Department]=B17))</f>
        <v>65995.375</v>
      </c>
      <c r="I17" s="63" t="str" cm="1">
        <f t="array" ref="I17">"1:"&amp;ROUND(COUNTA(_xlfn._xlws.FILTER(staff[Gender],(staff[Gender]="Male")*(staff[Department]=B17))) / COUNTA(_xlfn._xlws.FILTER(staff[Gender],(staff[Gender]="Female")*(staff[Department]=B17))),1)</f>
        <v>1:0.6</v>
      </c>
    </row>
    <row r="18" spans="2:9" x14ac:dyDescent="0.3">
      <c r="B18" s="52" t="str">
        <v>Sales</v>
      </c>
      <c r="C18" s="52">
        <v>18</v>
      </c>
      <c r="D18" s="59">
        <v>71897.095555555556</v>
      </c>
      <c r="E18" s="59">
        <v>-1980.7845213675173</v>
      </c>
      <c r="F18" s="61">
        <v>-1980.7845213675173</v>
      </c>
      <c r="G18" s="59">
        <v>102129.37</v>
      </c>
      <c r="H18" s="51" cm="1">
        <f t="array" ref="H18">MEDIAN(_xlfn._xlws.FILTER(staff[Salary],staff[Department]=B18))</f>
        <v>79396.654999999999</v>
      </c>
      <c r="I18" s="63" t="str" cm="1">
        <f t="array" ref="I18">"1:"&amp;ROUND(COUNTA(_xlfn._xlws.FILTER(staff[Gender],(staff[Gender]="Male")*(staff[Department]=B18))) / COUNTA(_xlfn._xlws.FILTER(staff[Gender],(staff[Gender]="Female")*(staff[Department]=B18))),1)</f>
        <v>1:0.8</v>
      </c>
    </row>
    <row r="19" spans="2:9" x14ac:dyDescent="0.3">
      <c r="B19" s="52" t="str">
        <v>Services</v>
      </c>
      <c r="C19" s="52">
        <v>21</v>
      </c>
      <c r="D19" s="59">
        <v>74673.974761904756</v>
      </c>
      <c r="E19" s="59">
        <v>796.0946849816828</v>
      </c>
      <c r="F19" s="61">
        <v>796.0946849816828</v>
      </c>
      <c r="G19" s="59">
        <v>120000</v>
      </c>
      <c r="H19" s="51" cm="1">
        <f t="array" ref="H19">MEDIAN(_xlfn._xlws.FILTER(staff[Salary],staff[Department]=B19))</f>
        <v>77096.05</v>
      </c>
      <c r="I19" s="63" t="str" cm="1">
        <f t="array" ref="I19">"1:"&amp;ROUND(COUNTA(_xlfn._xlws.FILTER(staff[Gender],(staff[Gender]="Male")*(staff[Department]=B19))) / COUNTA(_xlfn._xlws.FILTER(staff[Gender],(staff[Gender]="Female")*(staff[Department]=B19))),1)</f>
        <v>1:0.6</v>
      </c>
    </row>
    <row r="20" spans="2:9" x14ac:dyDescent="0.3">
      <c r="B20" s="52" t="str">
        <v>Support</v>
      </c>
      <c r="C20" s="52">
        <v>17</v>
      </c>
      <c r="D20" s="59">
        <v>66432.455882352937</v>
      </c>
      <c r="E20" s="59">
        <v>-7445.424194570136</v>
      </c>
      <c r="F20" s="61">
        <v>-7445.424194570136</v>
      </c>
      <c r="G20" s="59">
        <v>104802.63</v>
      </c>
      <c r="H20" s="51" cm="1">
        <f t="array" ref="H20">MEDIAN(_xlfn._xlws.FILTER(staff[Salary],staff[Department]=B20))</f>
        <v>61214.26</v>
      </c>
      <c r="I20" s="63" t="str" cm="1">
        <f t="array" ref="I20">"1:"&amp;ROUND(COUNTA(_xlfn._xlws.FILTER(staff[Gender],(staff[Gender]="Male")*(staff[Department]=B20))) / COUNTA(_xlfn._xlws.FILTER(staff[Gender],(staff[Gender]="Female")*(staff[Department]=B20))),1)</f>
        <v>1:1</v>
      </c>
    </row>
    <row r="21" spans="2:9" x14ac:dyDescent="0.3">
      <c r="B21" s="52" t="str">
        <v>Training</v>
      </c>
      <c r="C21" s="52">
        <v>24</v>
      </c>
      <c r="D21" s="59">
        <v>83883.965000000011</v>
      </c>
      <c r="E21" s="59">
        <v>10006.084923076938</v>
      </c>
      <c r="F21" s="61">
        <v>10006.084923076938</v>
      </c>
      <c r="G21" s="59">
        <v>116767.63</v>
      </c>
      <c r="H21" s="51" cm="1">
        <f t="array" ref="H21">MEDIAN(_xlfn._xlws.FILTER(staff[Salary],staff[Department]=B21))</f>
        <v>89569.44</v>
      </c>
      <c r="I21" s="63" t="str" cm="1">
        <f t="array" ref="I21">"1:"&amp;ROUND(COUNTA(_xlfn._xlws.FILTER(staff[Gender],(staff[Gender]="Male")*(staff[Department]=B21))) / COUNTA(_xlfn._xlws.FILTER(staff[Gender],(staff[Gender]="Female")*(staff[Department]=B21))),1)</f>
        <v>1:0.4</v>
      </c>
    </row>
  </sheetData>
  <mergeCells count="3">
    <mergeCell ref="E8:F8"/>
    <mergeCell ref="M11:N12"/>
    <mergeCell ref="B2:K2"/>
  </mergeCells>
  <conditionalFormatting sqref="E9:E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{6DBBDF88-426A-4F97-98E5-3C1A92087308}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BBDF88-426A-4F97-98E5-3C1A92087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E9:E21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A5" workbookViewId="0">
      <selection activeCell="K7" sqref="K7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1" max="11" width="8.1093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779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779</v>
      </c>
      <c r="H11" s="5">
        <v>85000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 &amp; 3</vt:lpstr>
      <vt:lpstr>4</vt:lpstr>
      <vt:lpstr>5</vt:lpstr>
      <vt:lpstr>6 &amp; 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Vaishali Patil</cp:lastModifiedBy>
  <dcterms:created xsi:type="dcterms:W3CDTF">2021-03-14T20:21:32Z</dcterms:created>
  <dcterms:modified xsi:type="dcterms:W3CDTF">2024-12-18T04:43:12Z</dcterms:modified>
</cp:coreProperties>
</file>