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da205/Documents/Forskning IMBIM/AAV/Proteinanalyser/Labdata, behandling/"/>
    </mc:Choice>
  </mc:AlternateContent>
  <xr:revisionPtr revIDLastSave="0" documentId="13_ncr:1_{EE83C974-9957-FB4E-8976-21DE239A37F3}" xr6:coauthVersionLast="36" xr6:coauthVersionMax="36" xr10:uidLastSave="{00000000-0000-0000-0000-000000000000}"/>
  <bookViews>
    <workbookView xWindow="7560" yWindow="460" windowWidth="19900" windowHeight="16480" activeTab="1" xr2:uid="{FA5ADF17-403F-B649-8C0F-F743DF71EE73}"/>
  </bookViews>
  <sheets>
    <sheet name="Plasma" sheetId="1" r:id="rId1"/>
    <sheet name="Seru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5" i="1" l="1"/>
  <c r="AR35" i="1" s="1"/>
  <c r="AR31" i="1"/>
  <c r="AR32" i="1"/>
  <c r="AR33" i="1"/>
  <c r="AR34" i="1"/>
  <c r="AR30" i="1"/>
  <c r="AR28" i="1"/>
  <c r="AR29" i="1"/>
  <c r="AR27" i="1"/>
  <c r="AR17" i="1"/>
  <c r="AR18" i="1"/>
  <c r="AR19" i="1"/>
  <c r="AR20" i="1"/>
  <c r="AR21" i="1"/>
  <c r="AR22" i="1"/>
  <c r="AR23" i="1"/>
  <c r="AR24" i="1"/>
  <c r="AR25" i="1"/>
  <c r="AR26" i="1"/>
  <c r="AR16" i="1"/>
  <c r="AR5" i="1"/>
  <c r="AR6" i="1"/>
  <c r="AR7" i="1"/>
  <c r="AR8" i="1"/>
  <c r="AR9" i="1"/>
  <c r="AR10" i="1"/>
  <c r="AR11" i="1"/>
  <c r="AR12" i="1"/>
  <c r="AR13" i="1"/>
  <c r="AR14" i="1"/>
  <c r="AR15" i="1"/>
  <c r="AR4" i="1"/>
  <c r="AA9" i="1"/>
  <c r="AG9" i="1" s="1"/>
  <c r="AA25" i="1"/>
  <c r="AG25" i="1" s="1"/>
  <c r="AA14" i="1"/>
  <c r="AG14" i="1" s="1"/>
  <c r="AA6" i="1"/>
  <c r="AG6" i="1" s="1"/>
  <c r="AA30" i="1"/>
  <c r="AG30" i="1" s="1"/>
  <c r="AA15" i="1"/>
  <c r="AG15" i="1" s="1"/>
  <c r="AA27" i="1"/>
  <c r="AG27" i="1" s="1"/>
  <c r="AA18" i="1"/>
  <c r="AG18" i="1" s="1"/>
  <c r="AA8" i="1"/>
  <c r="AG8" i="1" s="1"/>
  <c r="AA5" i="1"/>
  <c r="AG5" i="1" s="1"/>
  <c r="AA7" i="1"/>
  <c r="AG7" i="1" s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35" i="1"/>
  <c r="AA33" i="1"/>
  <c r="AG33" i="1" s="1"/>
  <c r="AA28" i="1"/>
  <c r="AG28" i="1" s="1"/>
  <c r="AA26" i="1"/>
  <c r="AG26" i="1" s="1"/>
  <c r="AA24" i="1"/>
  <c r="AG24" i="1" s="1"/>
  <c r="AA23" i="1"/>
  <c r="AG23" i="1" s="1"/>
  <c r="AA22" i="1"/>
  <c r="AG22" i="1" s="1"/>
  <c r="AA20" i="1"/>
  <c r="AG20" i="1" s="1"/>
  <c r="AA19" i="1"/>
  <c r="AG19" i="1" s="1"/>
  <c r="AA17" i="1"/>
  <c r="AG17" i="1" s="1"/>
  <c r="AA16" i="1"/>
  <c r="AG16" i="1" s="1"/>
  <c r="AA13" i="1"/>
  <c r="AG13" i="1" s="1"/>
  <c r="AA12" i="1"/>
  <c r="AG12" i="1" s="1"/>
  <c r="AA10" i="1"/>
  <c r="AG10" i="1" s="1"/>
  <c r="AA11" i="1"/>
  <c r="AG11" i="1" s="1"/>
  <c r="AA21" i="1"/>
  <c r="AG21" i="1" s="1"/>
  <c r="AA29" i="1"/>
  <c r="AG29" i="1" s="1"/>
  <c r="AA31" i="1"/>
  <c r="AG31" i="1" s="1"/>
  <c r="AA32" i="1"/>
  <c r="AG32" i="1" s="1"/>
  <c r="AA34" i="1"/>
  <c r="AG34" i="1" s="1"/>
  <c r="AA4" i="1"/>
  <c r="AG4" i="1" s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40" i="1"/>
  <c r="L32" i="1"/>
  <c r="L33" i="1"/>
  <c r="L34" i="1"/>
  <c r="L36" i="1"/>
  <c r="L37" i="1"/>
  <c r="L38" i="1"/>
  <c r="L39" i="1"/>
  <c r="AH9" i="2"/>
  <c r="AH10" i="2"/>
  <c r="AH8" i="2"/>
  <c r="AH7" i="2"/>
  <c r="L20" i="2"/>
  <c r="L21" i="2"/>
  <c r="L22" i="2"/>
  <c r="L23" i="2"/>
  <c r="L24" i="2"/>
  <c r="L25" i="2"/>
  <c r="L26" i="2"/>
  <c r="L27" i="2"/>
  <c r="L28" i="2"/>
  <c r="L29" i="2"/>
  <c r="L30" i="2"/>
  <c r="L19" i="2"/>
  <c r="L15" i="2"/>
  <c r="L16" i="2"/>
  <c r="L17" i="2"/>
  <c r="L18" i="2"/>
  <c r="L14" i="2"/>
  <c r="L31" i="1"/>
  <c r="L11" i="1"/>
  <c r="L14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D53" i="1"/>
  <c r="L53" i="1" s="1"/>
  <c r="D35" i="1"/>
  <c r="L35" i="1" s="1"/>
  <c r="D17" i="1"/>
  <c r="L17" i="1" s="1"/>
  <c r="D15" i="1"/>
  <c r="L15" i="1" s="1"/>
  <c r="D13" i="1"/>
  <c r="L13" i="1" s="1"/>
  <c r="D12" i="1"/>
  <c r="L12" i="1" s="1"/>
  <c r="D10" i="1"/>
  <c r="L10" i="1" s="1"/>
  <c r="L5" i="1"/>
  <c r="L6" i="1"/>
  <c r="L7" i="1"/>
  <c r="L8" i="1"/>
  <c r="L9" i="1"/>
  <c r="L4" i="1"/>
  <c r="AM10" i="2"/>
  <c r="AM9" i="2"/>
  <c r="AM8" i="2"/>
  <c r="AM6" i="2"/>
  <c r="AM5" i="2"/>
  <c r="AM7" i="2"/>
  <c r="AM4" i="2"/>
  <c r="AH6" i="2"/>
  <c r="AH5" i="2"/>
  <c r="L8" i="2"/>
  <c r="AH4" i="2"/>
  <c r="L10" i="2"/>
  <c r="L11" i="2"/>
  <c r="L12" i="2"/>
  <c r="L13" i="2"/>
  <c r="L9" i="2"/>
  <c r="L7" i="2"/>
  <c r="L5" i="2"/>
  <c r="L4" i="2"/>
  <c r="L6" i="2"/>
  <c r="AB6" i="2" l="1"/>
  <c r="AB8" i="2"/>
  <c r="AB10" i="2"/>
  <c r="AB5" i="2"/>
  <c r="AB9" i="2"/>
  <c r="AB7" i="2"/>
  <c r="AB4" i="2"/>
</calcChain>
</file>

<file path=xl/sharedStrings.xml><?xml version="1.0" encoding="utf-8"?>
<sst xmlns="http://schemas.openxmlformats.org/spreadsheetml/2006/main" count="651" uniqueCount="385">
  <si>
    <t>Clinical data</t>
  </si>
  <si>
    <t>AAV, active disease</t>
  </si>
  <si>
    <t>ID</t>
  </si>
  <si>
    <t>Date of sampling</t>
  </si>
  <si>
    <t>Date of birth</t>
  </si>
  <si>
    <t>Age at sampling</t>
  </si>
  <si>
    <t>PR3-ANCA</t>
  </si>
  <si>
    <t>MPO-ANCA</t>
  </si>
  <si>
    <t>Autoantibody</t>
  </si>
  <si>
    <t>UMU1</t>
  </si>
  <si>
    <t>UMU2</t>
  </si>
  <si>
    <t>UMU3</t>
  </si>
  <si>
    <t>UMU4</t>
  </si>
  <si>
    <t>UMU5</t>
  </si>
  <si>
    <t>UMU6</t>
  </si>
  <si>
    <t>UMU7</t>
  </si>
  <si>
    <t>VASKA506</t>
  </si>
  <si>
    <t>VASKA503</t>
  </si>
  <si>
    <t>VASKA504</t>
  </si>
  <si>
    <t>VASKA042</t>
  </si>
  <si>
    <t>VASKA622</t>
  </si>
  <si>
    <t>VASKA634</t>
  </si>
  <si>
    <t>VASKA637</t>
  </si>
  <si>
    <t>VASKA649</t>
  </si>
  <si>
    <t>VASKA033</t>
  </si>
  <si>
    <t>VASKA006</t>
  </si>
  <si>
    <t>VASKA043</t>
  </si>
  <si>
    <t>VASKA096</t>
  </si>
  <si>
    <t>VASKA609</t>
  </si>
  <si>
    <t>VASKA623</t>
  </si>
  <si>
    <t>VASKA629</t>
  </si>
  <si>
    <t>VASKA641</t>
  </si>
  <si>
    <t>VASKA645</t>
  </si>
  <si>
    <t>VASKA117</t>
  </si>
  <si>
    <t>VASKA121</t>
  </si>
  <si>
    <t>VASKA304</t>
  </si>
  <si>
    <t>VASKA305</t>
  </si>
  <si>
    <t>VASKA148</t>
  </si>
  <si>
    <t>VASKA103</t>
  </si>
  <si>
    <t>VASKA0139</t>
  </si>
  <si>
    <t>VASKA0134</t>
  </si>
  <si>
    <t>VASKA0125</t>
  </si>
  <si>
    <t>VASKA639</t>
  </si>
  <si>
    <t>VASKA111</t>
  </si>
  <si>
    <t>VASKA636</t>
  </si>
  <si>
    <t>VASKA621</t>
  </si>
  <si>
    <t>VASKA100</t>
  </si>
  <si>
    <t>VASKA008</t>
  </si>
  <si>
    <t>VASKA301</t>
  </si>
  <si>
    <t>LUN  1055</t>
  </si>
  <si>
    <t>LUN 1065</t>
  </si>
  <si>
    <t>LUN 1103</t>
  </si>
  <si>
    <t>Daniel 62</t>
  </si>
  <si>
    <t>Daniel 38</t>
  </si>
  <si>
    <t>Daniel 82</t>
  </si>
  <si>
    <t>Daniel 61</t>
  </si>
  <si>
    <t>Daniel 53</t>
  </si>
  <si>
    <t>Daniel 83</t>
  </si>
  <si>
    <t>Daniel 81</t>
  </si>
  <si>
    <t>Daniel 101</t>
  </si>
  <si>
    <t>Daniel 98</t>
  </si>
  <si>
    <t>Daniel 102</t>
  </si>
  <si>
    <t>Daniel 94</t>
  </si>
  <si>
    <t>Daniel 105</t>
  </si>
  <si>
    <t>Daniel 96</t>
  </si>
  <si>
    <t>Daniel 107</t>
  </si>
  <si>
    <t>Daniel 108</t>
  </si>
  <si>
    <t>Daniel 42</t>
  </si>
  <si>
    <t>Danie 56</t>
  </si>
  <si>
    <t>Daniel 87</t>
  </si>
  <si>
    <t>Daniel 106</t>
  </si>
  <si>
    <t>Daniel 95</t>
  </si>
  <si>
    <t>Daniel 104</t>
  </si>
  <si>
    <t>Daniel 103</t>
  </si>
  <si>
    <t>2011-01-19</t>
  </si>
  <si>
    <t>2015-04-29</t>
  </si>
  <si>
    <t>2015-07-30</t>
  </si>
  <si>
    <t>2015-07-17</t>
  </si>
  <si>
    <t>2011-02-28</t>
  </si>
  <si>
    <t>1945-03-25</t>
  </si>
  <si>
    <t>2013-09-27</t>
  </si>
  <si>
    <t>2012-08-24</t>
  </si>
  <si>
    <t>1990-12-22</t>
  </si>
  <si>
    <t>2011-11-21</t>
  </si>
  <si>
    <t>1966-09-27</t>
  </si>
  <si>
    <t>2010-10-12</t>
  </si>
  <si>
    <t>1954-10-20</t>
  </si>
  <si>
    <t>2008-12-18</t>
  </si>
  <si>
    <t>1953-08-19</t>
  </si>
  <si>
    <t>1943-10-25</t>
  </si>
  <si>
    <t>Diagnosis (1=GPA, 0=MPA)</t>
  </si>
  <si>
    <t>Serum</t>
  </si>
  <si>
    <t>LIN 101</t>
  </si>
  <si>
    <t>LIN 12</t>
  </si>
  <si>
    <t>LIN 110</t>
  </si>
  <si>
    <t>LIN 117</t>
  </si>
  <si>
    <t>LIN 153</t>
  </si>
  <si>
    <t>LIN 168</t>
  </si>
  <si>
    <t>LIN 166</t>
  </si>
  <si>
    <t>UPP 47</t>
  </si>
  <si>
    <t>UPP 59</t>
  </si>
  <si>
    <t>UPP 61</t>
  </si>
  <si>
    <t>UPP 66</t>
  </si>
  <si>
    <t>UPP 67</t>
  </si>
  <si>
    <t>UPP 68</t>
  </si>
  <si>
    <t>UPP 74</t>
  </si>
  <si>
    <t>UPP 75</t>
  </si>
  <si>
    <t>UPP 78</t>
  </si>
  <si>
    <t>UPP 79</t>
  </si>
  <si>
    <t>LIN 138</t>
  </si>
  <si>
    <t>LIN 120</t>
  </si>
  <si>
    <t>LIN 136</t>
  </si>
  <si>
    <t>LIN 131</t>
  </si>
  <si>
    <t>LIN 163</t>
  </si>
  <si>
    <t>LIN 145</t>
  </si>
  <si>
    <t>LIN 155</t>
  </si>
  <si>
    <t>LIN 156</t>
  </si>
  <si>
    <t>LIN 150</t>
  </si>
  <si>
    <t>LIN 135</t>
  </si>
  <si>
    <t>Healthy controls</t>
  </si>
  <si>
    <t>LIN 137</t>
  </si>
  <si>
    <t>LIN 113</t>
  </si>
  <si>
    <t>STO 191</t>
  </si>
  <si>
    <t>STO 247</t>
  </si>
  <si>
    <t>STO 252</t>
  </si>
  <si>
    <t>STO 295</t>
  </si>
  <si>
    <t>STO 268</t>
  </si>
  <si>
    <t>LIN 111</t>
  </si>
  <si>
    <t>LIN 100</t>
  </si>
  <si>
    <t>STO 244</t>
  </si>
  <si>
    <t>STO 208</t>
  </si>
  <si>
    <t>LIN 112</t>
  </si>
  <si>
    <t>LIN 130</t>
  </si>
  <si>
    <t>STO 254</t>
  </si>
  <si>
    <t>STO 242</t>
  </si>
  <si>
    <t>STO 026</t>
  </si>
  <si>
    <t>STO 065</t>
  </si>
  <si>
    <t>LIN 128</t>
  </si>
  <si>
    <t>STO 226</t>
  </si>
  <si>
    <t>STO311</t>
  </si>
  <si>
    <t>STO 277</t>
  </si>
  <si>
    <t>STO 168</t>
  </si>
  <si>
    <t>STO 275</t>
  </si>
  <si>
    <t>STO 186</t>
  </si>
  <si>
    <t>STO 048</t>
  </si>
  <si>
    <t>LIN 108</t>
  </si>
  <si>
    <t>STO 215</t>
  </si>
  <si>
    <t>STO 236</t>
  </si>
  <si>
    <t>STO312</t>
  </si>
  <si>
    <t>STO 257</t>
  </si>
  <si>
    <t>VASKA 639</t>
  </si>
  <si>
    <t>STO 291</t>
  </si>
  <si>
    <t>LIN 129</t>
  </si>
  <si>
    <t>STO 042</t>
  </si>
  <si>
    <t>LIN 116</t>
  </si>
  <si>
    <t>STO 267</t>
  </si>
  <si>
    <t>STO 040</t>
  </si>
  <si>
    <t>STO 060</t>
  </si>
  <si>
    <t>STO 227</t>
  </si>
  <si>
    <t>LIN 105</t>
  </si>
  <si>
    <t>LIN 33</t>
  </si>
  <si>
    <t>STO 235</t>
  </si>
  <si>
    <t>STO301</t>
  </si>
  <si>
    <t>STO 249</t>
  </si>
  <si>
    <t>STO 066</t>
  </si>
  <si>
    <t>STO 195</t>
  </si>
  <si>
    <t>LIN 89</t>
  </si>
  <si>
    <t>STO 270</t>
  </si>
  <si>
    <t>STO 043</t>
  </si>
  <si>
    <t>STO 286</t>
  </si>
  <si>
    <t>Matched for case:</t>
  </si>
  <si>
    <t>Matched set number</t>
  </si>
  <si>
    <t>LUN 1055</t>
  </si>
  <si>
    <t>AAV remission controls</t>
  </si>
  <si>
    <t>Daniel 19</t>
  </si>
  <si>
    <t>Daniel 33</t>
  </si>
  <si>
    <t>LU1001</t>
  </si>
  <si>
    <t>LU1002</t>
  </si>
  <si>
    <t>LU1034</t>
  </si>
  <si>
    <t>LU1035</t>
  </si>
  <si>
    <t>LU1037</t>
  </si>
  <si>
    <t>LU1038</t>
  </si>
  <si>
    <t>LU1039</t>
  </si>
  <si>
    <t>LU1045</t>
  </si>
  <si>
    <t>LU1049</t>
  </si>
  <si>
    <t>LU1051</t>
  </si>
  <si>
    <t>LU1061</t>
  </si>
  <si>
    <t>LU1068</t>
  </si>
  <si>
    <t>LU1097</t>
  </si>
  <si>
    <t>LU1098</t>
  </si>
  <si>
    <t>LU1102</t>
  </si>
  <si>
    <t>LU1104</t>
  </si>
  <si>
    <t>LU1106</t>
  </si>
  <si>
    <t>LU1109</t>
  </si>
  <si>
    <t>VASKA 102</t>
  </si>
  <si>
    <t>VASKA 501</t>
  </si>
  <si>
    <t>VASKA 635</t>
  </si>
  <si>
    <t>VASKA 654</t>
  </si>
  <si>
    <t>VASKA 659</t>
  </si>
  <si>
    <t>VASKA 145</t>
  </si>
  <si>
    <t>2015-03-26</t>
  </si>
  <si>
    <t>VASKA 668</t>
  </si>
  <si>
    <t>2015-04-08</t>
  </si>
  <si>
    <t>VASKA 126</t>
  </si>
  <si>
    <t>2013-11-21</t>
  </si>
  <si>
    <t>1934-08-22</t>
  </si>
  <si>
    <t>VASKA 129</t>
  </si>
  <si>
    <t>2013-12-20</t>
  </si>
  <si>
    <t>1970-05-10</t>
  </si>
  <si>
    <t>VASKA 124</t>
  </si>
  <si>
    <t>1938-07-04</t>
  </si>
  <si>
    <t>UMU008</t>
  </si>
  <si>
    <t>UMU60</t>
  </si>
  <si>
    <t>UMU63</t>
  </si>
  <si>
    <t>UMU76</t>
  </si>
  <si>
    <t>UMU81</t>
  </si>
  <si>
    <t>Ö11</t>
  </si>
  <si>
    <t>2015-12-01</t>
  </si>
  <si>
    <t>1963-10-13</t>
  </si>
  <si>
    <t>Ö21</t>
  </si>
  <si>
    <t>2015-12-07</t>
  </si>
  <si>
    <t>1960-01-28</t>
  </si>
  <si>
    <t>Ö3</t>
  </si>
  <si>
    <t>2015-11-25</t>
  </si>
  <si>
    <t>1949-04-23</t>
  </si>
  <si>
    <t>Ö30</t>
  </si>
  <si>
    <t>2015-12-15</t>
  </si>
  <si>
    <t>1957-09-06</t>
  </si>
  <si>
    <t>Ö31</t>
  </si>
  <si>
    <t>1952-12-09</t>
  </si>
  <si>
    <t>Ö39</t>
  </si>
  <si>
    <t>2018-11-08</t>
  </si>
  <si>
    <t>Sex (1=male, 0=female, )</t>
  </si>
  <si>
    <t>VASKA089_!</t>
  </si>
  <si>
    <t>VASKA122_1</t>
  </si>
  <si>
    <t>VASKA 089_2</t>
  </si>
  <si>
    <t>VASKA 122_2</t>
  </si>
  <si>
    <t>Disease controls</t>
  </si>
  <si>
    <t>RA898</t>
  </si>
  <si>
    <t>RA914</t>
  </si>
  <si>
    <t>RA924</t>
  </si>
  <si>
    <t>RA1009</t>
  </si>
  <si>
    <t>RA1080</t>
  </si>
  <si>
    <t>RA1239</t>
  </si>
  <si>
    <t>RA1321</t>
  </si>
  <si>
    <t>RA1369</t>
  </si>
  <si>
    <t>RA1523</t>
  </si>
  <si>
    <t>RA1534</t>
  </si>
  <si>
    <t>RA1541</t>
  </si>
  <si>
    <t>RA1622</t>
  </si>
  <si>
    <t>RA1767</t>
  </si>
  <si>
    <t>RA1788</t>
  </si>
  <si>
    <t>RA1865</t>
  </si>
  <si>
    <t>RA1913</t>
  </si>
  <si>
    <t>RA2045</t>
  </si>
  <si>
    <t>RA2058</t>
  </si>
  <si>
    <t>RA2078</t>
  </si>
  <si>
    <t>RA2137</t>
  </si>
  <si>
    <t>RA2143</t>
  </si>
  <si>
    <t>RA2201</t>
  </si>
  <si>
    <t>RA2273</t>
  </si>
  <si>
    <t>RA2307</t>
  </si>
  <si>
    <t>RA2330</t>
  </si>
  <si>
    <t>RA2357</t>
  </si>
  <si>
    <t>RA2407</t>
  </si>
  <si>
    <t>RA2532</t>
  </si>
  <si>
    <t>RA2626</t>
  </si>
  <si>
    <t>RA2690</t>
  </si>
  <si>
    <t>RA2711</t>
  </si>
  <si>
    <t>Disease</t>
  </si>
  <si>
    <t>RA</t>
  </si>
  <si>
    <t>UMU78</t>
  </si>
  <si>
    <t>SLE 0435</t>
  </si>
  <si>
    <t>SLE 0446</t>
  </si>
  <si>
    <t>SLE 0952</t>
  </si>
  <si>
    <t>SLE 0959</t>
  </si>
  <si>
    <t>SLE 1306</t>
  </si>
  <si>
    <t>IgA 1180</t>
  </si>
  <si>
    <t>SLE 1494</t>
  </si>
  <si>
    <t>IgA 1288</t>
  </si>
  <si>
    <t>SLE 1510</t>
  </si>
  <si>
    <t>SLE 1519</t>
  </si>
  <si>
    <t>IgA 1563</t>
  </si>
  <si>
    <t>IgA 1624</t>
  </si>
  <si>
    <t>IgA 1646</t>
  </si>
  <si>
    <t>IgA 2156</t>
  </si>
  <si>
    <t>IgA 677</t>
  </si>
  <si>
    <t>Note! LU1068 and LU1082 are duplicates! Only Olink values from one of them should be used!</t>
  </si>
  <si>
    <t>IgA nephritis</t>
  </si>
  <si>
    <t>SLE nephritis</t>
  </si>
  <si>
    <t>BCU1203</t>
  </si>
  <si>
    <t>BCU1102</t>
  </si>
  <si>
    <t>BCU2199</t>
  </si>
  <si>
    <t>BCU2417</t>
  </si>
  <si>
    <t>BCU2207</t>
  </si>
  <si>
    <t>BCU2512</t>
  </si>
  <si>
    <t>BCU1743</t>
  </si>
  <si>
    <t>BCU1982</t>
  </si>
  <si>
    <t>BCU2216</t>
  </si>
  <si>
    <t>BCU1195</t>
  </si>
  <si>
    <t>BCU2273</t>
  </si>
  <si>
    <t>BCU1225</t>
  </si>
  <si>
    <t>BCU2254</t>
  </si>
  <si>
    <t>BCU2322</t>
  </si>
  <si>
    <t>BCU2421</t>
  </si>
  <si>
    <t>BCU2307</t>
  </si>
  <si>
    <t>BCU1161</t>
  </si>
  <si>
    <t>BCU2203</t>
  </si>
  <si>
    <t>BCU2205</t>
  </si>
  <si>
    <t>BCU2206</t>
  </si>
  <si>
    <t>BCU1068</t>
  </si>
  <si>
    <t>BCU2174</t>
  </si>
  <si>
    <t>BCU2371</t>
  </si>
  <si>
    <t>BCU2314</t>
  </si>
  <si>
    <t>BCU2185</t>
  </si>
  <si>
    <t>BCU2197</t>
  </si>
  <si>
    <t>BCU2416</t>
  </si>
  <si>
    <t>BCU2159</t>
  </si>
  <si>
    <t>BCU2347</t>
  </si>
  <si>
    <t>BCU2251</t>
  </si>
  <si>
    <t>BCU1132</t>
  </si>
  <si>
    <t>BCU2219</t>
  </si>
  <si>
    <t>BCU2524</t>
  </si>
  <si>
    <t>BCU2032</t>
  </si>
  <si>
    <t>BCU2304</t>
  </si>
  <si>
    <t>BCU2459</t>
  </si>
  <si>
    <t>BCU1212</t>
  </si>
  <si>
    <t>BCU2345</t>
  </si>
  <si>
    <t>BCU2226</t>
  </si>
  <si>
    <t>BCU2488</t>
  </si>
  <si>
    <t>BCU2522</t>
  </si>
  <si>
    <t>BCU2429</t>
  </si>
  <si>
    <t>BCU1152</t>
  </si>
  <si>
    <t>BCU2209</t>
  </si>
  <si>
    <t>BCU2218</t>
  </si>
  <si>
    <t>BCU2255</t>
  </si>
  <si>
    <t>BCU2235</t>
  </si>
  <si>
    <t>BCU2264</t>
  </si>
  <si>
    <t>BCU2336</t>
  </si>
  <si>
    <t>BCU2378</t>
  </si>
  <si>
    <t>BCU2486</t>
  </si>
  <si>
    <t>BCU2215</t>
  </si>
  <si>
    <t>BCU2301</t>
  </si>
  <si>
    <t>BCU2409</t>
  </si>
  <si>
    <t>Year of birth</t>
  </si>
  <si>
    <t>Year of sampling</t>
  </si>
  <si>
    <t>UPP81</t>
  </si>
  <si>
    <t>UPP82</t>
  </si>
  <si>
    <t>LIN 82</t>
  </si>
  <si>
    <t>LIN 2</t>
  </si>
  <si>
    <t>LIN 22</t>
  </si>
  <si>
    <t>LIN 139</t>
  </si>
  <si>
    <t>SLE_121/a</t>
  </si>
  <si>
    <t>SLE_119/a</t>
  </si>
  <si>
    <t>SLE_156/a</t>
  </si>
  <si>
    <t>SLE_9/a</t>
  </si>
  <si>
    <t>SLE_138/a</t>
  </si>
  <si>
    <t>SLE_141/a</t>
  </si>
  <si>
    <t>SLE_148/a</t>
  </si>
  <si>
    <t>2005 10 13</t>
  </si>
  <si>
    <t>2005 09 01</t>
  </si>
  <si>
    <t>2007 02 13</t>
  </si>
  <si>
    <t>2005 05 31</t>
  </si>
  <si>
    <t>2006 01 03</t>
  </si>
  <si>
    <t>2006 02 23</t>
  </si>
  <si>
    <t>2006 08 11</t>
  </si>
  <si>
    <t>SLE</t>
  </si>
  <si>
    <t>VASKA 648_1</t>
  </si>
  <si>
    <t>VASKA648_2</t>
  </si>
  <si>
    <t>VASKA114_2</t>
  </si>
  <si>
    <t>VASKA 114_1</t>
  </si>
  <si>
    <t>CRP</t>
  </si>
  <si>
    <t>SR</t>
  </si>
  <si>
    <t>MISSING SAMPLE</t>
  </si>
  <si>
    <t>Missing sample?</t>
  </si>
  <si>
    <t>Cortisone: Yes=1, no=0</t>
  </si>
  <si>
    <t>NA</t>
  </si>
  <si>
    <t>FAILED QC</t>
  </si>
  <si>
    <t>ESR</t>
  </si>
  <si>
    <t>DAS28 (RA), SLEDAI (SLE)</t>
  </si>
  <si>
    <t>CKD-EPI</t>
  </si>
  <si>
    <t>CKD_EPI</t>
  </si>
  <si>
    <t>creatinine umol/l</t>
  </si>
  <si>
    <t>CKD-EPI real crea/from table</t>
  </si>
  <si>
    <t>creatinine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</si>
</sst>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yyyy/mm/dd;@"/>
    <numFmt numFmtId="166" formatCode="yyyy\-mm\-dd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1" xfId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4" fontId="0" fillId="0" borderId="0" xfId="0" applyNumberFormat="1" applyFill="1" applyBorder="1" applyAlignment="1">
      <alignment horizontal="left"/>
    </xf>
    <xf numFmtId="14" fontId="0" fillId="0" borderId="0" xfId="0" applyNumberFormat="1" applyBorder="1" applyAlignment="1">
      <alignment horizontal="left" vertical="top"/>
    </xf>
    <xf numFmtId="14" fontId="0" fillId="0" borderId="0" xfId="0" applyNumberFormat="1" applyBorder="1"/>
    <xf numFmtId="165" fontId="5" fillId="0" borderId="0" xfId="2" applyNumberFormat="1" applyFont="1" applyFill="1" applyBorder="1" applyAlignment="1" applyProtection="1">
      <alignment vertical="center"/>
    </xf>
    <xf numFmtId="165" fontId="0" fillId="0" borderId="0" xfId="0" applyNumberFormat="1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top"/>
    </xf>
    <xf numFmtId="0" fontId="1" fillId="0" borderId="0" xfId="0" applyFont="1"/>
    <xf numFmtId="1" fontId="0" fillId="0" borderId="0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5" fillId="0" borderId="0" xfId="2" applyFont="1" applyFill="1" applyBorder="1" applyAlignment="1" applyProtection="1">
      <alignment vertical="center"/>
    </xf>
    <xf numFmtId="14" fontId="5" fillId="0" borderId="0" xfId="2" applyNumberFormat="1" applyFont="1" applyFill="1" applyBorder="1" applyAlignment="1" applyProtection="1">
      <alignment vertical="center"/>
    </xf>
    <xf numFmtId="165" fontId="4" fillId="0" borderId="0" xfId="0" applyNumberFormat="1" applyFont="1" applyFill="1" applyBorder="1" applyAlignment="1">
      <alignment vertical="center" wrapText="1"/>
    </xf>
    <xf numFmtId="0" fontId="1" fillId="0" borderId="0" xfId="0" applyFont="1" applyBorder="1"/>
    <xf numFmtId="14" fontId="7" fillId="0" borderId="0" xfId="2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/>
    <xf numFmtId="49" fontId="0" fillId="0" borderId="0" xfId="0" applyNumberFormat="1" applyBorder="1" applyAlignment="1">
      <alignment vertical="top"/>
    </xf>
    <xf numFmtId="49" fontId="0" fillId="0" borderId="0" xfId="0" applyNumberFormat="1" applyBorder="1" applyAlignment="1">
      <alignment horizontal="left" vertical="top"/>
    </xf>
    <xf numFmtId="0" fontId="6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0" fillId="0" borderId="5" xfId="0" applyFill="1" applyBorder="1"/>
    <xf numFmtId="49" fontId="2" fillId="0" borderId="1" xfId="0" applyNumberFormat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4" fillId="0" borderId="6" xfId="1" applyBorder="1" applyAlignment="1">
      <alignment horizontal="center"/>
    </xf>
    <xf numFmtId="165" fontId="0" fillId="0" borderId="7" xfId="0" applyNumberFormat="1" applyFont="1" applyFill="1" applyBorder="1" applyAlignment="1">
      <alignment vertical="center" wrapText="1"/>
    </xf>
    <xf numFmtId="14" fontId="0" fillId="0" borderId="7" xfId="0" applyNumberFormat="1" applyBorder="1"/>
    <xf numFmtId="0" fontId="0" fillId="0" borderId="7" xfId="0" applyBorder="1"/>
    <xf numFmtId="0" fontId="5" fillId="0" borderId="7" xfId="2" applyFont="1" applyFill="1" applyBorder="1" applyAlignment="1" applyProtection="1">
      <alignment vertical="center"/>
    </xf>
    <xf numFmtId="0" fontId="0" fillId="0" borderId="8" xfId="0" applyBorder="1"/>
    <xf numFmtId="0" fontId="1" fillId="0" borderId="4" xfId="0" applyFon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0" fontId="1" fillId="2" borderId="0" xfId="0" applyFont="1" applyFill="1" applyBorder="1"/>
    <xf numFmtId="0" fontId="1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0" fontId="1" fillId="0" borderId="1" xfId="0" applyFont="1" applyFill="1" applyBorder="1"/>
    <xf numFmtId="0" fontId="5" fillId="0" borderId="1" xfId="2" applyFont="1" applyFill="1" applyBorder="1" applyAlignment="1" applyProtection="1">
      <alignment vertical="center"/>
    </xf>
    <xf numFmtId="0" fontId="0" fillId="0" borderId="1" xfId="0" applyNumberFormat="1" applyFont="1" applyFill="1" applyBorder="1"/>
    <xf numFmtId="14" fontId="0" fillId="0" borderId="7" xfId="0" applyNumberFormat="1" applyFill="1" applyBorder="1"/>
    <xf numFmtId="0" fontId="0" fillId="0" borderId="7" xfId="0" applyFill="1" applyBorder="1"/>
    <xf numFmtId="166" fontId="0" fillId="0" borderId="0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49" fontId="0" fillId="0" borderId="6" xfId="0" applyNumberFormat="1" applyFont="1" applyFill="1" applyBorder="1" applyAlignment="1">
      <alignment vertical="top"/>
    </xf>
    <xf numFmtId="166" fontId="0" fillId="0" borderId="7" xfId="0" applyNumberFormat="1" applyFont="1" applyFill="1" applyBorder="1" applyAlignment="1">
      <alignment vertical="top"/>
    </xf>
    <xf numFmtId="0" fontId="8" fillId="0" borderId="0" xfId="2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49" fontId="0" fillId="0" borderId="0" xfId="0" applyNumberForma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0" fontId="5" fillId="0" borderId="6" xfId="2" applyFont="1" applyFill="1" applyBorder="1" applyAlignment="1" applyProtection="1">
      <alignment vertical="center"/>
    </xf>
    <xf numFmtId="165" fontId="5" fillId="0" borderId="7" xfId="2" applyNumberFormat="1" applyFont="1" applyFill="1" applyBorder="1" applyAlignment="1" applyProtection="1">
      <alignment vertical="center"/>
    </xf>
    <xf numFmtId="0" fontId="0" fillId="0" borderId="6" xfId="0" applyFill="1" applyBorder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9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1" fillId="0" borderId="3" xfId="0" applyFont="1" applyFill="1" applyBorder="1"/>
    <xf numFmtId="0" fontId="0" fillId="0" borderId="7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Fill="1" applyBorder="1" applyAlignment="1" applyProtection="1">
      <alignment horizontal="center"/>
    </xf>
    <xf numFmtId="0" fontId="9" fillId="0" borderId="7" xfId="0" applyNumberFormat="1" applyFont="1" applyFill="1" applyBorder="1" applyAlignment="1" applyProtection="1">
      <alignment horizontal="center"/>
    </xf>
    <xf numFmtId="0" fontId="0" fillId="0" borderId="7" xfId="0" applyBorder="1" applyAlignment="1">
      <alignment horizontal="center"/>
    </xf>
    <xf numFmtId="14" fontId="5" fillId="0" borderId="7" xfId="2" applyNumberFormat="1" applyFont="1" applyFill="1" applyBorder="1" applyAlignment="1" applyProtection="1">
      <alignment vertical="center"/>
    </xf>
    <xf numFmtId="1" fontId="0" fillId="0" borderId="0" xfId="0" applyNumberFormat="1" applyFill="1" applyBorder="1" applyAlignment="1">
      <alignment vertical="top"/>
    </xf>
    <xf numFmtId="2" fontId="1" fillId="0" borderId="3" xfId="0" applyNumberFormat="1" applyFont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14" fontId="0" fillId="0" borderId="0" xfId="0" applyNumberFormat="1" applyFill="1" applyBorder="1" applyAlignment="1">
      <alignment vertical="top"/>
    </xf>
    <xf numFmtId="49" fontId="0" fillId="0" borderId="0" xfId="0" applyNumberFormat="1" applyFont="1" applyFill="1" applyBorder="1" applyAlignment="1">
      <alignment vertical="top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1" xfId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6" fillId="0" borderId="0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6" xfId="0" applyFont="1" applyFill="1" applyBorder="1"/>
    <xf numFmtId="14" fontId="0" fillId="0" borderId="7" xfId="0" applyNumberFormat="1" applyFill="1" applyBorder="1" applyAlignment="1">
      <alignment horizontal="left" vertical="top"/>
    </xf>
    <xf numFmtId="0" fontId="0" fillId="0" borderId="7" xfId="0" applyNumberFormat="1" applyFill="1" applyBorder="1" applyAlignment="1">
      <alignment horizontal="left" vertical="top"/>
    </xf>
    <xf numFmtId="49" fontId="0" fillId="0" borderId="7" xfId="0" applyNumberFormat="1" applyFont="1" applyFill="1" applyBorder="1" applyAlignment="1">
      <alignment vertical="top"/>
    </xf>
    <xf numFmtId="0" fontId="1" fillId="2" borderId="5" xfId="0" applyFont="1" applyFill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</cellXfs>
  <cellStyles count="3">
    <cellStyle name="Normal" xfId="0" builtinId="0"/>
    <cellStyle name="Normal 2" xfId="1" xr:uid="{5E8BB0FD-360C-2F46-B454-8A45DEB5C213}"/>
    <cellStyle name="Normal_Sheet1" xfId="2" xr:uid="{B92D3A8D-C70B-344C-A9EC-D6E8FAF4B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9458-75C5-F149-A8AF-E4B6C91B401E}">
  <dimension ref="A1:AS141"/>
  <sheetViews>
    <sheetView topLeftCell="AD1" workbookViewId="0">
      <pane ySplit="3" topLeftCell="A4" activePane="bottomLeft" state="frozen"/>
      <selection pane="bottomLeft" activeCell="AF3" sqref="AF3"/>
    </sheetView>
  </sheetViews>
  <sheetFormatPr baseColWidth="10" defaultRowHeight="16" x14ac:dyDescent="0.2"/>
  <cols>
    <col min="1" max="1" width="14.1640625" style="2" customWidth="1"/>
    <col min="2" max="4" width="10.83203125" style="2"/>
    <col min="5" max="5" width="7.6640625" style="2" customWidth="1"/>
    <col min="6" max="6" width="8.6640625" style="2" customWidth="1"/>
    <col min="7" max="8" width="10.83203125" style="2"/>
    <col min="9" max="9" width="8" style="65" customWidth="1"/>
    <col min="10" max="10" width="6.6640625" style="65" customWidth="1"/>
    <col min="11" max="12" width="8.1640625" style="65" customWidth="1"/>
    <col min="13" max="13" width="13.5" style="65" customWidth="1"/>
    <col min="14" max="14" width="13.5" style="3" customWidth="1"/>
    <col min="15" max="15" width="10.83203125" style="2"/>
    <col min="16" max="16" width="17.5" style="2" customWidth="1"/>
    <col min="17" max="17" width="10.83203125" style="2"/>
    <col min="18" max="18" width="19.83203125" style="65" customWidth="1"/>
    <col min="19" max="19" width="10.5" style="2" customWidth="1"/>
    <col min="20" max="20" width="6.1640625" style="2" customWidth="1"/>
    <col min="21" max="21" width="10.83203125" style="2"/>
    <col min="22" max="22" width="24" style="2" customWidth="1"/>
    <col min="23" max="23" width="10.83203125" style="2"/>
    <col min="24" max="24" width="13.6640625" style="2" customWidth="1"/>
    <col min="25" max="25" width="17.33203125" style="2" customWidth="1"/>
    <col min="26" max="26" width="10.83203125" style="2"/>
    <col min="27" max="27" width="12" style="48" customWidth="1"/>
    <col min="28" max="28" width="7.6640625" style="2" customWidth="1"/>
    <col min="29" max="29" width="10" style="2" customWidth="1"/>
    <col min="30" max="30" width="8" style="2" customWidth="1"/>
    <col min="31" max="31" width="7.83203125" style="2" customWidth="1"/>
    <col min="32" max="35" width="10.83203125" style="2"/>
    <col min="36" max="36" width="16.83203125" style="2" customWidth="1"/>
    <col min="37" max="37" width="8.1640625" style="2" customWidth="1"/>
    <col min="38" max="38" width="6.1640625" style="2" customWidth="1"/>
    <col min="39" max="39" width="7" style="2" customWidth="1"/>
    <col min="40" max="44" width="10.83203125" style="2"/>
    <col min="45" max="45" width="14.6640625" style="2" customWidth="1"/>
    <col min="46" max="16384" width="10.83203125" style="2"/>
  </cols>
  <sheetData>
    <row r="1" spans="1:45" ht="21" x14ac:dyDescent="0.25">
      <c r="A1" s="116" t="s">
        <v>0</v>
      </c>
      <c r="B1" s="1"/>
      <c r="Z1" s="52" t="s">
        <v>287</v>
      </c>
      <c r="AA1" s="104"/>
      <c r="AB1" s="52"/>
      <c r="AC1" s="1"/>
    </row>
    <row r="2" spans="1:45" s="22" customFormat="1" ht="21" x14ac:dyDescent="0.25">
      <c r="A2" s="28" t="s">
        <v>1</v>
      </c>
      <c r="B2" s="29"/>
      <c r="C2" s="29"/>
      <c r="D2" s="29"/>
      <c r="E2" s="29"/>
      <c r="F2" s="29"/>
      <c r="G2" s="129" t="s">
        <v>8</v>
      </c>
      <c r="H2" s="130"/>
      <c r="I2" s="117"/>
      <c r="J2" s="117"/>
      <c r="K2" s="117"/>
      <c r="L2" s="117"/>
      <c r="M2" s="131" t="s">
        <v>375</v>
      </c>
      <c r="N2" s="89"/>
      <c r="O2" s="28" t="s">
        <v>119</v>
      </c>
      <c r="P2" s="29"/>
      <c r="Q2" s="29"/>
      <c r="R2" s="125"/>
      <c r="S2" s="29"/>
      <c r="T2" s="29"/>
      <c r="U2" s="29"/>
      <c r="V2" s="46"/>
      <c r="X2" s="28" t="s">
        <v>173</v>
      </c>
      <c r="Y2" s="29"/>
      <c r="Z2" s="29"/>
      <c r="AA2" s="102"/>
      <c r="AB2" s="29"/>
      <c r="AC2" s="29"/>
      <c r="AD2" s="129" t="s">
        <v>8</v>
      </c>
      <c r="AE2" s="130"/>
      <c r="AF2" s="29"/>
      <c r="AG2" s="46"/>
      <c r="AI2" s="28" t="s">
        <v>237</v>
      </c>
      <c r="AJ2" s="29"/>
      <c r="AK2" s="29"/>
      <c r="AL2" s="29"/>
      <c r="AM2" s="29"/>
      <c r="AN2" s="29"/>
      <c r="AO2" s="124"/>
      <c r="AP2" s="124"/>
      <c r="AQ2" s="124"/>
      <c r="AR2" s="124"/>
      <c r="AS2" s="131" t="s">
        <v>379</v>
      </c>
    </row>
    <row r="3" spans="1:45" s="22" customFormat="1" x14ac:dyDescent="0.2">
      <c r="A3" s="30" t="s">
        <v>2</v>
      </c>
      <c r="B3" s="22" t="s">
        <v>3</v>
      </c>
      <c r="C3" s="22" t="s">
        <v>4</v>
      </c>
      <c r="D3" s="22" t="s">
        <v>5</v>
      </c>
      <c r="E3" s="52" t="s">
        <v>232</v>
      </c>
      <c r="F3" s="22" t="s">
        <v>90</v>
      </c>
      <c r="G3" s="22" t="s">
        <v>6</v>
      </c>
      <c r="H3" s="22" t="s">
        <v>7</v>
      </c>
      <c r="I3" s="118" t="s">
        <v>371</v>
      </c>
      <c r="J3" s="118" t="s">
        <v>372</v>
      </c>
      <c r="K3" s="118" t="s">
        <v>384</v>
      </c>
      <c r="L3" s="118" t="s">
        <v>381</v>
      </c>
      <c r="M3" s="132"/>
      <c r="N3" s="89"/>
      <c r="O3" s="30" t="s">
        <v>2</v>
      </c>
      <c r="P3" s="22" t="s">
        <v>3</v>
      </c>
      <c r="Q3" s="52" t="s">
        <v>5</v>
      </c>
      <c r="R3" s="126" t="s">
        <v>232</v>
      </c>
      <c r="S3" s="22" t="s">
        <v>170</v>
      </c>
      <c r="T3" s="22" t="s">
        <v>171</v>
      </c>
      <c r="U3" s="2" t="s">
        <v>382</v>
      </c>
      <c r="V3" s="135" t="s">
        <v>383</v>
      </c>
      <c r="X3" s="54" t="s">
        <v>2</v>
      </c>
      <c r="Y3" s="52" t="s">
        <v>3</v>
      </c>
      <c r="Z3" s="52" t="s">
        <v>4</v>
      </c>
      <c r="AA3" s="103" t="s">
        <v>5</v>
      </c>
      <c r="AB3" s="52" t="s">
        <v>232</v>
      </c>
      <c r="AC3" s="52" t="s">
        <v>90</v>
      </c>
      <c r="AD3" s="52" t="s">
        <v>6</v>
      </c>
      <c r="AE3" s="52" t="s">
        <v>7</v>
      </c>
      <c r="AF3" s="126" t="s">
        <v>384</v>
      </c>
      <c r="AG3" s="123" t="s">
        <v>380</v>
      </c>
      <c r="AI3" s="54" t="s">
        <v>2</v>
      </c>
      <c r="AJ3" s="52" t="s">
        <v>3</v>
      </c>
      <c r="AK3" s="52" t="s">
        <v>4</v>
      </c>
      <c r="AL3" s="52" t="s">
        <v>5</v>
      </c>
      <c r="AM3" s="52" t="s">
        <v>232</v>
      </c>
      <c r="AN3" s="22" t="s">
        <v>269</v>
      </c>
      <c r="AO3" s="51" t="s">
        <v>371</v>
      </c>
      <c r="AP3" s="51" t="s">
        <v>378</v>
      </c>
      <c r="AQ3" s="118" t="s">
        <v>384</v>
      </c>
      <c r="AR3" s="51" t="s">
        <v>380</v>
      </c>
      <c r="AS3" s="132"/>
    </row>
    <row r="4" spans="1:45" x14ac:dyDescent="0.2">
      <c r="A4" s="31" t="s">
        <v>44</v>
      </c>
      <c r="B4" s="15" t="s">
        <v>81</v>
      </c>
      <c r="C4" s="6" t="s">
        <v>82</v>
      </c>
      <c r="D4" s="2">
        <v>21.687671232876713</v>
      </c>
      <c r="E4" s="2">
        <v>0</v>
      </c>
      <c r="F4" s="1">
        <v>0</v>
      </c>
      <c r="G4" s="1"/>
      <c r="H4" s="1">
        <v>1</v>
      </c>
      <c r="I4" s="65">
        <v>37</v>
      </c>
      <c r="J4" s="65">
        <v>27</v>
      </c>
      <c r="K4" s="65">
        <v>49</v>
      </c>
      <c r="L4" s="2">
        <f>144*((K4/61.9)^-0.329)*(0.993^D4)</f>
        <v>133.53358527915631</v>
      </c>
      <c r="M4" s="108">
        <v>1</v>
      </c>
      <c r="N4" s="88"/>
      <c r="O4" s="31">
        <v>1900073326</v>
      </c>
      <c r="P4" s="2">
        <v>19900405</v>
      </c>
      <c r="Q4" s="2">
        <v>25.22</v>
      </c>
      <c r="R4" s="2">
        <v>0</v>
      </c>
      <c r="S4" s="2" t="s">
        <v>147</v>
      </c>
      <c r="T4" s="2">
        <v>40</v>
      </c>
      <c r="U4" s="2">
        <v>50</v>
      </c>
      <c r="V4" s="32">
        <v>129.39802008273588</v>
      </c>
      <c r="X4" s="33" t="s">
        <v>182</v>
      </c>
      <c r="Y4" s="5">
        <v>40527</v>
      </c>
      <c r="Z4" s="1">
        <v>1987</v>
      </c>
      <c r="AA4" s="104">
        <f>2010-Z4</f>
        <v>23</v>
      </c>
      <c r="AB4" s="1">
        <v>0</v>
      </c>
      <c r="AC4" s="1">
        <v>1</v>
      </c>
      <c r="AD4" s="1"/>
      <c r="AE4" s="1">
        <v>1</v>
      </c>
      <c r="AF4" s="2">
        <v>54</v>
      </c>
      <c r="AG4" s="32">
        <f>144*((AF4/61.9)^-0.329)*(0.993^AA4)</f>
        <v>128.14565463715408</v>
      </c>
      <c r="AI4" s="31" t="s">
        <v>238</v>
      </c>
      <c r="AJ4" s="2">
        <v>20011122</v>
      </c>
      <c r="AL4" s="1">
        <v>38</v>
      </c>
      <c r="AM4" s="2">
        <v>0</v>
      </c>
      <c r="AN4" s="2" t="s">
        <v>270</v>
      </c>
      <c r="AO4" s="2">
        <v>35</v>
      </c>
      <c r="AP4" s="2">
        <v>60</v>
      </c>
      <c r="AQ4" s="2">
        <v>59</v>
      </c>
      <c r="AR4" s="2">
        <f>144*((AQ4/61.9)^-0.329)*(0.993^AL4)</f>
        <v>112.0185241756689</v>
      </c>
      <c r="AS4" s="90">
        <v>5.66</v>
      </c>
    </row>
    <row r="5" spans="1:45" x14ac:dyDescent="0.2">
      <c r="A5" s="31" t="s">
        <v>69</v>
      </c>
      <c r="B5" s="12">
        <v>41684</v>
      </c>
      <c r="C5" s="10">
        <v>23704</v>
      </c>
      <c r="D5" s="2">
        <v>49</v>
      </c>
      <c r="E5" s="2">
        <v>0</v>
      </c>
      <c r="F5" s="2">
        <v>1</v>
      </c>
      <c r="G5" s="2">
        <v>1</v>
      </c>
      <c r="I5" s="65">
        <v>38</v>
      </c>
      <c r="J5" s="65">
        <v>30</v>
      </c>
      <c r="K5" s="65">
        <v>49</v>
      </c>
      <c r="L5" s="2">
        <f t="shared" ref="L5:L9" si="0">144*((K5/61.9)^-0.329)*(0.993^D5)</f>
        <v>110.22177017490867</v>
      </c>
      <c r="M5" s="109">
        <v>0</v>
      </c>
      <c r="N5" s="88"/>
      <c r="O5" s="31">
        <v>1900073284</v>
      </c>
      <c r="P5" s="2">
        <v>19990505</v>
      </c>
      <c r="Q5" s="2">
        <v>78.430000000000007</v>
      </c>
      <c r="R5" s="2">
        <v>0</v>
      </c>
      <c r="S5" s="2" t="s">
        <v>160</v>
      </c>
      <c r="T5" s="2">
        <v>58</v>
      </c>
      <c r="U5" s="2">
        <v>39</v>
      </c>
      <c r="V5" s="32">
        <v>96.626893936568649</v>
      </c>
      <c r="X5" s="56" t="s">
        <v>228</v>
      </c>
      <c r="Y5" s="5" t="s">
        <v>226</v>
      </c>
      <c r="Z5" s="5" t="s">
        <v>229</v>
      </c>
      <c r="AA5" s="104">
        <f>(Y5-Z5)/365</f>
        <v>63.057534246575344</v>
      </c>
      <c r="AB5" s="1">
        <v>0</v>
      </c>
      <c r="AC5" s="1">
        <v>1</v>
      </c>
      <c r="AD5" s="1"/>
      <c r="AE5" s="1">
        <v>1</v>
      </c>
      <c r="AF5" s="2">
        <v>52</v>
      </c>
      <c r="AG5" s="32">
        <f t="shared" ref="AG5" si="1">144*((AF5/61.9)^-0.329)*(0.993^AA5)</f>
        <v>97.924361410866084</v>
      </c>
      <c r="AI5" s="31" t="s">
        <v>253</v>
      </c>
      <c r="AJ5" s="2">
        <v>20080428</v>
      </c>
      <c r="AL5" s="1">
        <v>57</v>
      </c>
      <c r="AM5" s="2">
        <v>0</v>
      </c>
      <c r="AN5" s="2" t="s">
        <v>270</v>
      </c>
      <c r="AO5" s="2">
        <v>23</v>
      </c>
      <c r="AP5" s="2">
        <v>85</v>
      </c>
      <c r="AQ5" s="2">
        <v>37</v>
      </c>
      <c r="AR5" s="2">
        <f t="shared" ref="AR5:AR15" si="2">144*((AQ5/61.9)^-0.329)*(0.993^AL5)</f>
        <v>114.28717891391656</v>
      </c>
      <c r="AS5" s="90">
        <v>6.3</v>
      </c>
    </row>
    <row r="6" spans="1:45" x14ac:dyDescent="0.2">
      <c r="A6" s="35" t="s">
        <v>28</v>
      </c>
      <c r="B6" s="15" t="s">
        <v>74</v>
      </c>
      <c r="C6" s="6">
        <v>27277</v>
      </c>
      <c r="D6" s="2">
        <v>36</v>
      </c>
      <c r="E6" s="2">
        <v>0</v>
      </c>
      <c r="F6" s="13">
        <v>1</v>
      </c>
      <c r="G6" s="1">
        <v>1</v>
      </c>
      <c r="H6" s="1"/>
      <c r="I6" s="65">
        <v>37</v>
      </c>
      <c r="J6" s="65">
        <v>80</v>
      </c>
      <c r="K6" s="65">
        <v>54</v>
      </c>
      <c r="L6" s="2">
        <f t="shared" si="0"/>
        <v>116.96181916815721</v>
      </c>
      <c r="M6" s="108">
        <v>1</v>
      </c>
      <c r="N6" s="88"/>
      <c r="O6" s="31">
        <v>1900073231</v>
      </c>
      <c r="P6" s="2">
        <v>20040202</v>
      </c>
      <c r="Q6" s="2">
        <v>54.54</v>
      </c>
      <c r="R6" s="2">
        <v>0</v>
      </c>
      <c r="S6" s="2" t="s">
        <v>165</v>
      </c>
      <c r="T6" s="2">
        <v>64</v>
      </c>
      <c r="U6" s="2">
        <v>45</v>
      </c>
      <c r="V6" s="32">
        <v>109.0269370827958</v>
      </c>
      <c r="X6" s="56" t="s">
        <v>214</v>
      </c>
      <c r="Y6" s="1">
        <v>20170130</v>
      </c>
      <c r="Z6" s="1">
        <v>910123</v>
      </c>
      <c r="AA6" s="104">
        <f>2017-1991</f>
        <v>26</v>
      </c>
      <c r="AB6" s="1">
        <v>0</v>
      </c>
      <c r="AC6" s="1">
        <v>1</v>
      </c>
      <c r="AD6" s="1">
        <v>1</v>
      </c>
      <c r="AE6" s="1"/>
      <c r="AF6" s="1">
        <v>62</v>
      </c>
      <c r="AG6" s="32">
        <f>144*((AF6/61.9)^-1.209)*(0.993^AA6)</f>
        <v>119.72790824088879</v>
      </c>
      <c r="AI6" s="31" t="s">
        <v>265</v>
      </c>
      <c r="AJ6" s="2">
        <v>20111027</v>
      </c>
      <c r="AL6" s="1">
        <v>66</v>
      </c>
      <c r="AM6" s="2">
        <v>0</v>
      </c>
      <c r="AN6" s="2" t="s">
        <v>270</v>
      </c>
      <c r="AO6" s="2">
        <v>51</v>
      </c>
      <c r="AP6" s="2">
        <v>80</v>
      </c>
      <c r="AQ6" s="2">
        <v>38</v>
      </c>
      <c r="AR6" s="2">
        <f t="shared" si="2"/>
        <v>106.34824148094999</v>
      </c>
      <c r="AS6" s="32">
        <v>6.66</v>
      </c>
    </row>
    <row r="7" spans="1:45" x14ac:dyDescent="0.2">
      <c r="A7" s="37" t="s">
        <v>41</v>
      </c>
      <c r="B7" s="27" t="s">
        <v>80</v>
      </c>
      <c r="C7" s="9">
        <v>17195</v>
      </c>
      <c r="D7" s="2">
        <v>66.66392881587953</v>
      </c>
      <c r="E7" s="2">
        <v>0</v>
      </c>
      <c r="F7" s="13">
        <v>1</v>
      </c>
      <c r="G7" s="1">
        <v>1</v>
      </c>
      <c r="H7" s="1"/>
      <c r="I7" s="65">
        <v>133</v>
      </c>
      <c r="J7" s="65">
        <v>85</v>
      </c>
      <c r="K7" s="65">
        <v>57</v>
      </c>
      <c r="L7" s="2">
        <f t="shared" si="0"/>
        <v>92.634083053089441</v>
      </c>
      <c r="M7" s="108">
        <v>0</v>
      </c>
      <c r="N7" s="88"/>
      <c r="O7" s="31">
        <v>1900073421</v>
      </c>
      <c r="P7" s="2">
        <v>20040325</v>
      </c>
      <c r="Q7" s="2">
        <v>61.05</v>
      </c>
      <c r="R7" s="2">
        <v>0</v>
      </c>
      <c r="S7" s="2" t="s">
        <v>127</v>
      </c>
      <c r="T7" s="2">
        <v>9</v>
      </c>
      <c r="U7" s="2">
        <v>45</v>
      </c>
      <c r="V7" s="32">
        <v>104.15339221564837</v>
      </c>
      <c r="X7" s="56" t="s">
        <v>230</v>
      </c>
      <c r="Y7" s="5" t="s">
        <v>231</v>
      </c>
      <c r="Z7" s="1">
        <v>1945</v>
      </c>
      <c r="AA7" s="104">
        <f>2018-1945</f>
        <v>73</v>
      </c>
      <c r="AB7" s="1">
        <v>0</v>
      </c>
      <c r="AC7" s="1">
        <v>1</v>
      </c>
      <c r="AD7" s="1">
        <v>1</v>
      </c>
      <c r="AE7" s="1"/>
      <c r="AF7" s="2">
        <v>62</v>
      </c>
      <c r="AG7" s="32">
        <f t="shared" ref="AG7:AG22" si="3">144*((AF7/61.9)^-1.209)*(0.993^AA7)</f>
        <v>86.061730468288189</v>
      </c>
      <c r="AI7" s="31" t="s">
        <v>250</v>
      </c>
      <c r="AJ7" s="2">
        <v>20070814</v>
      </c>
      <c r="AL7" s="1">
        <v>47</v>
      </c>
      <c r="AM7" s="2">
        <v>0</v>
      </c>
      <c r="AN7" s="2" t="s">
        <v>270</v>
      </c>
      <c r="AO7" s="2">
        <v>46</v>
      </c>
      <c r="AP7" s="2">
        <v>60</v>
      </c>
      <c r="AQ7" s="2">
        <v>41</v>
      </c>
      <c r="AR7" s="2">
        <f t="shared" si="2"/>
        <v>118.53251684766794</v>
      </c>
      <c r="AS7" s="32">
        <v>6.38</v>
      </c>
    </row>
    <row r="8" spans="1:45" x14ac:dyDescent="0.2">
      <c r="A8" s="33" t="s">
        <v>31</v>
      </c>
      <c r="B8" s="5">
        <v>41178</v>
      </c>
      <c r="C8" s="5">
        <v>29637</v>
      </c>
      <c r="D8" s="2">
        <v>31.6</v>
      </c>
      <c r="E8" s="2">
        <v>0</v>
      </c>
      <c r="F8" s="1">
        <v>1</v>
      </c>
      <c r="G8" s="1">
        <v>1</v>
      </c>
      <c r="H8" s="1"/>
      <c r="I8" s="65">
        <v>17</v>
      </c>
      <c r="J8" s="65">
        <v>37</v>
      </c>
      <c r="K8" s="65">
        <v>59</v>
      </c>
      <c r="L8" s="2">
        <f t="shared" si="0"/>
        <v>117.16952147413561</v>
      </c>
      <c r="M8" s="108">
        <v>0</v>
      </c>
      <c r="N8" s="88"/>
      <c r="O8" s="31">
        <v>1900073431</v>
      </c>
      <c r="P8" s="2">
        <v>20040226</v>
      </c>
      <c r="Q8" s="2">
        <v>74.55</v>
      </c>
      <c r="R8" s="2">
        <v>0</v>
      </c>
      <c r="S8" s="2" t="s">
        <v>120</v>
      </c>
      <c r="T8" s="2">
        <v>2</v>
      </c>
      <c r="U8" s="2">
        <v>46</v>
      </c>
      <c r="V8" s="32">
        <v>94.047631846257488</v>
      </c>
      <c r="X8" s="56" t="s">
        <v>225</v>
      </c>
      <c r="Y8" s="5" t="s">
        <v>226</v>
      </c>
      <c r="Z8" s="5" t="s">
        <v>227</v>
      </c>
      <c r="AA8" s="104">
        <f>(Y8-Z8)/365</f>
        <v>58.31232876712329</v>
      </c>
      <c r="AB8" s="1">
        <v>0</v>
      </c>
      <c r="AC8" s="1">
        <v>1</v>
      </c>
      <c r="AD8" s="1">
        <v>1</v>
      </c>
      <c r="AE8" s="1"/>
      <c r="AF8" s="2">
        <v>65</v>
      </c>
      <c r="AG8" s="32">
        <f t="shared" si="3"/>
        <v>90.117225814510689</v>
      </c>
      <c r="AI8" s="31" t="s">
        <v>249</v>
      </c>
      <c r="AJ8" s="2">
        <v>20061012</v>
      </c>
      <c r="AL8" s="1">
        <v>62</v>
      </c>
      <c r="AM8" s="2">
        <v>0</v>
      </c>
      <c r="AN8" s="2" t="s">
        <v>270</v>
      </c>
      <c r="AO8" s="2">
        <v>62</v>
      </c>
      <c r="AP8" s="2">
        <v>83</v>
      </c>
      <c r="AQ8" s="2">
        <v>49</v>
      </c>
      <c r="AR8" s="2">
        <f t="shared" si="2"/>
        <v>100.60223101668925</v>
      </c>
      <c r="AS8" s="32">
        <v>6.67</v>
      </c>
    </row>
    <row r="9" spans="1:45" x14ac:dyDescent="0.2">
      <c r="A9" s="31" t="s">
        <v>54</v>
      </c>
      <c r="B9" s="10">
        <v>41684</v>
      </c>
      <c r="C9" s="10">
        <v>17014</v>
      </c>
      <c r="D9" s="2">
        <v>67</v>
      </c>
      <c r="E9" s="2">
        <v>0</v>
      </c>
      <c r="F9" s="2">
        <v>1</v>
      </c>
      <c r="G9" s="2">
        <v>1</v>
      </c>
      <c r="I9" s="65">
        <v>77</v>
      </c>
      <c r="J9" s="65">
        <v>80</v>
      </c>
      <c r="K9" s="65">
        <v>61</v>
      </c>
      <c r="L9" s="2">
        <f t="shared" si="0"/>
        <v>90.376360707596632</v>
      </c>
      <c r="M9" s="109">
        <v>1</v>
      </c>
      <c r="N9" s="88"/>
      <c r="O9" s="31">
        <v>1900073351</v>
      </c>
      <c r="P9" s="2">
        <v>20090122</v>
      </c>
      <c r="Q9" s="2">
        <v>28.47</v>
      </c>
      <c r="R9" s="2">
        <v>0</v>
      </c>
      <c r="S9" s="2" t="s">
        <v>9</v>
      </c>
      <c r="T9" s="2">
        <v>60</v>
      </c>
      <c r="U9" s="2">
        <v>50</v>
      </c>
      <c r="V9" s="32">
        <v>126.47733000398189</v>
      </c>
      <c r="X9" s="56" t="s">
        <v>211</v>
      </c>
      <c r="Y9" s="1">
        <v>20161207</v>
      </c>
      <c r="Z9" s="1">
        <v>781223</v>
      </c>
      <c r="AA9" s="104">
        <f>2016-1978</f>
        <v>38</v>
      </c>
      <c r="AB9" s="1">
        <v>0</v>
      </c>
      <c r="AC9" s="1">
        <v>1</v>
      </c>
      <c r="AD9" s="1">
        <v>1</v>
      </c>
      <c r="AE9" s="1"/>
      <c r="AF9" s="1">
        <v>68</v>
      </c>
      <c r="AG9" s="32">
        <f t="shared" si="3"/>
        <v>98.420293116994557</v>
      </c>
      <c r="AI9" s="31" t="s">
        <v>248</v>
      </c>
      <c r="AJ9" s="2">
        <v>20060425</v>
      </c>
      <c r="AL9" s="1">
        <v>52</v>
      </c>
      <c r="AM9" s="2">
        <v>0</v>
      </c>
      <c r="AN9" s="2" t="s">
        <v>270</v>
      </c>
      <c r="AO9" s="2">
        <v>67</v>
      </c>
      <c r="AP9" s="2">
        <v>94</v>
      </c>
      <c r="AQ9" s="2">
        <v>52</v>
      </c>
      <c r="AR9" s="2">
        <f t="shared" si="2"/>
        <v>105.83383592582024</v>
      </c>
      <c r="AS9" s="32">
        <v>7.31</v>
      </c>
    </row>
    <row r="10" spans="1:45" x14ac:dyDescent="0.2">
      <c r="A10" s="31" t="s">
        <v>10</v>
      </c>
      <c r="B10" s="2">
        <v>20190814</v>
      </c>
      <c r="C10" s="2">
        <v>630323</v>
      </c>
      <c r="D10" s="2">
        <f>2019-1963</f>
        <v>56</v>
      </c>
      <c r="E10" s="2">
        <v>0</v>
      </c>
      <c r="F10" s="2">
        <v>1</v>
      </c>
      <c r="G10" s="2">
        <v>1</v>
      </c>
      <c r="I10" s="110">
        <v>39</v>
      </c>
      <c r="J10" s="110">
        <v>41</v>
      </c>
      <c r="K10" s="110">
        <v>63</v>
      </c>
      <c r="L10" s="2">
        <f>144*((K10/61.9)^-1.209)*(0.993^D10)</f>
        <v>95.119964212245833</v>
      </c>
      <c r="M10" s="108">
        <v>1</v>
      </c>
      <c r="N10" s="88"/>
      <c r="O10" s="31">
        <v>1900073332</v>
      </c>
      <c r="P10" s="2">
        <v>19900312</v>
      </c>
      <c r="Q10" s="2">
        <v>30.89</v>
      </c>
      <c r="R10" s="2">
        <v>0</v>
      </c>
      <c r="S10" s="2" t="s">
        <v>139</v>
      </c>
      <c r="T10" s="2">
        <v>27</v>
      </c>
      <c r="U10" s="2">
        <v>50</v>
      </c>
      <c r="V10" s="32">
        <v>124.34544194178426</v>
      </c>
      <c r="X10" s="33" t="s">
        <v>191</v>
      </c>
      <c r="Y10" s="5">
        <v>41765</v>
      </c>
      <c r="Z10" s="1">
        <v>1933</v>
      </c>
      <c r="AA10" s="104">
        <f>2014-Z10</f>
        <v>81</v>
      </c>
      <c r="AB10" s="1">
        <v>0</v>
      </c>
      <c r="AC10" s="1">
        <v>0</v>
      </c>
      <c r="AD10" s="1"/>
      <c r="AE10" s="1">
        <v>1</v>
      </c>
      <c r="AF10" s="2">
        <v>73</v>
      </c>
      <c r="AG10" s="32">
        <f t="shared" si="3"/>
        <v>66.780286357517156</v>
      </c>
      <c r="AI10" s="31" t="s">
        <v>264</v>
      </c>
      <c r="AJ10" s="2">
        <v>20110303</v>
      </c>
      <c r="AL10" s="1">
        <v>45</v>
      </c>
      <c r="AM10" s="2">
        <v>0</v>
      </c>
      <c r="AN10" s="2" t="s">
        <v>270</v>
      </c>
      <c r="AO10" s="2">
        <v>54</v>
      </c>
      <c r="AP10" s="2">
        <v>60</v>
      </c>
      <c r="AQ10" s="2">
        <v>55</v>
      </c>
      <c r="AR10" s="2">
        <f t="shared" si="2"/>
        <v>109.13538203846045</v>
      </c>
      <c r="AS10" s="32">
        <v>6.13</v>
      </c>
    </row>
    <row r="11" spans="1:45" x14ac:dyDescent="0.2">
      <c r="A11" s="4" t="s">
        <v>63</v>
      </c>
      <c r="B11" s="10">
        <v>42516</v>
      </c>
      <c r="C11" s="10">
        <v>11166</v>
      </c>
      <c r="D11" s="2">
        <v>85.890410958904113</v>
      </c>
      <c r="E11" s="2">
        <v>0</v>
      </c>
      <c r="F11" s="19">
        <v>1</v>
      </c>
      <c r="H11" s="2">
        <v>1</v>
      </c>
      <c r="I11" s="65">
        <v>156</v>
      </c>
      <c r="J11" s="65">
        <v>83</v>
      </c>
      <c r="K11" s="65">
        <v>68</v>
      </c>
      <c r="L11" s="2">
        <f t="shared" ref="L11:L30" si="4">144*((K11/61.9)^-1.209)*(0.993^D11)</f>
        <v>70.304465505263678</v>
      </c>
      <c r="M11" s="109">
        <v>0</v>
      </c>
      <c r="N11" s="88"/>
      <c r="O11" s="31">
        <v>1900073259</v>
      </c>
      <c r="P11" s="2">
        <v>19990125</v>
      </c>
      <c r="Q11" s="2">
        <v>57.95</v>
      </c>
      <c r="R11" s="2">
        <v>0</v>
      </c>
      <c r="S11" s="2" t="s">
        <v>50</v>
      </c>
      <c r="T11" s="2">
        <v>48</v>
      </c>
      <c r="U11" s="2">
        <v>50</v>
      </c>
      <c r="V11" s="32">
        <v>102.81974785316595</v>
      </c>
      <c r="X11" s="33" t="s">
        <v>176</v>
      </c>
      <c r="Y11" s="5">
        <v>40302</v>
      </c>
      <c r="Z11" s="1">
        <v>1943</v>
      </c>
      <c r="AA11" s="104">
        <f>2010-Z11</f>
        <v>67</v>
      </c>
      <c r="AB11" s="1">
        <v>0</v>
      </c>
      <c r="AC11" s="1">
        <v>1</v>
      </c>
      <c r="AD11" s="1"/>
      <c r="AE11" s="1">
        <v>1</v>
      </c>
      <c r="AF11" s="2">
        <v>74</v>
      </c>
      <c r="AG11" s="32">
        <f t="shared" si="3"/>
        <v>72.479466304667426</v>
      </c>
      <c r="AI11" s="31" t="s">
        <v>247</v>
      </c>
      <c r="AJ11" s="2">
        <v>20060406</v>
      </c>
      <c r="AL11" s="1">
        <v>69</v>
      </c>
      <c r="AM11" s="2">
        <v>0</v>
      </c>
      <c r="AN11" s="2" t="s">
        <v>270</v>
      </c>
      <c r="AO11" s="2">
        <v>31</v>
      </c>
      <c r="AP11" s="2">
        <v>95</v>
      </c>
      <c r="AQ11" s="2">
        <v>57</v>
      </c>
      <c r="AR11" s="2">
        <f t="shared" si="2"/>
        <v>91.126362383358881</v>
      </c>
      <c r="AS11" s="32">
        <v>7.67</v>
      </c>
    </row>
    <row r="12" spans="1:45" x14ac:dyDescent="0.2">
      <c r="A12" s="31" t="s">
        <v>9</v>
      </c>
      <c r="B12" s="2">
        <v>20190610</v>
      </c>
      <c r="C12" s="2">
        <v>940107</v>
      </c>
      <c r="D12" s="2">
        <f>2019-1994</f>
        <v>25</v>
      </c>
      <c r="E12" s="2">
        <v>0</v>
      </c>
      <c r="F12" s="2">
        <v>1</v>
      </c>
      <c r="G12" s="2">
        <v>1</v>
      </c>
      <c r="I12" s="110">
        <v>7</v>
      </c>
      <c r="J12" s="110">
        <v>6</v>
      </c>
      <c r="K12" s="110">
        <v>73</v>
      </c>
      <c r="L12" s="2">
        <f t="shared" si="4"/>
        <v>98.966989887157254</v>
      </c>
      <c r="M12" s="108">
        <v>0</v>
      </c>
      <c r="N12" s="88"/>
      <c r="O12" s="31">
        <v>1900073358</v>
      </c>
      <c r="P12" s="2">
        <v>20090217</v>
      </c>
      <c r="Q12" s="2">
        <v>36.08</v>
      </c>
      <c r="R12" s="2">
        <v>0</v>
      </c>
      <c r="S12" s="2" t="s">
        <v>146</v>
      </c>
      <c r="T12" s="2">
        <v>39</v>
      </c>
      <c r="U12" s="2">
        <v>51</v>
      </c>
      <c r="V12" s="32">
        <v>119.11515313278522</v>
      </c>
      <c r="X12" s="33" t="s">
        <v>190</v>
      </c>
      <c r="Y12" s="5">
        <v>41738</v>
      </c>
      <c r="Z12" s="1">
        <v>1966</v>
      </c>
      <c r="AA12" s="104">
        <f>2014-Z12</f>
        <v>48</v>
      </c>
      <c r="AB12" s="1">
        <v>0</v>
      </c>
      <c r="AC12" s="1">
        <v>1</v>
      </c>
      <c r="AD12" s="1"/>
      <c r="AE12" s="1">
        <v>1</v>
      </c>
      <c r="AF12" s="2">
        <v>75</v>
      </c>
      <c r="AG12" s="32">
        <f t="shared" si="3"/>
        <v>81.495071871334844</v>
      </c>
      <c r="AI12" s="31" t="s">
        <v>267</v>
      </c>
      <c r="AJ12" s="2">
        <v>20120823</v>
      </c>
      <c r="AL12" s="1">
        <v>67</v>
      </c>
      <c r="AM12" s="2">
        <v>0</v>
      </c>
      <c r="AN12" s="2" t="s">
        <v>270</v>
      </c>
      <c r="AO12" s="2">
        <v>24</v>
      </c>
      <c r="AP12" s="2">
        <v>58</v>
      </c>
      <c r="AQ12" s="2">
        <v>57</v>
      </c>
      <c r="AR12" s="2">
        <f t="shared" si="2"/>
        <v>92.415653160602432</v>
      </c>
      <c r="AS12" s="32">
        <v>7.4</v>
      </c>
    </row>
    <row r="13" spans="1:45" x14ac:dyDescent="0.2">
      <c r="A13" s="31" t="s">
        <v>13</v>
      </c>
      <c r="B13" s="2">
        <v>20191010</v>
      </c>
      <c r="C13" s="2">
        <v>590211</v>
      </c>
      <c r="D13" s="2">
        <f>2019-1959</f>
        <v>60</v>
      </c>
      <c r="E13" s="1">
        <v>0</v>
      </c>
      <c r="F13" s="2">
        <v>1</v>
      </c>
      <c r="G13" s="2">
        <v>1</v>
      </c>
      <c r="I13" s="110">
        <v>45</v>
      </c>
      <c r="J13" s="110">
        <v>18</v>
      </c>
      <c r="K13" s="110">
        <v>76</v>
      </c>
      <c r="L13" s="2">
        <f t="shared" si="4"/>
        <v>73.717018778970186</v>
      </c>
      <c r="M13" s="108">
        <v>1</v>
      </c>
      <c r="N13" s="88"/>
      <c r="O13" s="31">
        <v>1900073246</v>
      </c>
      <c r="P13" s="2">
        <v>20140409</v>
      </c>
      <c r="Q13" s="2">
        <v>47.01</v>
      </c>
      <c r="R13" s="2">
        <v>0</v>
      </c>
      <c r="S13" s="2" t="s">
        <v>128</v>
      </c>
      <c r="T13" s="2">
        <v>10</v>
      </c>
      <c r="U13" s="2">
        <v>51</v>
      </c>
      <c r="V13" s="32">
        <v>110.31188337840818</v>
      </c>
      <c r="X13" s="33" t="s">
        <v>185</v>
      </c>
      <c r="Y13" s="5">
        <v>40644</v>
      </c>
      <c r="Z13" s="1">
        <v>1931</v>
      </c>
      <c r="AA13" s="104">
        <f>2011-Z13</f>
        <v>80</v>
      </c>
      <c r="AB13" s="1">
        <v>0</v>
      </c>
      <c r="AC13" s="1">
        <v>1</v>
      </c>
      <c r="AD13" s="1">
        <v>1</v>
      </c>
      <c r="AE13" s="1"/>
      <c r="AF13" s="2">
        <v>78</v>
      </c>
      <c r="AG13" s="32">
        <f t="shared" si="3"/>
        <v>62.074608866829223</v>
      </c>
      <c r="AI13" s="31" t="s">
        <v>251</v>
      </c>
      <c r="AJ13" s="2">
        <v>20070907</v>
      </c>
      <c r="AL13" s="1">
        <v>76</v>
      </c>
      <c r="AM13" s="2">
        <v>0</v>
      </c>
      <c r="AN13" s="2" t="s">
        <v>270</v>
      </c>
      <c r="AO13" s="2">
        <v>34</v>
      </c>
      <c r="AP13" s="2">
        <v>73</v>
      </c>
      <c r="AQ13" s="2">
        <v>60</v>
      </c>
      <c r="AR13" s="2">
        <f t="shared" si="2"/>
        <v>85.30212297419888</v>
      </c>
      <c r="AS13" s="32">
        <v>5.43</v>
      </c>
    </row>
    <row r="14" spans="1:45" x14ac:dyDescent="0.2">
      <c r="A14" s="33" t="s">
        <v>64</v>
      </c>
      <c r="B14" s="12">
        <v>42047</v>
      </c>
      <c r="C14" s="12">
        <v>17992</v>
      </c>
      <c r="D14" s="2">
        <v>65.904109589041099</v>
      </c>
      <c r="E14" s="2">
        <v>0</v>
      </c>
      <c r="F14" s="19">
        <v>0</v>
      </c>
      <c r="G14" s="2">
        <v>1</v>
      </c>
      <c r="I14" s="65">
        <v>131</v>
      </c>
      <c r="J14" s="65">
        <v>86</v>
      </c>
      <c r="K14" s="65">
        <v>78</v>
      </c>
      <c r="L14" s="2">
        <f t="shared" si="4"/>
        <v>68.53573120685131</v>
      </c>
      <c r="M14" s="109">
        <v>0</v>
      </c>
      <c r="N14" s="88"/>
      <c r="O14" s="31">
        <v>1900073352</v>
      </c>
      <c r="P14" s="2">
        <v>20090123</v>
      </c>
      <c r="Q14" s="2">
        <v>46.82</v>
      </c>
      <c r="R14" s="2">
        <v>0</v>
      </c>
      <c r="S14" s="2" t="s">
        <v>128</v>
      </c>
      <c r="T14" s="2">
        <v>10</v>
      </c>
      <c r="U14" s="2">
        <v>53</v>
      </c>
      <c r="V14" s="32">
        <v>109.07011450678685</v>
      </c>
      <c r="X14" s="56" t="s">
        <v>213</v>
      </c>
      <c r="Y14" s="1">
        <v>20170119</v>
      </c>
      <c r="Z14" s="1">
        <v>830818</v>
      </c>
      <c r="AA14" s="104">
        <f>2017-1983</f>
        <v>34</v>
      </c>
      <c r="AB14" s="1">
        <v>0</v>
      </c>
      <c r="AC14" s="1">
        <v>2</v>
      </c>
      <c r="AD14" s="1"/>
      <c r="AE14" s="1">
        <v>1</v>
      </c>
      <c r="AF14" s="1">
        <v>80</v>
      </c>
      <c r="AG14" s="32">
        <f t="shared" si="3"/>
        <v>83.16778619075626</v>
      </c>
      <c r="AI14" s="31" t="s">
        <v>244</v>
      </c>
      <c r="AJ14" s="2">
        <v>20041214</v>
      </c>
      <c r="AL14" s="1">
        <v>38</v>
      </c>
      <c r="AM14" s="2">
        <v>0</v>
      </c>
      <c r="AN14" s="2" t="s">
        <v>270</v>
      </c>
      <c r="AO14" s="2">
        <v>58</v>
      </c>
      <c r="AP14" s="2">
        <v>80</v>
      </c>
      <c r="AQ14" s="2">
        <v>61</v>
      </c>
      <c r="AR14" s="2">
        <f t="shared" si="2"/>
        <v>110.79665338787957</v>
      </c>
      <c r="AS14" s="32">
        <v>7</v>
      </c>
    </row>
    <row r="15" spans="1:45" x14ac:dyDescent="0.2">
      <c r="A15" s="31" t="s">
        <v>11</v>
      </c>
      <c r="B15" s="2">
        <v>20190911</v>
      </c>
      <c r="C15" s="2">
        <v>431117</v>
      </c>
      <c r="D15" s="2">
        <f>2019-1943</f>
        <v>76</v>
      </c>
      <c r="E15" s="2">
        <v>0</v>
      </c>
      <c r="F15" s="2">
        <v>1</v>
      </c>
      <c r="G15" s="2">
        <v>1</v>
      </c>
      <c r="I15" s="110">
        <v>126</v>
      </c>
      <c r="J15" s="110">
        <v>56</v>
      </c>
      <c r="K15" s="110">
        <v>92</v>
      </c>
      <c r="L15" s="2">
        <f t="shared" si="4"/>
        <v>52.292558286003235</v>
      </c>
      <c r="M15" s="108">
        <v>1</v>
      </c>
      <c r="N15" s="88"/>
      <c r="O15" s="31">
        <v>1900073391</v>
      </c>
      <c r="P15" s="2">
        <v>19990302</v>
      </c>
      <c r="Q15" s="2">
        <v>42.69</v>
      </c>
      <c r="R15" s="2">
        <v>0</v>
      </c>
      <c r="S15" s="2" t="s">
        <v>164</v>
      </c>
      <c r="T15" s="2">
        <v>63</v>
      </c>
      <c r="U15" s="2">
        <v>54</v>
      </c>
      <c r="V15" s="32">
        <v>111.59239201508193</v>
      </c>
      <c r="X15" s="56" t="s">
        <v>216</v>
      </c>
      <c r="Y15" s="5" t="s">
        <v>217</v>
      </c>
      <c r="Z15" s="5" t="s">
        <v>218</v>
      </c>
      <c r="AA15" s="104">
        <f>(Y15-Z15)/365</f>
        <v>52.169863013698631</v>
      </c>
      <c r="AB15" s="1">
        <v>0</v>
      </c>
      <c r="AC15" s="1">
        <v>1</v>
      </c>
      <c r="AD15" s="1">
        <v>1</v>
      </c>
      <c r="AE15" s="1"/>
      <c r="AF15" s="2">
        <v>84</v>
      </c>
      <c r="AG15" s="32">
        <f t="shared" si="3"/>
        <v>69.00896944012338</v>
      </c>
      <c r="AI15" s="31" t="s">
        <v>260</v>
      </c>
      <c r="AJ15" s="2">
        <v>20100429</v>
      </c>
      <c r="AL15" s="1">
        <v>66</v>
      </c>
      <c r="AM15" s="2">
        <v>0</v>
      </c>
      <c r="AN15" s="2" t="s">
        <v>270</v>
      </c>
      <c r="AO15" s="2">
        <v>88</v>
      </c>
      <c r="AP15" s="2">
        <v>93</v>
      </c>
      <c r="AQ15" s="2">
        <v>61</v>
      </c>
      <c r="AR15" s="2">
        <f t="shared" si="2"/>
        <v>91.013454891839515</v>
      </c>
      <c r="AS15" s="32">
        <v>6</v>
      </c>
    </row>
    <row r="16" spans="1:45" x14ac:dyDescent="0.2">
      <c r="A16" s="33" t="s">
        <v>26</v>
      </c>
      <c r="B16" s="5">
        <v>40049</v>
      </c>
      <c r="C16" s="5">
        <v>24420</v>
      </c>
      <c r="D16" s="2">
        <v>42.8</v>
      </c>
      <c r="E16" s="2">
        <v>0</v>
      </c>
      <c r="F16" s="1">
        <v>1</v>
      </c>
      <c r="G16" s="1">
        <v>1</v>
      </c>
      <c r="H16" s="1"/>
      <c r="I16" s="65">
        <v>44</v>
      </c>
      <c r="J16" s="65">
        <v>88</v>
      </c>
      <c r="K16" s="65">
        <v>96</v>
      </c>
      <c r="L16" s="2">
        <f t="shared" si="4"/>
        <v>62.71600724601759</v>
      </c>
      <c r="M16" s="108">
        <v>1</v>
      </c>
      <c r="N16" s="88"/>
      <c r="O16" s="31">
        <v>1900073224</v>
      </c>
      <c r="P16" s="2">
        <v>19990512</v>
      </c>
      <c r="Q16" s="2">
        <v>74.569999999999993</v>
      </c>
      <c r="R16" s="2">
        <v>0</v>
      </c>
      <c r="S16" s="2" t="s">
        <v>120</v>
      </c>
      <c r="T16" s="2">
        <v>2</v>
      </c>
      <c r="U16" s="2">
        <v>55</v>
      </c>
      <c r="V16" s="32">
        <v>88.665537485208418</v>
      </c>
      <c r="X16" s="33" t="s">
        <v>193</v>
      </c>
      <c r="Y16" s="5">
        <v>41855</v>
      </c>
      <c r="Z16" s="1">
        <v>1943</v>
      </c>
      <c r="AA16" s="104">
        <f>2014-Z16</f>
        <v>71</v>
      </c>
      <c r="AB16" s="1">
        <v>0</v>
      </c>
      <c r="AC16" s="1">
        <v>0</v>
      </c>
      <c r="AD16" s="1"/>
      <c r="AE16" s="1">
        <v>1</v>
      </c>
      <c r="AF16" s="2">
        <v>86</v>
      </c>
      <c r="AG16" s="32">
        <f t="shared" si="3"/>
        <v>58.763073452911435</v>
      </c>
      <c r="AI16" s="31" t="s">
        <v>255</v>
      </c>
      <c r="AJ16" s="2">
        <v>20090205</v>
      </c>
      <c r="AL16" s="1">
        <v>55</v>
      </c>
      <c r="AM16" s="2">
        <v>0</v>
      </c>
      <c r="AN16" s="2" t="s">
        <v>270</v>
      </c>
      <c r="AO16" s="2">
        <v>140</v>
      </c>
      <c r="AP16" s="2">
        <v>95</v>
      </c>
      <c r="AQ16" s="2">
        <v>62</v>
      </c>
      <c r="AR16" s="2">
        <f>144*((AQ16/61.9)^-1.209)*(0.993^AL16)</f>
        <v>97.661547448221896</v>
      </c>
      <c r="AS16" s="32">
        <v>6.47</v>
      </c>
    </row>
    <row r="17" spans="1:45" x14ac:dyDescent="0.2">
      <c r="A17" s="31" t="s">
        <v>15</v>
      </c>
      <c r="B17" s="2">
        <v>20191016</v>
      </c>
      <c r="C17" s="2">
        <v>790707</v>
      </c>
      <c r="D17" s="2">
        <f>2019-1979</f>
        <v>40</v>
      </c>
      <c r="E17" s="1">
        <v>0</v>
      </c>
      <c r="F17" s="2">
        <v>1</v>
      </c>
      <c r="G17" s="2">
        <v>1</v>
      </c>
      <c r="I17" s="110">
        <v>2</v>
      </c>
      <c r="J17" s="110">
        <v>2</v>
      </c>
      <c r="K17" s="110">
        <v>105</v>
      </c>
      <c r="L17" s="2">
        <f t="shared" si="4"/>
        <v>57.394273641335239</v>
      </c>
      <c r="M17" s="108">
        <v>0</v>
      </c>
      <c r="N17" s="88"/>
      <c r="O17" s="31">
        <v>1900073384</v>
      </c>
      <c r="P17" s="2">
        <v>19990122</v>
      </c>
      <c r="Q17" s="2">
        <v>65.22</v>
      </c>
      <c r="R17" s="2">
        <v>0</v>
      </c>
      <c r="S17" s="2" t="s">
        <v>64</v>
      </c>
      <c r="T17" s="2">
        <v>57</v>
      </c>
      <c r="U17" s="2">
        <v>57</v>
      </c>
      <c r="V17" s="32">
        <v>93.578455938034509</v>
      </c>
      <c r="X17" s="33" t="s">
        <v>192</v>
      </c>
      <c r="Y17" s="5">
        <v>41778</v>
      </c>
      <c r="Z17" s="1">
        <v>1973</v>
      </c>
      <c r="AA17" s="104">
        <f>2014-Z17</f>
        <v>41</v>
      </c>
      <c r="AB17" s="1">
        <v>0</v>
      </c>
      <c r="AC17" s="1">
        <v>1</v>
      </c>
      <c r="AD17" s="1">
        <v>1</v>
      </c>
      <c r="AE17" s="1"/>
      <c r="AF17" s="2">
        <v>92</v>
      </c>
      <c r="AG17" s="32">
        <f t="shared" si="3"/>
        <v>66.867670202063778</v>
      </c>
      <c r="AI17" s="31" t="s">
        <v>261</v>
      </c>
      <c r="AJ17" s="2">
        <v>20100817</v>
      </c>
      <c r="AL17" s="1">
        <v>52</v>
      </c>
      <c r="AM17" s="2">
        <v>0</v>
      </c>
      <c r="AN17" s="2" t="s">
        <v>270</v>
      </c>
      <c r="AO17" s="2">
        <v>55</v>
      </c>
      <c r="AP17" s="2">
        <v>85</v>
      </c>
      <c r="AQ17" s="2">
        <v>63</v>
      </c>
      <c r="AR17" s="2">
        <f t="shared" ref="AR17:AR26" si="5">144*((AQ17/61.9)^-1.209)*(0.993^AL17)</f>
        <v>97.830592599489094</v>
      </c>
      <c r="AS17" s="32">
        <v>6.94</v>
      </c>
    </row>
    <row r="18" spans="1:45" x14ac:dyDescent="0.2">
      <c r="A18" s="31" t="s">
        <v>58</v>
      </c>
      <c r="B18" s="10">
        <v>40613</v>
      </c>
      <c r="C18" s="10">
        <v>7789</v>
      </c>
      <c r="D18" s="2">
        <v>89</v>
      </c>
      <c r="E18" s="2">
        <v>0</v>
      </c>
      <c r="F18" s="2">
        <v>1</v>
      </c>
      <c r="G18" s="2">
        <v>1</v>
      </c>
      <c r="I18" s="65">
        <v>119</v>
      </c>
      <c r="J18" s="65">
        <v>80</v>
      </c>
      <c r="K18" s="65">
        <v>119</v>
      </c>
      <c r="L18" s="2">
        <f t="shared" si="4"/>
        <v>34.967398789825474</v>
      </c>
      <c r="M18" s="109">
        <v>1</v>
      </c>
      <c r="N18" s="88"/>
      <c r="O18" s="31">
        <v>1900073368</v>
      </c>
      <c r="P18" s="2">
        <v>20090324</v>
      </c>
      <c r="Q18" s="2">
        <v>70.11</v>
      </c>
      <c r="R18" s="2">
        <v>0</v>
      </c>
      <c r="S18" s="2" t="s">
        <v>151</v>
      </c>
      <c r="T18" s="2">
        <v>44</v>
      </c>
      <c r="U18" s="2">
        <v>58</v>
      </c>
      <c r="V18" s="32">
        <v>89.902696457550263</v>
      </c>
      <c r="X18" s="56" t="s">
        <v>222</v>
      </c>
      <c r="Y18" s="5" t="s">
        <v>223</v>
      </c>
      <c r="Z18" s="5" t="s">
        <v>224</v>
      </c>
      <c r="AA18" s="104">
        <f>(Y18-Z18)/365</f>
        <v>66.635616438356166</v>
      </c>
      <c r="AB18" s="1">
        <v>0</v>
      </c>
      <c r="AC18" s="1">
        <v>1</v>
      </c>
      <c r="AD18" s="1">
        <v>1</v>
      </c>
      <c r="AE18" s="1"/>
      <c r="AF18" s="2">
        <v>95</v>
      </c>
      <c r="AG18" s="32">
        <f t="shared" si="3"/>
        <v>53.722960948308582</v>
      </c>
      <c r="AI18" s="31" t="s">
        <v>268</v>
      </c>
      <c r="AJ18" s="2">
        <v>20121025</v>
      </c>
      <c r="AL18" s="1">
        <v>74</v>
      </c>
      <c r="AM18" s="2">
        <v>0</v>
      </c>
      <c r="AN18" s="2" t="s">
        <v>270</v>
      </c>
      <c r="AO18" s="2">
        <v>20</v>
      </c>
      <c r="AP18" s="2">
        <v>78</v>
      </c>
      <c r="AQ18" s="2">
        <v>63</v>
      </c>
      <c r="AR18" s="2">
        <f t="shared" si="5"/>
        <v>83.822025516518295</v>
      </c>
      <c r="AS18" s="32">
        <v>5.58</v>
      </c>
    </row>
    <row r="19" spans="1:45" x14ac:dyDescent="0.2">
      <c r="A19" s="33" t="s">
        <v>234</v>
      </c>
      <c r="B19" s="5">
        <v>41533</v>
      </c>
      <c r="C19" s="5">
        <v>20189</v>
      </c>
      <c r="D19" s="2">
        <v>58.4</v>
      </c>
      <c r="E19" s="2">
        <v>0</v>
      </c>
      <c r="F19" s="1">
        <v>1</v>
      </c>
      <c r="G19" s="1">
        <v>1</v>
      </c>
      <c r="H19" s="1">
        <v>1</v>
      </c>
      <c r="I19" s="65">
        <v>20</v>
      </c>
      <c r="J19" s="65">
        <v>74</v>
      </c>
      <c r="K19" s="65">
        <v>120</v>
      </c>
      <c r="L19" s="2">
        <f t="shared" si="4"/>
        <v>42.91631975565376</v>
      </c>
      <c r="M19" s="108">
        <v>1</v>
      </c>
      <c r="N19" s="88"/>
      <c r="O19" s="31">
        <v>1900073427</v>
      </c>
      <c r="P19" s="2">
        <v>20090202</v>
      </c>
      <c r="Q19" s="2">
        <v>29.54</v>
      </c>
      <c r="R19" s="2">
        <v>0</v>
      </c>
      <c r="S19" s="2" t="s">
        <v>9</v>
      </c>
      <c r="T19" s="2">
        <v>60</v>
      </c>
      <c r="U19" s="2">
        <v>61</v>
      </c>
      <c r="V19" s="32">
        <v>117.58068892312492</v>
      </c>
      <c r="X19" s="55" t="s">
        <v>174</v>
      </c>
      <c r="Y19" s="20">
        <v>40613</v>
      </c>
      <c r="Z19" s="11">
        <v>13702</v>
      </c>
      <c r="AA19" s="104">
        <f>2011-1937</f>
        <v>74</v>
      </c>
      <c r="AB19" s="19">
        <v>0</v>
      </c>
      <c r="AC19" s="1">
        <v>0</v>
      </c>
      <c r="AD19" s="19"/>
      <c r="AE19" s="25">
        <v>1</v>
      </c>
      <c r="AF19" s="2">
        <v>104</v>
      </c>
      <c r="AG19" s="32">
        <f t="shared" si="3"/>
        <v>45.726458657517092</v>
      </c>
      <c r="AI19" s="31" t="s">
        <v>252</v>
      </c>
      <c r="AJ19" s="2">
        <v>20080219</v>
      </c>
      <c r="AL19" s="1">
        <v>62</v>
      </c>
      <c r="AM19" s="2">
        <v>0</v>
      </c>
      <c r="AN19" s="2" t="s">
        <v>270</v>
      </c>
      <c r="AO19" s="2">
        <v>47</v>
      </c>
      <c r="AP19" s="2">
        <v>69</v>
      </c>
      <c r="AQ19" s="2">
        <v>66</v>
      </c>
      <c r="AR19" s="2">
        <f t="shared" si="5"/>
        <v>86.206750582046979</v>
      </c>
      <c r="AS19" s="32">
        <v>5.43</v>
      </c>
    </row>
    <row r="20" spans="1:45" x14ac:dyDescent="0.2">
      <c r="A20" s="31" t="s">
        <v>46</v>
      </c>
      <c r="B20" s="15" t="s">
        <v>85</v>
      </c>
      <c r="C20" s="6" t="s">
        <v>86</v>
      </c>
      <c r="D20" s="2">
        <v>56.016438356164386</v>
      </c>
      <c r="E20" s="2">
        <v>0</v>
      </c>
      <c r="F20" s="15">
        <v>1</v>
      </c>
      <c r="G20" s="1"/>
      <c r="H20" s="1">
        <v>1</v>
      </c>
      <c r="I20" s="65">
        <v>8</v>
      </c>
      <c r="J20" s="65">
        <v>92</v>
      </c>
      <c r="K20" s="65">
        <v>141</v>
      </c>
      <c r="L20" s="2">
        <f t="shared" si="4"/>
        <v>35.910243166265133</v>
      </c>
      <c r="M20" s="108">
        <v>0</v>
      </c>
      <c r="N20" s="88"/>
      <c r="O20" s="31">
        <v>1900073278</v>
      </c>
      <c r="P20" s="2">
        <v>19990322</v>
      </c>
      <c r="Q20" s="2">
        <v>55.51</v>
      </c>
      <c r="R20" s="2">
        <v>0</v>
      </c>
      <c r="S20" s="2" t="s">
        <v>10</v>
      </c>
      <c r="T20" s="2">
        <v>19</v>
      </c>
      <c r="U20" s="2">
        <v>61</v>
      </c>
      <c r="V20" s="32">
        <v>97.973355811511496</v>
      </c>
      <c r="X20" s="33" t="s">
        <v>184</v>
      </c>
      <c r="Y20" s="5">
        <v>40644</v>
      </c>
      <c r="Z20" s="1">
        <v>1934</v>
      </c>
      <c r="AA20" s="104">
        <f>2011-Z20</f>
        <v>77</v>
      </c>
      <c r="AB20" s="1">
        <v>0</v>
      </c>
      <c r="AC20" s="1">
        <v>0</v>
      </c>
      <c r="AD20" s="1"/>
      <c r="AE20" s="1">
        <v>1</v>
      </c>
      <c r="AF20" s="2">
        <v>118</v>
      </c>
      <c r="AG20" s="32">
        <f t="shared" si="3"/>
        <v>38.432910457141269</v>
      </c>
      <c r="AI20" s="31" t="s">
        <v>263</v>
      </c>
      <c r="AJ20" s="2">
        <v>20101201</v>
      </c>
      <c r="AL20" s="1">
        <v>64</v>
      </c>
      <c r="AM20" s="2">
        <v>0</v>
      </c>
      <c r="AN20" s="2" t="s">
        <v>270</v>
      </c>
      <c r="AO20" s="2">
        <v>43</v>
      </c>
      <c r="AP20" s="2">
        <v>71</v>
      </c>
      <c r="AQ20" s="2">
        <v>66</v>
      </c>
      <c r="AR20" s="2">
        <f t="shared" si="5"/>
        <v>85.004080204676839</v>
      </c>
      <c r="AS20" s="32">
        <v>6.44</v>
      </c>
    </row>
    <row r="21" spans="1:45" x14ac:dyDescent="0.2">
      <c r="A21" s="36" t="s">
        <v>35</v>
      </c>
      <c r="B21" s="26" t="s">
        <v>75</v>
      </c>
      <c r="C21" s="7">
        <v>30671</v>
      </c>
      <c r="D21" s="2">
        <v>31.375342465753423</v>
      </c>
      <c r="E21" s="2">
        <v>0</v>
      </c>
      <c r="F21" s="14">
        <v>0</v>
      </c>
      <c r="G21" s="17"/>
      <c r="H21" s="101">
        <v>1</v>
      </c>
      <c r="I21" s="65">
        <v>2</v>
      </c>
      <c r="J21" s="65">
        <v>48</v>
      </c>
      <c r="K21" s="65">
        <v>155</v>
      </c>
      <c r="L21" s="2">
        <f t="shared" si="4"/>
        <v>38.079136401318557</v>
      </c>
      <c r="M21" s="108">
        <v>1</v>
      </c>
      <c r="N21" s="88"/>
      <c r="O21" s="31">
        <v>1900073239</v>
      </c>
      <c r="P21" s="2">
        <v>20140211</v>
      </c>
      <c r="Q21" s="2">
        <v>67.39</v>
      </c>
      <c r="R21" s="2">
        <v>0</v>
      </c>
      <c r="S21" s="2" t="s">
        <v>131</v>
      </c>
      <c r="T21" s="2">
        <v>14</v>
      </c>
      <c r="U21" s="2">
        <v>61</v>
      </c>
      <c r="V21" s="32">
        <v>90.129104491769866</v>
      </c>
      <c r="X21" s="33" t="s">
        <v>177</v>
      </c>
      <c r="Y21" s="5">
        <v>40331</v>
      </c>
      <c r="Z21" s="1">
        <v>1931</v>
      </c>
      <c r="AA21" s="104">
        <f>2010-Z21</f>
        <v>79</v>
      </c>
      <c r="AB21" s="1">
        <v>0</v>
      </c>
      <c r="AC21" s="1">
        <v>1</v>
      </c>
      <c r="AD21" s="1">
        <v>1</v>
      </c>
      <c r="AE21" s="1"/>
      <c r="AF21" s="2">
        <v>124</v>
      </c>
      <c r="AG21" s="32">
        <f t="shared" si="3"/>
        <v>35.691130194677207</v>
      </c>
      <c r="AI21" s="31" t="s">
        <v>243</v>
      </c>
      <c r="AJ21" s="2">
        <v>20040511</v>
      </c>
      <c r="AL21" s="1">
        <v>42</v>
      </c>
      <c r="AM21" s="2">
        <v>0</v>
      </c>
      <c r="AN21" s="2" t="s">
        <v>270</v>
      </c>
      <c r="AO21" s="2">
        <v>82</v>
      </c>
      <c r="AP21" s="2">
        <v>76</v>
      </c>
      <c r="AQ21" s="2">
        <v>67</v>
      </c>
      <c r="AR21" s="2">
        <f t="shared" si="5"/>
        <v>97.42277302643717</v>
      </c>
      <c r="AS21" s="32">
        <v>7.09</v>
      </c>
    </row>
    <row r="22" spans="1:45" x14ac:dyDescent="0.2">
      <c r="A22" s="31" t="s">
        <v>53</v>
      </c>
      <c r="B22" s="10">
        <v>41387</v>
      </c>
      <c r="C22" s="10">
        <v>24022</v>
      </c>
      <c r="D22" s="2">
        <v>47</v>
      </c>
      <c r="E22" s="2">
        <v>0</v>
      </c>
      <c r="F22" s="2">
        <v>0</v>
      </c>
      <c r="H22" s="2">
        <v>1</v>
      </c>
      <c r="I22" s="65">
        <v>11</v>
      </c>
      <c r="J22" s="65">
        <v>27</v>
      </c>
      <c r="K22" s="65">
        <v>159</v>
      </c>
      <c r="L22" s="2">
        <f t="shared" si="4"/>
        <v>33.085830670105437</v>
      </c>
      <c r="M22" s="111" t="s">
        <v>374</v>
      </c>
      <c r="N22" s="88"/>
      <c r="O22" s="31">
        <v>1900073366</v>
      </c>
      <c r="P22" s="2">
        <v>20090319</v>
      </c>
      <c r="Q22" s="2">
        <v>69.59</v>
      </c>
      <c r="R22" s="2">
        <v>0</v>
      </c>
      <c r="S22" s="2" t="s">
        <v>130</v>
      </c>
      <c r="T22" s="2">
        <v>12</v>
      </c>
      <c r="U22" s="2">
        <v>61</v>
      </c>
      <c r="V22" s="32">
        <v>88.746943108799982</v>
      </c>
      <c r="X22" s="55" t="s">
        <v>175</v>
      </c>
      <c r="Y22" s="20">
        <v>41396</v>
      </c>
      <c r="Z22" s="11">
        <v>23489</v>
      </c>
      <c r="AA22" s="104">
        <f>2013-1964</f>
        <v>49</v>
      </c>
      <c r="AB22" s="19">
        <v>0</v>
      </c>
      <c r="AC22" s="1">
        <v>1</v>
      </c>
      <c r="AD22" s="19"/>
      <c r="AE22" s="25">
        <v>1</v>
      </c>
      <c r="AF22" s="2">
        <v>287</v>
      </c>
      <c r="AG22" s="32">
        <f t="shared" si="3"/>
        <v>15.975352504942464</v>
      </c>
      <c r="AI22" s="31" t="s">
        <v>256</v>
      </c>
      <c r="AJ22" s="2">
        <v>20090313</v>
      </c>
      <c r="AL22" s="1">
        <v>85</v>
      </c>
      <c r="AM22" s="2">
        <v>0</v>
      </c>
      <c r="AN22" s="2" t="s">
        <v>270</v>
      </c>
      <c r="AO22" s="2">
        <v>66</v>
      </c>
      <c r="AP22" s="2">
        <v>74</v>
      </c>
      <c r="AQ22" s="2">
        <v>68</v>
      </c>
      <c r="AR22" s="2">
        <f t="shared" si="5"/>
        <v>70.745583576077223</v>
      </c>
      <c r="AS22" s="32">
        <v>6.79</v>
      </c>
    </row>
    <row r="23" spans="1:45" x14ac:dyDescent="0.2">
      <c r="A23" s="31" t="s">
        <v>57</v>
      </c>
      <c r="B23" s="10">
        <v>41684</v>
      </c>
      <c r="C23" s="10">
        <v>19185</v>
      </c>
      <c r="D23" s="2">
        <v>61</v>
      </c>
      <c r="E23" s="2">
        <v>0</v>
      </c>
      <c r="F23" s="2">
        <v>1</v>
      </c>
      <c r="G23" s="2">
        <v>1</v>
      </c>
      <c r="I23" s="65">
        <v>9</v>
      </c>
      <c r="J23" s="65">
        <v>68</v>
      </c>
      <c r="K23" s="65">
        <v>177</v>
      </c>
      <c r="L23" s="2">
        <f t="shared" si="4"/>
        <v>26.340315098616411</v>
      </c>
      <c r="M23" s="109">
        <v>1</v>
      </c>
      <c r="N23" s="88"/>
      <c r="O23" s="31">
        <v>1900073248</v>
      </c>
      <c r="P23" s="2">
        <v>20140428</v>
      </c>
      <c r="Q23" s="2">
        <v>65.22</v>
      </c>
      <c r="R23" s="2">
        <v>0</v>
      </c>
      <c r="S23" s="2" t="s">
        <v>64</v>
      </c>
      <c r="T23" s="2">
        <v>57</v>
      </c>
      <c r="U23" s="2">
        <v>62</v>
      </c>
      <c r="V23" s="32">
        <v>91.025240830990029</v>
      </c>
      <c r="X23" s="33" t="s">
        <v>187</v>
      </c>
      <c r="Y23" s="5">
        <v>40921</v>
      </c>
      <c r="Z23" s="1">
        <v>1947</v>
      </c>
      <c r="AA23" s="104">
        <f>2012-Z23</f>
        <v>65</v>
      </c>
      <c r="AB23" s="1">
        <v>1</v>
      </c>
      <c r="AC23" s="1">
        <v>1</v>
      </c>
      <c r="AD23" s="1">
        <v>1</v>
      </c>
      <c r="AE23" s="1"/>
      <c r="AF23" s="2">
        <v>71</v>
      </c>
      <c r="AG23" s="32">
        <f>141*((AF23/79.6)^-0.411)*(0.993^AA23)</f>
        <v>93.611316801410865</v>
      </c>
      <c r="AI23" s="31" t="s">
        <v>242</v>
      </c>
      <c r="AJ23" s="2">
        <v>20021212</v>
      </c>
      <c r="AL23" s="1">
        <v>78</v>
      </c>
      <c r="AM23" s="2">
        <v>0</v>
      </c>
      <c r="AN23" s="2" t="s">
        <v>270</v>
      </c>
      <c r="AO23" s="2">
        <v>97</v>
      </c>
      <c r="AP23" s="2">
        <v>80</v>
      </c>
      <c r="AQ23" s="2">
        <v>69</v>
      </c>
      <c r="AR23" s="2">
        <f t="shared" si="5"/>
        <v>73.011171791616746</v>
      </c>
      <c r="AS23" s="32">
        <v>6.48</v>
      </c>
    </row>
    <row r="24" spans="1:45" x14ac:dyDescent="0.2">
      <c r="A24" s="31" t="s">
        <v>38</v>
      </c>
      <c r="B24" s="15" t="s">
        <v>78</v>
      </c>
      <c r="C24" s="6" t="s">
        <v>79</v>
      </c>
      <c r="D24" s="2">
        <v>65.975342465753428</v>
      </c>
      <c r="E24" s="2">
        <v>0</v>
      </c>
      <c r="F24" s="13">
        <v>0</v>
      </c>
      <c r="G24" s="1"/>
      <c r="H24" s="1">
        <v>1</v>
      </c>
      <c r="I24" s="65">
        <v>6</v>
      </c>
      <c r="J24" s="65">
        <v>35</v>
      </c>
      <c r="K24" s="65">
        <v>190</v>
      </c>
      <c r="L24" s="2">
        <f t="shared" si="4"/>
        <v>23.346888430096236</v>
      </c>
      <c r="M24" s="108">
        <v>0</v>
      </c>
      <c r="N24" s="88"/>
      <c r="O24" s="31">
        <v>1900073258</v>
      </c>
      <c r="P24" s="2">
        <v>19990125</v>
      </c>
      <c r="Q24" s="2">
        <v>78.81</v>
      </c>
      <c r="R24" s="2">
        <v>0</v>
      </c>
      <c r="S24" s="2" t="s">
        <v>160</v>
      </c>
      <c r="T24" s="2">
        <v>58</v>
      </c>
      <c r="U24" s="2">
        <v>62</v>
      </c>
      <c r="V24" s="32">
        <v>82.737448486584995</v>
      </c>
      <c r="X24" s="33" t="s">
        <v>183</v>
      </c>
      <c r="Y24" s="5">
        <v>40611</v>
      </c>
      <c r="Z24" s="1">
        <v>1971</v>
      </c>
      <c r="AA24" s="104">
        <f>2011-Z24</f>
        <v>40</v>
      </c>
      <c r="AB24" s="1">
        <v>1</v>
      </c>
      <c r="AC24" s="1">
        <v>1</v>
      </c>
      <c r="AD24" s="1">
        <v>1</v>
      </c>
      <c r="AE24" s="1"/>
      <c r="AF24" s="2">
        <v>76</v>
      </c>
      <c r="AG24" s="32">
        <f t="shared" ref="AG24:AG25" si="6">141*((AF24/79.6)^-0.411)*(0.993^AA24)</f>
        <v>108.50504636803302</v>
      </c>
      <c r="AI24" s="31" t="s">
        <v>246</v>
      </c>
      <c r="AJ24" s="2">
        <v>20060316</v>
      </c>
      <c r="AL24" s="1">
        <v>80</v>
      </c>
      <c r="AM24" s="2">
        <v>0</v>
      </c>
      <c r="AN24" s="2" t="s">
        <v>270</v>
      </c>
      <c r="AO24" s="2">
        <v>41</v>
      </c>
      <c r="AP24" s="2">
        <v>69</v>
      </c>
      <c r="AQ24" s="2">
        <v>69</v>
      </c>
      <c r="AR24" s="2">
        <f t="shared" si="5"/>
        <v>71.992592933951897</v>
      </c>
      <c r="AS24" s="32">
        <v>6.99</v>
      </c>
    </row>
    <row r="25" spans="1:45" x14ac:dyDescent="0.2">
      <c r="A25" s="37" t="s">
        <v>39</v>
      </c>
      <c r="B25" s="8">
        <v>41824</v>
      </c>
      <c r="C25" s="8">
        <v>15893</v>
      </c>
      <c r="D25" s="2">
        <v>70.995208761122512</v>
      </c>
      <c r="E25" s="2">
        <v>0</v>
      </c>
      <c r="F25" s="13">
        <v>0</v>
      </c>
      <c r="G25" s="1"/>
      <c r="H25" s="1">
        <v>1</v>
      </c>
      <c r="I25" s="65">
        <v>1</v>
      </c>
      <c r="J25" s="65">
        <v>36</v>
      </c>
      <c r="K25" s="65">
        <v>224</v>
      </c>
      <c r="L25" s="2">
        <f t="shared" si="4"/>
        <v>18.470467703292829</v>
      </c>
      <c r="M25" s="108">
        <v>0</v>
      </c>
      <c r="N25" s="88"/>
      <c r="O25" s="31">
        <v>1900073364</v>
      </c>
      <c r="P25" s="2">
        <v>20090311</v>
      </c>
      <c r="Q25" s="2">
        <v>66.900000000000006</v>
      </c>
      <c r="R25" s="2">
        <v>0</v>
      </c>
      <c r="S25" s="2" t="s">
        <v>140</v>
      </c>
      <c r="T25" s="2">
        <v>28</v>
      </c>
      <c r="U25" s="2">
        <v>63</v>
      </c>
      <c r="V25" s="32">
        <v>88.108637781729939</v>
      </c>
      <c r="X25" s="56" t="s">
        <v>212</v>
      </c>
      <c r="Y25" s="1">
        <v>20170113</v>
      </c>
      <c r="Z25" s="1">
        <v>620625</v>
      </c>
      <c r="AA25" s="104">
        <f>2017-1962</f>
        <v>55</v>
      </c>
      <c r="AB25" s="1">
        <v>1</v>
      </c>
      <c r="AC25" s="1">
        <v>1</v>
      </c>
      <c r="AD25" s="1">
        <v>1</v>
      </c>
      <c r="AE25" s="1"/>
      <c r="AF25" s="1">
        <v>79</v>
      </c>
      <c r="AG25" s="32">
        <f t="shared" si="6"/>
        <v>96.112155272411755</v>
      </c>
      <c r="AI25" s="31" t="s">
        <v>254</v>
      </c>
      <c r="AJ25" s="2">
        <v>20090105</v>
      </c>
      <c r="AL25" s="1">
        <v>63</v>
      </c>
      <c r="AM25" s="2">
        <v>0</v>
      </c>
      <c r="AN25" s="2" t="s">
        <v>270</v>
      </c>
      <c r="AO25" s="2">
        <v>26</v>
      </c>
      <c r="AP25" s="2">
        <v>82</v>
      </c>
      <c r="AQ25" s="2">
        <v>70</v>
      </c>
      <c r="AR25" s="2">
        <f t="shared" si="5"/>
        <v>79.725198934797234</v>
      </c>
      <c r="AS25" s="32">
        <v>5.38</v>
      </c>
    </row>
    <row r="26" spans="1:45" x14ac:dyDescent="0.2">
      <c r="A26" s="33" t="s">
        <v>23</v>
      </c>
      <c r="B26" s="5">
        <v>41264</v>
      </c>
      <c r="C26" s="5">
        <v>17543</v>
      </c>
      <c r="D26" s="2">
        <v>64.900000000000006</v>
      </c>
      <c r="E26" s="2">
        <v>0</v>
      </c>
      <c r="F26" s="1">
        <v>0</v>
      </c>
      <c r="G26" s="1"/>
      <c r="H26" s="1">
        <v>1</v>
      </c>
      <c r="I26" s="65">
        <v>23</v>
      </c>
      <c r="J26" s="65">
        <v>56</v>
      </c>
      <c r="K26" s="65">
        <v>266</v>
      </c>
      <c r="L26" s="2">
        <f t="shared" si="4"/>
        <v>15.661769046202579</v>
      </c>
      <c r="M26" s="108">
        <v>0</v>
      </c>
      <c r="N26" s="88"/>
      <c r="O26" s="31">
        <v>1900073261</v>
      </c>
      <c r="P26" s="2">
        <v>19990125</v>
      </c>
      <c r="Q26" s="2">
        <v>67.05</v>
      </c>
      <c r="R26" s="2">
        <v>0</v>
      </c>
      <c r="S26" s="2" t="s">
        <v>131</v>
      </c>
      <c r="T26" s="2">
        <v>14</v>
      </c>
      <c r="U26" s="2">
        <v>66</v>
      </c>
      <c r="V26" s="32">
        <v>83.202232648815666</v>
      </c>
      <c r="X26" s="33" t="s">
        <v>188</v>
      </c>
      <c r="Y26" s="5">
        <v>41724</v>
      </c>
      <c r="Z26" s="1">
        <v>1937</v>
      </c>
      <c r="AA26" s="104">
        <f>2014-Z26</f>
        <v>77</v>
      </c>
      <c r="AB26" s="1">
        <v>1</v>
      </c>
      <c r="AC26" s="1">
        <v>1</v>
      </c>
      <c r="AD26" s="1">
        <v>1</v>
      </c>
      <c r="AE26" s="1"/>
      <c r="AF26" s="2">
        <v>86</v>
      </c>
      <c r="AG26" s="32">
        <f>141*((AF26/79.6)^-1.209)*(0.993^AA26)</f>
        <v>74.766408307862093</v>
      </c>
      <c r="AI26" s="31" t="s">
        <v>266</v>
      </c>
      <c r="AJ26" s="2">
        <v>20120413</v>
      </c>
      <c r="AL26" s="1">
        <v>77</v>
      </c>
      <c r="AM26" s="2">
        <v>0</v>
      </c>
      <c r="AN26" s="2" t="s">
        <v>270</v>
      </c>
      <c r="AO26" s="2">
        <v>20</v>
      </c>
      <c r="AP26" s="2">
        <v>89</v>
      </c>
      <c r="AQ26" s="2">
        <v>83</v>
      </c>
      <c r="AR26" s="2">
        <f t="shared" si="5"/>
        <v>58.808920456948535</v>
      </c>
      <c r="AS26" s="32">
        <v>7.06</v>
      </c>
    </row>
    <row r="27" spans="1:45" x14ac:dyDescent="0.2">
      <c r="A27" s="33" t="s">
        <v>17</v>
      </c>
      <c r="B27" s="5">
        <v>39871</v>
      </c>
      <c r="C27" s="5">
        <v>16125</v>
      </c>
      <c r="D27" s="2">
        <v>65</v>
      </c>
      <c r="E27" s="2">
        <v>0</v>
      </c>
      <c r="F27" s="1">
        <v>1</v>
      </c>
      <c r="G27" s="1">
        <v>1</v>
      </c>
      <c r="H27" s="1">
        <v>1</v>
      </c>
      <c r="I27" s="65">
        <v>52</v>
      </c>
      <c r="J27" s="65">
        <v>118</v>
      </c>
      <c r="K27" s="65">
        <v>331</v>
      </c>
      <c r="L27" s="2">
        <f t="shared" si="4"/>
        <v>12.015603659576167</v>
      </c>
      <c r="M27" s="108">
        <v>1</v>
      </c>
      <c r="N27" s="88"/>
      <c r="O27" s="31">
        <v>1900073350</v>
      </c>
      <c r="P27" s="2">
        <v>20090120</v>
      </c>
      <c r="Q27" s="2">
        <v>47.81</v>
      </c>
      <c r="R27" s="2">
        <v>0</v>
      </c>
      <c r="S27" s="2" t="s">
        <v>94</v>
      </c>
      <c r="T27" s="2">
        <v>17</v>
      </c>
      <c r="U27" s="2">
        <v>67</v>
      </c>
      <c r="V27" s="32">
        <v>93.526702133800796</v>
      </c>
      <c r="X27" s="56" t="s">
        <v>219</v>
      </c>
      <c r="Y27" s="5" t="s">
        <v>220</v>
      </c>
      <c r="Z27" s="5" t="s">
        <v>221</v>
      </c>
      <c r="AA27" s="104">
        <f>(Y27-Z27)/365</f>
        <v>55.895890410958906</v>
      </c>
      <c r="AB27" s="1">
        <v>1</v>
      </c>
      <c r="AC27" s="1">
        <v>1</v>
      </c>
      <c r="AD27" s="1">
        <v>1</v>
      </c>
      <c r="AE27" s="1"/>
      <c r="AF27" s="2">
        <v>87</v>
      </c>
      <c r="AG27" s="32">
        <f t="shared" ref="AG27:AG34" si="7">141*((AF27/79.6)^-1.209)*(0.993^AA27)</f>
        <v>85.51056251375563</v>
      </c>
      <c r="AI27" s="31" t="s">
        <v>241</v>
      </c>
      <c r="AJ27" s="2">
        <v>20020729</v>
      </c>
      <c r="AL27" s="1">
        <v>48</v>
      </c>
      <c r="AM27" s="2">
        <v>1</v>
      </c>
      <c r="AN27" s="2" t="s">
        <v>270</v>
      </c>
      <c r="AO27" s="2">
        <v>77</v>
      </c>
      <c r="AP27" s="2">
        <v>66</v>
      </c>
      <c r="AQ27" s="2">
        <v>63</v>
      </c>
      <c r="AR27" s="2">
        <f>141*((AQ27/79.6)^-0.411)*(0.993^AL27)</f>
        <v>110.79734290440302</v>
      </c>
      <c r="AS27" s="32">
        <v>6.52</v>
      </c>
    </row>
    <row r="28" spans="1:45" x14ac:dyDescent="0.2">
      <c r="A28" s="33" t="s">
        <v>19</v>
      </c>
      <c r="B28" s="5">
        <v>40044</v>
      </c>
      <c r="C28" s="5">
        <v>18573</v>
      </c>
      <c r="D28" s="2">
        <v>58.8</v>
      </c>
      <c r="E28" s="2">
        <v>0</v>
      </c>
      <c r="F28" s="1">
        <v>0</v>
      </c>
      <c r="G28" s="1"/>
      <c r="H28" s="1">
        <v>1</v>
      </c>
      <c r="I28" s="65">
        <v>72</v>
      </c>
      <c r="J28" s="65">
        <v>94</v>
      </c>
      <c r="K28" s="65">
        <v>515</v>
      </c>
      <c r="L28" s="2">
        <f t="shared" si="4"/>
        <v>7.3545712275642954</v>
      </c>
      <c r="M28" s="108">
        <v>1</v>
      </c>
      <c r="N28" s="88"/>
      <c r="O28" s="31">
        <v>1900073257</v>
      </c>
      <c r="P28" s="2">
        <v>19990121</v>
      </c>
      <c r="Q28" s="2">
        <v>70.010000000000005</v>
      </c>
      <c r="R28" s="2">
        <v>0</v>
      </c>
      <c r="S28" s="2" t="s">
        <v>151</v>
      </c>
      <c r="T28" s="2">
        <v>44</v>
      </c>
      <c r="U28" s="2">
        <v>67</v>
      </c>
      <c r="V28" s="32">
        <v>80.021914486376176</v>
      </c>
      <c r="X28" s="33" t="s">
        <v>189</v>
      </c>
      <c r="Y28" s="5">
        <v>41724</v>
      </c>
      <c r="Z28" s="1">
        <v>1954</v>
      </c>
      <c r="AA28" s="104">
        <f>2014-Z28</f>
        <v>60</v>
      </c>
      <c r="AB28" s="1">
        <v>1</v>
      </c>
      <c r="AC28" s="1">
        <v>1</v>
      </c>
      <c r="AD28" s="1">
        <v>1</v>
      </c>
      <c r="AE28" s="1"/>
      <c r="AF28" s="2">
        <v>91</v>
      </c>
      <c r="AG28" s="32">
        <f t="shared" si="7"/>
        <v>78.685892999925073</v>
      </c>
      <c r="AI28" s="31" t="s">
        <v>245</v>
      </c>
      <c r="AJ28" s="2">
        <v>20050418</v>
      </c>
      <c r="AL28" s="1">
        <v>74</v>
      </c>
      <c r="AM28" s="2">
        <v>1</v>
      </c>
      <c r="AN28" s="2" t="s">
        <v>270</v>
      </c>
      <c r="AO28" s="2">
        <v>121</v>
      </c>
      <c r="AP28" s="2">
        <v>94</v>
      </c>
      <c r="AQ28" s="2">
        <v>64</v>
      </c>
      <c r="AR28" s="2">
        <f t="shared" ref="AR28:AR29" si="8">141*((AQ28/79.6)^-0.411)*(0.993^AL28)</f>
        <v>91.706222118536516</v>
      </c>
      <c r="AS28" s="32">
        <v>8.23</v>
      </c>
    </row>
    <row r="29" spans="1:45" x14ac:dyDescent="0.2">
      <c r="A29" s="31" t="s">
        <v>43</v>
      </c>
      <c r="B29" s="5">
        <v>42241</v>
      </c>
      <c r="C29" s="5"/>
      <c r="D29" s="2">
        <v>39</v>
      </c>
      <c r="E29" s="2">
        <v>0</v>
      </c>
      <c r="F29" s="1">
        <v>1</v>
      </c>
      <c r="G29" s="1">
        <v>1</v>
      </c>
      <c r="H29" s="1"/>
      <c r="I29" s="65">
        <v>9</v>
      </c>
      <c r="J29" s="65">
        <v>15</v>
      </c>
      <c r="K29" s="65">
        <v>559</v>
      </c>
      <c r="L29" s="2">
        <f t="shared" si="4"/>
        <v>7.6544907460652647</v>
      </c>
      <c r="M29" s="108">
        <v>1</v>
      </c>
      <c r="N29" s="88"/>
      <c r="O29" s="31">
        <v>1900073267</v>
      </c>
      <c r="P29" s="2">
        <v>19990209</v>
      </c>
      <c r="Q29" s="2">
        <v>27.59</v>
      </c>
      <c r="R29" s="2">
        <v>0</v>
      </c>
      <c r="S29" s="2" t="s">
        <v>15</v>
      </c>
      <c r="T29" s="2">
        <v>71</v>
      </c>
      <c r="U29" s="2">
        <v>68</v>
      </c>
      <c r="V29" s="32">
        <v>105.88708125763804</v>
      </c>
      <c r="X29" s="33" t="s">
        <v>180</v>
      </c>
      <c r="Y29" s="5">
        <v>40518</v>
      </c>
      <c r="Z29" s="1">
        <v>1946</v>
      </c>
      <c r="AA29" s="104">
        <f>2010-Z29</f>
        <v>64</v>
      </c>
      <c r="AB29" s="1">
        <v>1</v>
      </c>
      <c r="AC29" s="1">
        <v>1</v>
      </c>
      <c r="AD29" s="1">
        <v>1</v>
      </c>
      <c r="AE29" s="1"/>
      <c r="AF29" s="2">
        <v>99</v>
      </c>
      <c r="AG29" s="32">
        <f t="shared" si="7"/>
        <v>69.095850191590543</v>
      </c>
      <c r="AI29" s="31" t="s">
        <v>258</v>
      </c>
      <c r="AJ29" s="2">
        <v>20090828</v>
      </c>
      <c r="AL29" s="1">
        <v>63</v>
      </c>
      <c r="AM29" s="2">
        <v>1</v>
      </c>
      <c r="AN29" s="2" t="s">
        <v>270</v>
      </c>
      <c r="AO29" s="2">
        <v>49</v>
      </c>
      <c r="AP29" s="2">
        <v>58</v>
      </c>
      <c r="AQ29" s="2">
        <v>76</v>
      </c>
      <c r="AR29" s="2">
        <f t="shared" si="8"/>
        <v>92.317206059959048</v>
      </c>
      <c r="AS29" s="32">
        <v>5.61</v>
      </c>
    </row>
    <row r="30" spans="1:45" x14ac:dyDescent="0.2">
      <c r="A30" s="33" t="s">
        <v>16</v>
      </c>
      <c r="B30" s="5">
        <v>39976</v>
      </c>
      <c r="C30" s="5">
        <v>19153</v>
      </c>
      <c r="D30" s="2">
        <v>57</v>
      </c>
      <c r="E30" s="2">
        <v>0</v>
      </c>
      <c r="F30" s="1">
        <v>0</v>
      </c>
      <c r="G30" s="1"/>
      <c r="H30" s="1">
        <v>1</v>
      </c>
      <c r="I30" s="65">
        <v>2</v>
      </c>
      <c r="J30" s="65">
        <v>3</v>
      </c>
      <c r="K30" s="65">
        <v>711</v>
      </c>
      <c r="L30" s="2">
        <f t="shared" si="4"/>
        <v>5.043282590849933</v>
      </c>
      <c r="M30" s="108">
        <v>1</v>
      </c>
      <c r="O30" s="31">
        <v>1900073395</v>
      </c>
      <c r="P30" s="2">
        <v>19990422</v>
      </c>
      <c r="Q30" s="2">
        <v>63.82</v>
      </c>
      <c r="R30" s="2">
        <v>0</v>
      </c>
      <c r="S30" s="2" t="s">
        <v>133</v>
      </c>
      <c r="T30" s="2">
        <v>18</v>
      </c>
      <c r="U30" s="2">
        <v>68</v>
      </c>
      <c r="V30" s="32">
        <v>82.094535567150132</v>
      </c>
      <c r="X30" s="56" t="s">
        <v>215</v>
      </c>
      <c r="Y30" s="1">
        <v>20170206</v>
      </c>
      <c r="Z30" s="1">
        <v>421122</v>
      </c>
      <c r="AA30" s="104">
        <f>2017-1942</f>
        <v>75</v>
      </c>
      <c r="AB30" s="1">
        <v>1</v>
      </c>
      <c r="AC30" s="1">
        <v>1</v>
      </c>
      <c r="AD30" s="1">
        <v>1</v>
      </c>
      <c r="AE30" s="1"/>
      <c r="AF30" s="1">
        <v>122</v>
      </c>
      <c r="AG30" s="32">
        <f t="shared" si="7"/>
        <v>49.682977295068881</v>
      </c>
      <c r="AI30" s="31" t="s">
        <v>259</v>
      </c>
      <c r="AJ30" s="2">
        <v>20091204</v>
      </c>
      <c r="AL30" s="1">
        <v>79</v>
      </c>
      <c r="AM30" s="2">
        <v>1</v>
      </c>
      <c r="AN30" s="2" t="s">
        <v>270</v>
      </c>
      <c r="AO30" s="2">
        <v>20</v>
      </c>
      <c r="AP30" s="2">
        <v>58</v>
      </c>
      <c r="AQ30" s="2">
        <v>86</v>
      </c>
      <c r="AR30" s="2">
        <f>141*((AQ30/79.6)^-1.209)*(0.993^AL30)</f>
        <v>73.723342145559116</v>
      </c>
      <c r="AS30" s="32">
        <v>5.66</v>
      </c>
    </row>
    <row r="31" spans="1:45" x14ac:dyDescent="0.2">
      <c r="A31" s="4" t="s">
        <v>73</v>
      </c>
      <c r="B31" s="12">
        <v>42389</v>
      </c>
      <c r="C31" s="10">
        <v>17733</v>
      </c>
      <c r="D31" s="2">
        <v>67.553424657534251</v>
      </c>
      <c r="E31" s="2">
        <v>1</v>
      </c>
      <c r="F31" s="19">
        <v>1</v>
      </c>
      <c r="G31" s="2">
        <v>1</v>
      </c>
      <c r="I31" s="65">
        <v>199</v>
      </c>
      <c r="J31" s="65">
        <v>96</v>
      </c>
      <c r="K31" s="65">
        <v>52</v>
      </c>
      <c r="L31" s="2">
        <f>141*((K31/79.6)^-0.411)*(0.993^D31)</f>
        <v>104.50288914155264</v>
      </c>
      <c r="M31" s="109">
        <v>0</v>
      </c>
      <c r="N31" s="88"/>
      <c r="O31" s="31">
        <v>1900073378</v>
      </c>
      <c r="P31" s="2">
        <v>20090205</v>
      </c>
      <c r="Q31" s="2">
        <v>27.19</v>
      </c>
      <c r="R31" s="2">
        <v>0</v>
      </c>
      <c r="S31" s="2" t="s">
        <v>15</v>
      </c>
      <c r="T31" s="2">
        <v>71</v>
      </c>
      <c r="U31" s="2">
        <v>69</v>
      </c>
      <c r="V31" s="32">
        <v>104.32730833614735</v>
      </c>
      <c r="X31" s="33" t="s">
        <v>179</v>
      </c>
      <c r="Y31" s="5">
        <v>40511</v>
      </c>
      <c r="Z31" s="1">
        <v>1938</v>
      </c>
      <c r="AA31" s="104">
        <f>2010-Z31</f>
        <v>72</v>
      </c>
      <c r="AB31" s="1">
        <v>1</v>
      </c>
      <c r="AC31" s="1">
        <v>1</v>
      </c>
      <c r="AD31" s="1">
        <v>1</v>
      </c>
      <c r="AE31" s="1"/>
      <c r="AF31" s="2">
        <v>137</v>
      </c>
      <c r="AG31" s="32">
        <f t="shared" si="7"/>
        <v>44.103569218894663</v>
      </c>
      <c r="AI31" s="31" t="s">
        <v>262</v>
      </c>
      <c r="AJ31" s="2">
        <v>20100930</v>
      </c>
      <c r="AL31" s="1">
        <v>67</v>
      </c>
      <c r="AM31" s="2">
        <v>1</v>
      </c>
      <c r="AN31" s="2" t="s">
        <v>270</v>
      </c>
      <c r="AO31" s="2">
        <v>87</v>
      </c>
      <c r="AP31" s="2">
        <v>93</v>
      </c>
      <c r="AQ31" s="2">
        <v>93</v>
      </c>
      <c r="AR31" s="2">
        <f t="shared" ref="AR31:AR34" si="9">141*((AQ31/79.6)^-1.209)*(0.993^AL31)</f>
        <v>72.967047902050069</v>
      </c>
      <c r="AS31" s="32">
        <v>6.27</v>
      </c>
    </row>
    <row r="32" spans="1:45" x14ac:dyDescent="0.2">
      <c r="A32" s="33" t="s">
        <v>25</v>
      </c>
      <c r="B32" s="5">
        <v>39777</v>
      </c>
      <c r="C32" s="5">
        <v>17839</v>
      </c>
      <c r="D32" s="2">
        <v>60.1</v>
      </c>
      <c r="E32" s="2">
        <v>1</v>
      </c>
      <c r="F32" s="1">
        <v>1</v>
      </c>
      <c r="G32" s="1">
        <v>1</v>
      </c>
      <c r="H32" s="1"/>
      <c r="I32" s="65">
        <v>43</v>
      </c>
      <c r="J32" s="65">
        <v>46</v>
      </c>
      <c r="K32" s="65">
        <v>55</v>
      </c>
      <c r="L32" s="2">
        <f t="shared" ref="L32:L39" si="10">141*((K32/79.6)^-0.411)*(0.993^D32)</f>
        <v>107.61062473008074</v>
      </c>
      <c r="M32" s="108">
        <v>0</v>
      </c>
      <c r="N32" s="88"/>
      <c r="O32" s="31">
        <v>1900073348</v>
      </c>
      <c r="P32" s="2">
        <v>20090120</v>
      </c>
      <c r="Q32" s="2">
        <v>70.88</v>
      </c>
      <c r="R32" s="2">
        <v>0</v>
      </c>
      <c r="S32" s="2" t="s">
        <v>11</v>
      </c>
      <c r="T32" s="2">
        <v>15</v>
      </c>
      <c r="U32" s="2">
        <v>71</v>
      </c>
      <c r="V32" s="32">
        <v>74.14944018169551</v>
      </c>
      <c r="X32" s="33" t="s">
        <v>181</v>
      </c>
      <c r="Y32" s="5">
        <v>40525</v>
      </c>
      <c r="Z32" s="1">
        <v>1930</v>
      </c>
      <c r="AA32" s="104">
        <f>2010-Z32</f>
        <v>80</v>
      </c>
      <c r="AB32" s="1">
        <v>1</v>
      </c>
      <c r="AC32" s="1">
        <v>1</v>
      </c>
      <c r="AD32" s="1">
        <v>1</v>
      </c>
      <c r="AE32" s="1"/>
      <c r="AF32" s="2">
        <v>141</v>
      </c>
      <c r="AG32" s="32">
        <f t="shared" si="7"/>
        <v>40.26771479656523</v>
      </c>
      <c r="AI32" s="31" t="s">
        <v>240</v>
      </c>
      <c r="AJ32" s="2">
        <v>20020110</v>
      </c>
      <c r="AL32" s="1">
        <v>63</v>
      </c>
      <c r="AM32" s="2">
        <v>1</v>
      </c>
      <c r="AN32" s="2" t="s">
        <v>270</v>
      </c>
      <c r="AO32" s="2">
        <v>47</v>
      </c>
      <c r="AP32" s="2">
        <v>76</v>
      </c>
      <c r="AQ32" s="2">
        <v>100</v>
      </c>
      <c r="AR32" s="2">
        <f t="shared" si="9"/>
        <v>68.742554516887978</v>
      </c>
      <c r="AS32" s="32">
        <v>7.64</v>
      </c>
    </row>
    <row r="33" spans="1:45" x14ac:dyDescent="0.2">
      <c r="A33" s="31" t="s">
        <v>42</v>
      </c>
      <c r="B33" s="5">
        <v>41173</v>
      </c>
      <c r="C33" s="10"/>
      <c r="D33" s="2">
        <v>55</v>
      </c>
      <c r="E33" s="2">
        <v>1</v>
      </c>
      <c r="F33" s="1">
        <v>1</v>
      </c>
      <c r="G33" s="1">
        <v>1</v>
      </c>
      <c r="H33" s="1"/>
      <c r="I33" s="65">
        <v>55</v>
      </c>
      <c r="J33" s="65">
        <v>55</v>
      </c>
      <c r="K33" s="65">
        <v>58</v>
      </c>
      <c r="L33" s="2">
        <f t="shared" si="10"/>
        <v>109.12748475131414</v>
      </c>
      <c r="M33" s="108">
        <v>0</v>
      </c>
      <c r="N33" s="88"/>
      <c r="O33" s="31">
        <v>1900073321</v>
      </c>
      <c r="P33" s="2">
        <v>19900117</v>
      </c>
      <c r="Q33" s="2">
        <v>55.5</v>
      </c>
      <c r="R33" s="2">
        <v>0</v>
      </c>
      <c r="S33" s="2" t="s">
        <v>165</v>
      </c>
      <c r="T33" s="2">
        <v>64</v>
      </c>
      <c r="U33" s="2">
        <v>72</v>
      </c>
      <c r="V33" s="32">
        <v>81.224077969474251</v>
      </c>
      <c r="X33" s="33" t="s">
        <v>186</v>
      </c>
      <c r="Y33" s="5">
        <v>40710</v>
      </c>
      <c r="Z33" s="1">
        <v>1928</v>
      </c>
      <c r="AA33" s="104">
        <f>2011-Z33</f>
        <v>83</v>
      </c>
      <c r="AB33" s="1">
        <v>1</v>
      </c>
      <c r="AC33" s="1">
        <v>1</v>
      </c>
      <c r="AD33" s="1">
        <v>1</v>
      </c>
      <c r="AE33" s="1"/>
      <c r="AF33" s="2">
        <v>184</v>
      </c>
      <c r="AG33" s="32">
        <f t="shared" si="7"/>
        <v>28.578924995384142</v>
      </c>
      <c r="AI33" s="31" t="s">
        <v>239</v>
      </c>
      <c r="AJ33" s="2">
        <v>20011214</v>
      </c>
      <c r="AL33" s="1">
        <v>73</v>
      </c>
      <c r="AM33" s="2">
        <v>1</v>
      </c>
      <c r="AN33" s="2" t="s">
        <v>270</v>
      </c>
      <c r="AO33" s="2">
        <v>65</v>
      </c>
      <c r="AP33" s="2">
        <v>100</v>
      </c>
      <c r="AQ33" s="2">
        <v>106</v>
      </c>
      <c r="AR33" s="2">
        <f t="shared" si="9"/>
        <v>59.720489752789213</v>
      </c>
      <c r="AS33" s="32">
        <v>5.7</v>
      </c>
    </row>
    <row r="34" spans="1:45" x14ac:dyDescent="0.2">
      <c r="A34" s="33" t="s">
        <v>33</v>
      </c>
      <c r="B34" s="5">
        <v>41330</v>
      </c>
      <c r="C34" s="5">
        <v>20429</v>
      </c>
      <c r="D34" s="2">
        <v>57.2</v>
      </c>
      <c r="E34" s="2">
        <v>1</v>
      </c>
      <c r="F34" s="1">
        <v>1</v>
      </c>
      <c r="G34" s="1">
        <v>1</v>
      </c>
      <c r="H34" s="1"/>
      <c r="I34" s="65">
        <v>6</v>
      </c>
      <c r="J34" s="65">
        <v>53</v>
      </c>
      <c r="K34" s="65">
        <v>68</v>
      </c>
      <c r="L34" s="2">
        <f t="shared" si="10"/>
        <v>100.65381362345894</v>
      </c>
      <c r="M34" s="108">
        <v>0</v>
      </c>
      <c r="N34" s="88"/>
      <c r="O34" s="31">
        <v>1900073283</v>
      </c>
      <c r="P34" s="2">
        <v>19990510</v>
      </c>
      <c r="Q34" s="2">
        <v>25.97</v>
      </c>
      <c r="R34" s="2">
        <v>0</v>
      </c>
      <c r="S34" s="2" t="s">
        <v>147</v>
      </c>
      <c r="T34" s="2">
        <v>40</v>
      </c>
      <c r="U34" s="2">
        <v>72</v>
      </c>
      <c r="V34" s="32">
        <v>99.947855902802885</v>
      </c>
      <c r="X34" s="87" t="s">
        <v>178</v>
      </c>
      <c r="Y34" s="57">
        <v>40511</v>
      </c>
      <c r="Z34" s="58">
        <v>1956</v>
      </c>
      <c r="AA34" s="105">
        <f>2010-Z34</f>
        <v>54</v>
      </c>
      <c r="AB34" s="58">
        <v>1</v>
      </c>
      <c r="AC34" s="58">
        <v>1</v>
      </c>
      <c r="AD34" s="58">
        <v>1</v>
      </c>
      <c r="AE34" s="1"/>
      <c r="AF34" s="2">
        <v>384</v>
      </c>
      <c r="AG34" s="32">
        <f t="shared" si="7"/>
        <v>14.395474350350224</v>
      </c>
      <c r="AI34" s="31" t="s">
        <v>257</v>
      </c>
      <c r="AJ34" s="2">
        <v>20090819</v>
      </c>
      <c r="AL34" s="1">
        <v>68</v>
      </c>
      <c r="AM34" s="2">
        <v>1</v>
      </c>
      <c r="AN34" s="2" t="s">
        <v>270</v>
      </c>
      <c r="AO34" s="2">
        <v>71</v>
      </c>
      <c r="AP34" s="2">
        <v>79</v>
      </c>
      <c r="AQ34" s="2">
        <v>128</v>
      </c>
      <c r="AR34" s="2">
        <f t="shared" si="9"/>
        <v>49.244196535976279</v>
      </c>
      <c r="AS34" s="32">
        <v>5.51</v>
      </c>
    </row>
    <row r="35" spans="1:45" x14ac:dyDescent="0.2">
      <c r="A35" s="31" t="s">
        <v>12</v>
      </c>
      <c r="B35" s="2">
        <v>20190924</v>
      </c>
      <c r="C35" s="2">
        <v>710723</v>
      </c>
      <c r="D35" s="2">
        <f>2019-1971</f>
        <v>48</v>
      </c>
      <c r="E35" s="1">
        <v>1</v>
      </c>
      <c r="F35" s="2">
        <v>1</v>
      </c>
      <c r="G35" s="2">
        <v>1</v>
      </c>
      <c r="I35" s="110">
        <v>21</v>
      </c>
      <c r="J35" s="110">
        <v>4.5</v>
      </c>
      <c r="K35" s="110">
        <v>69</v>
      </c>
      <c r="L35" s="2">
        <f t="shared" si="10"/>
        <v>106.7311859103025</v>
      </c>
      <c r="M35" s="108">
        <v>0</v>
      </c>
      <c r="N35" s="88"/>
      <c r="O35" s="31">
        <v>1900073272</v>
      </c>
      <c r="P35" s="2">
        <v>19990223</v>
      </c>
      <c r="Q35" s="2">
        <v>43.12</v>
      </c>
      <c r="R35" s="2">
        <v>0</v>
      </c>
      <c r="S35" s="2" t="s">
        <v>164</v>
      </c>
      <c r="T35" s="2">
        <v>63</v>
      </c>
      <c r="U35" s="2">
        <v>77</v>
      </c>
      <c r="V35" s="32">
        <v>81.696000380686286</v>
      </c>
      <c r="X35" s="33" t="s">
        <v>235</v>
      </c>
      <c r="Y35" s="5">
        <v>40255</v>
      </c>
      <c r="Z35" s="5">
        <v>20359</v>
      </c>
      <c r="AA35" s="104">
        <f>(Y35-Z35)/365</f>
        <v>54.509589041095893</v>
      </c>
      <c r="AB35" s="1">
        <v>1</v>
      </c>
      <c r="AC35" s="1">
        <v>0</v>
      </c>
      <c r="AD35" s="1"/>
      <c r="AE35" s="1">
        <v>1</v>
      </c>
      <c r="AG35" s="32"/>
      <c r="AI35" s="33" t="s">
        <v>271</v>
      </c>
      <c r="AJ35" s="2">
        <v>20170202</v>
      </c>
      <c r="AK35" s="2">
        <v>800324</v>
      </c>
      <c r="AL35" s="2">
        <f>2017-1980</f>
        <v>37</v>
      </c>
      <c r="AM35" s="2">
        <v>0</v>
      </c>
      <c r="AN35" s="1" t="s">
        <v>288</v>
      </c>
      <c r="AQ35" s="1">
        <v>84</v>
      </c>
      <c r="AR35" s="2">
        <f t="shared" ref="AR35" si="11">144*((AQ35/61.9)^-1.209)*(0.993^AL35)</f>
        <v>76.76884811416069</v>
      </c>
      <c r="AS35" s="32"/>
    </row>
    <row r="36" spans="1:45" x14ac:dyDescent="0.2">
      <c r="A36" s="33" t="s">
        <v>27</v>
      </c>
      <c r="B36" s="5">
        <v>40375</v>
      </c>
      <c r="C36" s="5">
        <v>19247</v>
      </c>
      <c r="D36" s="2">
        <v>57.8</v>
      </c>
      <c r="E36" s="2">
        <v>1</v>
      </c>
      <c r="F36" s="1">
        <v>1</v>
      </c>
      <c r="G36" s="1">
        <v>1</v>
      </c>
      <c r="H36" s="1"/>
      <c r="I36" s="65">
        <v>1</v>
      </c>
      <c r="J36" s="65">
        <v>26</v>
      </c>
      <c r="K36" s="65">
        <v>69</v>
      </c>
      <c r="L36" s="2">
        <f t="shared" si="10"/>
        <v>99.630880906138955</v>
      </c>
      <c r="M36" s="108">
        <v>1</v>
      </c>
      <c r="N36" s="88"/>
      <c r="O36" s="31">
        <v>1900073369</v>
      </c>
      <c r="P36" s="2">
        <v>20090325</v>
      </c>
      <c r="Q36" s="2">
        <v>58.41</v>
      </c>
      <c r="R36" s="2">
        <v>0</v>
      </c>
      <c r="S36" s="2" t="s">
        <v>126</v>
      </c>
      <c r="T36" s="2">
        <v>8</v>
      </c>
      <c r="U36" s="2">
        <v>84</v>
      </c>
      <c r="V36" s="32">
        <v>66.049332738785822</v>
      </c>
      <c r="X36" s="33" t="s">
        <v>194</v>
      </c>
      <c r="Y36" s="5">
        <v>40668</v>
      </c>
      <c r="Z36" s="5">
        <v>33395</v>
      </c>
      <c r="AA36" s="104">
        <f t="shared" ref="AA36:AA48" si="12">(Y36-Z36)/365</f>
        <v>19.926027397260274</v>
      </c>
      <c r="AB36" s="1">
        <v>0</v>
      </c>
      <c r="AC36" s="1">
        <v>0</v>
      </c>
      <c r="AD36" s="1"/>
      <c r="AE36" s="1">
        <v>1</v>
      </c>
      <c r="AG36" s="32"/>
      <c r="AI36" s="60" t="s">
        <v>277</v>
      </c>
      <c r="AJ36" s="59">
        <v>40121</v>
      </c>
      <c r="AN36" s="1" t="s">
        <v>288</v>
      </c>
      <c r="AS36" s="32"/>
    </row>
    <row r="37" spans="1:45" x14ac:dyDescent="0.2">
      <c r="A37" s="33" t="s">
        <v>24</v>
      </c>
      <c r="B37" s="5">
        <v>39911</v>
      </c>
      <c r="C37" s="5">
        <v>26777</v>
      </c>
      <c r="D37" s="2">
        <v>36</v>
      </c>
      <c r="E37" s="2">
        <v>1</v>
      </c>
      <c r="F37" s="1">
        <v>1</v>
      </c>
      <c r="G37" s="1">
        <v>1</v>
      </c>
      <c r="H37" s="1"/>
      <c r="I37" s="65">
        <v>27</v>
      </c>
      <c r="J37" s="65">
        <v>81</v>
      </c>
      <c r="K37" s="65">
        <v>74</v>
      </c>
      <c r="L37" s="2">
        <f t="shared" si="10"/>
        <v>112.82701346910495</v>
      </c>
      <c r="M37" s="108">
        <v>0</v>
      </c>
      <c r="N37" s="88"/>
      <c r="O37" s="31">
        <v>1900073429</v>
      </c>
      <c r="P37" s="2">
        <v>20040113</v>
      </c>
      <c r="Q37" s="2">
        <v>71.64</v>
      </c>
      <c r="R37" s="2">
        <v>0</v>
      </c>
      <c r="S37" s="2" t="s">
        <v>11</v>
      </c>
      <c r="T37" s="2">
        <v>15</v>
      </c>
      <c r="U37" s="2">
        <v>85</v>
      </c>
      <c r="V37" s="32">
        <v>59.332571024570839</v>
      </c>
      <c r="X37" s="33" t="s">
        <v>370</v>
      </c>
      <c r="Y37" s="5">
        <v>41081</v>
      </c>
      <c r="Z37" s="5">
        <v>22237</v>
      </c>
      <c r="AA37" s="104">
        <f t="shared" si="12"/>
        <v>51.627397260273973</v>
      </c>
      <c r="AB37" s="1">
        <v>1</v>
      </c>
      <c r="AC37" s="1">
        <v>1</v>
      </c>
      <c r="AD37" s="1">
        <v>1</v>
      </c>
      <c r="AE37" s="1"/>
      <c r="AG37" s="32"/>
      <c r="AI37" s="60" t="s">
        <v>279</v>
      </c>
      <c r="AJ37" s="59">
        <v>40359</v>
      </c>
      <c r="AN37" s="1" t="s">
        <v>288</v>
      </c>
      <c r="AS37" s="32"/>
    </row>
    <row r="38" spans="1:45" x14ac:dyDescent="0.2">
      <c r="A38" s="36" t="s">
        <v>37</v>
      </c>
      <c r="B38" s="26" t="s">
        <v>77</v>
      </c>
      <c r="C38" s="7">
        <v>26096</v>
      </c>
      <c r="D38" s="2">
        <v>44.126027397260273</v>
      </c>
      <c r="E38" s="2">
        <v>1</v>
      </c>
      <c r="F38" s="14">
        <v>1</v>
      </c>
      <c r="G38" s="18">
        <v>1</v>
      </c>
      <c r="H38" s="101"/>
      <c r="I38" s="65">
        <v>107</v>
      </c>
      <c r="J38" s="65">
        <v>99</v>
      </c>
      <c r="K38" s="65">
        <v>74</v>
      </c>
      <c r="L38" s="2">
        <f t="shared" si="10"/>
        <v>106.56696619096546</v>
      </c>
      <c r="M38" s="108">
        <v>1</v>
      </c>
      <c r="N38" s="88"/>
      <c r="O38" s="31">
        <v>1900073328</v>
      </c>
      <c r="P38" s="2">
        <v>19940421</v>
      </c>
      <c r="Q38" s="2">
        <v>64.28</v>
      </c>
      <c r="R38" s="2">
        <v>0</v>
      </c>
      <c r="S38" s="2" t="s">
        <v>133</v>
      </c>
      <c r="T38" s="2">
        <v>18</v>
      </c>
      <c r="U38" s="2">
        <v>88</v>
      </c>
      <c r="V38" s="32">
        <v>59.914871113097753</v>
      </c>
      <c r="X38" s="33" t="s">
        <v>195</v>
      </c>
      <c r="Y38" s="5">
        <v>39857</v>
      </c>
      <c r="Z38" s="5">
        <v>13625</v>
      </c>
      <c r="AA38" s="104">
        <f t="shared" si="12"/>
        <v>71.868493150684927</v>
      </c>
      <c r="AB38" s="1">
        <v>1</v>
      </c>
      <c r="AC38" s="1">
        <v>1</v>
      </c>
      <c r="AD38" s="1">
        <v>1</v>
      </c>
      <c r="AE38" s="1"/>
      <c r="AG38" s="34"/>
      <c r="AI38" s="60" t="s">
        <v>282</v>
      </c>
      <c r="AJ38" s="59">
        <v>41059</v>
      </c>
      <c r="AN38" s="1" t="s">
        <v>288</v>
      </c>
      <c r="AS38" s="32"/>
    </row>
    <row r="39" spans="1:45" x14ac:dyDescent="0.2">
      <c r="A39" s="31" t="s">
        <v>55</v>
      </c>
      <c r="B39" s="10">
        <v>41593</v>
      </c>
      <c r="C39" s="10">
        <v>17618</v>
      </c>
      <c r="D39" s="2">
        <v>65</v>
      </c>
      <c r="E39" s="2">
        <v>1</v>
      </c>
      <c r="F39" s="2">
        <v>1</v>
      </c>
      <c r="G39" s="2">
        <v>1</v>
      </c>
      <c r="I39" s="65">
        <v>96</v>
      </c>
      <c r="J39" s="65">
        <v>74</v>
      </c>
      <c r="K39" s="65">
        <v>74</v>
      </c>
      <c r="L39" s="2">
        <f t="shared" si="10"/>
        <v>92.032516822932919</v>
      </c>
      <c r="M39" s="109">
        <v>0</v>
      </c>
      <c r="N39" s="88"/>
      <c r="O39" s="31">
        <v>1900073230</v>
      </c>
      <c r="P39" s="2">
        <v>20090130</v>
      </c>
      <c r="Q39" s="2">
        <v>55.56</v>
      </c>
      <c r="R39" s="2">
        <v>0</v>
      </c>
      <c r="S39" s="2" t="s">
        <v>10</v>
      </c>
      <c r="T39" s="2">
        <v>19</v>
      </c>
      <c r="U39" s="2">
        <v>116</v>
      </c>
      <c r="V39" s="32">
        <v>45.61283060579656</v>
      </c>
      <c r="X39" s="33" t="s">
        <v>196</v>
      </c>
      <c r="Y39" s="5">
        <v>41141</v>
      </c>
      <c r="Z39" s="5">
        <v>11557</v>
      </c>
      <c r="AA39" s="104">
        <f t="shared" si="12"/>
        <v>81.052054794520544</v>
      </c>
      <c r="AB39" s="1">
        <v>0</v>
      </c>
      <c r="AC39" s="1">
        <v>0</v>
      </c>
      <c r="AD39" s="1"/>
      <c r="AE39" s="1">
        <v>1</v>
      </c>
      <c r="AG39" s="34"/>
      <c r="AI39" s="60" t="s">
        <v>283</v>
      </c>
      <c r="AJ39" s="59">
        <v>41204</v>
      </c>
      <c r="AN39" s="107" t="s">
        <v>289</v>
      </c>
      <c r="AS39" s="32"/>
    </row>
    <row r="40" spans="1:45" x14ac:dyDescent="0.2">
      <c r="A40" s="33" t="s">
        <v>369</v>
      </c>
      <c r="B40" s="5">
        <v>41081</v>
      </c>
      <c r="C40" s="5">
        <v>22237</v>
      </c>
      <c r="D40" s="2">
        <v>51.6</v>
      </c>
      <c r="E40" s="2">
        <v>1</v>
      </c>
      <c r="F40" s="1">
        <v>1</v>
      </c>
      <c r="G40" s="1">
        <v>1</v>
      </c>
      <c r="H40" s="1"/>
      <c r="I40" s="65">
        <v>8</v>
      </c>
      <c r="J40" s="65">
        <v>64</v>
      </c>
      <c r="K40" s="65">
        <v>81</v>
      </c>
      <c r="L40" s="2">
        <f>141*((K40/79.6)^-1.209)*(0.993^D40)</f>
        <v>96.082843252588717</v>
      </c>
      <c r="M40" s="108">
        <v>1</v>
      </c>
      <c r="N40" s="88"/>
      <c r="O40" s="31">
        <v>1900073241</v>
      </c>
      <c r="P40" s="2">
        <v>20140115</v>
      </c>
      <c r="Q40" s="2">
        <v>57.59</v>
      </c>
      <c r="R40" s="2">
        <v>0</v>
      </c>
      <c r="S40" s="2" t="s">
        <v>135</v>
      </c>
      <c r="T40" s="2">
        <v>21</v>
      </c>
      <c r="U40" s="2">
        <v>170</v>
      </c>
      <c r="V40" s="32">
        <v>28.327676988952618</v>
      </c>
      <c r="X40" s="33" t="s">
        <v>197</v>
      </c>
      <c r="Y40" s="5">
        <v>41432</v>
      </c>
      <c r="Z40" s="5">
        <v>18307</v>
      </c>
      <c r="AA40" s="104">
        <f t="shared" si="12"/>
        <v>63.356164383561641</v>
      </c>
      <c r="AB40" s="1">
        <v>1</v>
      </c>
      <c r="AC40" s="1">
        <v>0</v>
      </c>
      <c r="AD40" s="1"/>
      <c r="AE40" s="1">
        <v>1</v>
      </c>
      <c r="AG40" s="34"/>
      <c r="AI40" s="60" t="s">
        <v>284</v>
      </c>
      <c r="AJ40" s="59">
        <v>41239</v>
      </c>
      <c r="AN40" s="1" t="s">
        <v>288</v>
      </c>
      <c r="AS40" s="32"/>
    </row>
    <row r="41" spans="1:45" x14ac:dyDescent="0.2">
      <c r="A41" s="31" t="s">
        <v>47</v>
      </c>
      <c r="B41" s="15" t="s">
        <v>87</v>
      </c>
      <c r="C41" s="6" t="s">
        <v>88</v>
      </c>
      <c r="D41" s="2">
        <v>55.369863013698627</v>
      </c>
      <c r="E41" s="2">
        <v>1</v>
      </c>
      <c r="F41" s="15">
        <v>1</v>
      </c>
      <c r="G41" s="1">
        <v>1</v>
      </c>
      <c r="H41" s="1"/>
      <c r="I41" s="65">
        <v>8</v>
      </c>
      <c r="J41" s="65">
        <v>26</v>
      </c>
      <c r="K41" s="65">
        <v>82</v>
      </c>
      <c r="L41" s="2">
        <f t="shared" ref="L41:L69" si="13">141*((K41/79.6)^-1.209)*(0.993^D41)</f>
        <v>92.19393909527443</v>
      </c>
      <c r="M41" s="108">
        <v>0</v>
      </c>
      <c r="N41" s="88"/>
      <c r="O41" s="31">
        <v>1900073293</v>
      </c>
      <c r="P41" s="2">
        <v>19910416</v>
      </c>
      <c r="Q41" s="2">
        <v>29.3</v>
      </c>
      <c r="R41" s="2">
        <v>0</v>
      </c>
      <c r="S41" s="2" t="s">
        <v>13</v>
      </c>
      <c r="T41" s="2">
        <v>70</v>
      </c>
      <c r="U41" s="128"/>
      <c r="V41" s="136">
        <v>113</v>
      </c>
      <c r="X41" s="33" t="s">
        <v>198</v>
      </c>
      <c r="Y41" s="5">
        <v>41506</v>
      </c>
      <c r="Z41" s="5">
        <v>9901</v>
      </c>
      <c r="AA41" s="104">
        <f t="shared" si="12"/>
        <v>86.589041095890408</v>
      </c>
      <c r="AB41" s="1">
        <v>0</v>
      </c>
      <c r="AC41" s="1">
        <v>1</v>
      </c>
      <c r="AD41" s="1">
        <v>1</v>
      </c>
      <c r="AE41" s="1"/>
      <c r="AG41" s="34"/>
      <c r="AI41" s="60" t="s">
        <v>285</v>
      </c>
      <c r="AJ41" s="59">
        <v>42744</v>
      </c>
      <c r="AK41" s="1"/>
      <c r="AL41" s="1"/>
      <c r="AM41" s="1"/>
      <c r="AN41" s="1" t="s">
        <v>288</v>
      </c>
      <c r="AS41" s="32"/>
    </row>
    <row r="42" spans="1:45" x14ac:dyDescent="0.2">
      <c r="A42" s="33" t="s">
        <v>29</v>
      </c>
      <c r="B42" s="5">
        <v>40893</v>
      </c>
      <c r="C42" s="5">
        <v>25736</v>
      </c>
      <c r="D42" s="2">
        <v>41.5</v>
      </c>
      <c r="E42" s="2">
        <v>1</v>
      </c>
      <c r="F42" s="1">
        <v>1</v>
      </c>
      <c r="G42" s="1">
        <v>1</v>
      </c>
      <c r="H42" s="1"/>
      <c r="I42" s="65">
        <v>36</v>
      </c>
      <c r="J42" s="65">
        <v>64</v>
      </c>
      <c r="K42" s="65">
        <v>84</v>
      </c>
      <c r="L42" s="2">
        <f t="shared" si="13"/>
        <v>98.710458066677305</v>
      </c>
      <c r="M42" s="108">
        <v>0</v>
      </c>
      <c r="O42" s="31">
        <v>1900073300</v>
      </c>
      <c r="P42" s="2">
        <v>19910603</v>
      </c>
      <c r="Q42" s="2">
        <v>29.46</v>
      </c>
      <c r="R42" s="2">
        <v>0</v>
      </c>
      <c r="S42" s="2" t="s">
        <v>13</v>
      </c>
      <c r="T42" s="2">
        <v>70</v>
      </c>
      <c r="U42" s="128"/>
      <c r="V42" s="136">
        <v>113</v>
      </c>
      <c r="X42" s="33" t="s">
        <v>367</v>
      </c>
      <c r="Y42" s="5">
        <v>41243</v>
      </c>
      <c r="Z42" s="5">
        <v>14192</v>
      </c>
      <c r="AA42" s="104">
        <f t="shared" si="12"/>
        <v>74.112328767123287</v>
      </c>
      <c r="AB42" s="1">
        <v>1</v>
      </c>
      <c r="AC42" s="1">
        <v>0</v>
      </c>
      <c r="AD42" s="1"/>
      <c r="AE42" s="1">
        <v>1</v>
      </c>
      <c r="AG42" s="34"/>
      <c r="AI42" s="60" t="s">
        <v>286</v>
      </c>
      <c r="AJ42" s="59">
        <v>38470</v>
      </c>
      <c r="AN42" s="1" t="s">
        <v>288</v>
      </c>
      <c r="AS42" s="32"/>
    </row>
    <row r="43" spans="1:45" x14ac:dyDescent="0.2">
      <c r="A43" s="33" t="s">
        <v>34</v>
      </c>
      <c r="B43" s="5">
        <v>41537</v>
      </c>
      <c r="C43" s="5">
        <v>21896</v>
      </c>
      <c r="D43" s="2">
        <v>53.8</v>
      </c>
      <c r="E43" s="2">
        <v>1</v>
      </c>
      <c r="F43" s="1">
        <v>1</v>
      </c>
      <c r="G43" s="1">
        <v>1</v>
      </c>
      <c r="H43" s="1"/>
      <c r="I43" s="65">
        <v>5</v>
      </c>
      <c r="J43" s="65">
        <v>44</v>
      </c>
      <c r="K43" s="65">
        <v>85</v>
      </c>
      <c r="L43" s="2">
        <f t="shared" si="13"/>
        <v>89.253467900130616</v>
      </c>
      <c r="M43" s="108">
        <v>1</v>
      </c>
      <c r="N43" s="88"/>
      <c r="O43" s="31">
        <v>1900073320</v>
      </c>
      <c r="P43" s="2">
        <v>19901102</v>
      </c>
      <c r="Q43" s="2">
        <v>30.81</v>
      </c>
      <c r="R43" s="2">
        <v>0</v>
      </c>
      <c r="S43" s="2" t="s">
        <v>139</v>
      </c>
      <c r="T43" s="2">
        <v>27</v>
      </c>
      <c r="U43" s="128"/>
      <c r="V43" s="136">
        <v>109</v>
      </c>
      <c r="X43" s="33" t="s">
        <v>236</v>
      </c>
      <c r="Y43" s="5">
        <v>41533</v>
      </c>
      <c r="Z43" s="5">
        <v>20189</v>
      </c>
      <c r="AA43" s="104">
        <f t="shared" si="12"/>
        <v>58.476712328767121</v>
      </c>
      <c r="AB43" s="1">
        <v>0</v>
      </c>
      <c r="AC43" s="1">
        <v>1</v>
      </c>
      <c r="AD43" s="1">
        <v>1</v>
      </c>
      <c r="AE43" s="1">
        <v>1</v>
      </c>
      <c r="AG43" s="32"/>
      <c r="AI43" s="60" t="s">
        <v>273</v>
      </c>
      <c r="AJ43" s="59">
        <v>35334</v>
      </c>
      <c r="AN43" s="107" t="s">
        <v>289</v>
      </c>
      <c r="AS43" s="32"/>
    </row>
    <row r="44" spans="1:45" x14ac:dyDescent="0.2">
      <c r="A44" s="31" t="s">
        <v>67</v>
      </c>
      <c r="B44" s="12">
        <v>41386</v>
      </c>
      <c r="C44" s="10">
        <v>14012</v>
      </c>
      <c r="D44" s="2">
        <v>74</v>
      </c>
      <c r="E44" s="2">
        <v>1</v>
      </c>
      <c r="F44" s="2">
        <v>1</v>
      </c>
      <c r="G44" s="2">
        <v>1</v>
      </c>
      <c r="I44" s="65">
        <v>84</v>
      </c>
      <c r="J44" s="65">
        <v>55</v>
      </c>
      <c r="K44" s="65">
        <v>86</v>
      </c>
      <c r="L44" s="2">
        <f t="shared" si="13"/>
        <v>76.358743374499525</v>
      </c>
      <c r="M44" s="109">
        <v>0</v>
      </c>
      <c r="N44" s="88"/>
      <c r="O44" s="31">
        <v>1900073298</v>
      </c>
      <c r="P44" s="2">
        <v>19971104</v>
      </c>
      <c r="Q44" s="2">
        <v>31.1</v>
      </c>
      <c r="R44" s="2">
        <v>0</v>
      </c>
      <c r="S44" s="2" t="s">
        <v>163</v>
      </c>
      <c r="T44" s="2">
        <v>62</v>
      </c>
      <c r="U44" s="128"/>
      <c r="V44" s="136">
        <v>109</v>
      </c>
      <c r="X44" s="36" t="s">
        <v>199</v>
      </c>
      <c r="Y44" s="106" t="s">
        <v>200</v>
      </c>
      <c r="Z44" s="6">
        <v>18301</v>
      </c>
      <c r="AA44" s="104">
        <f t="shared" si="12"/>
        <v>65.172602739726031</v>
      </c>
      <c r="AB44" s="14">
        <v>1</v>
      </c>
      <c r="AC44" s="1">
        <v>0</v>
      </c>
      <c r="AD44" s="53"/>
      <c r="AE44" s="101">
        <v>1</v>
      </c>
      <c r="AG44" s="32"/>
      <c r="AI44" s="60" t="s">
        <v>274</v>
      </c>
      <c r="AJ44" s="59">
        <v>36588</v>
      </c>
      <c r="AN44" s="107" t="s">
        <v>289</v>
      </c>
      <c r="AS44" s="32"/>
    </row>
    <row r="45" spans="1:45" x14ac:dyDescent="0.2">
      <c r="A45" s="33" t="s">
        <v>32</v>
      </c>
      <c r="B45" s="5">
        <v>41205</v>
      </c>
      <c r="C45" s="5">
        <v>32211</v>
      </c>
      <c r="D45" s="2">
        <v>24.6</v>
      </c>
      <c r="E45" s="2">
        <v>1</v>
      </c>
      <c r="F45" s="1">
        <v>1</v>
      </c>
      <c r="G45" s="1">
        <v>1</v>
      </c>
      <c r="H45" s="1"/>
      <c r="I45" s="65">
        <v>4</v>
      </c>
      <c r="J45" s="65">
        <v>10</v>
      </c>
      <c r="K45" s="65">
        <v>89</v>
      </c>
      <c r="L45" s="2">
        <f t="shared" si="13"/>
        <v>103.6482577925715</v>
      </c>
      <c r="M45" s="108">
        <v>1</v>
      </c>
      <c r="N45" s="88"/>
      <c r="O45" s="31">
        <v>1900073345</v>
      </c>
      <c r="P45" s="2">
        <v>19930909</v>
      </c>
      <c r="Q45" s="2">
        <v>31.14</v>
      </c>
      <c r="R45" s="2">
        <v>0</v>
      </c>
      <c r="S45" s="2" t="s">
        <v>163</v>
      </c>
      <c r="T45" s="2">
        <v>62</v>
      </c>
      <c r="U45" s="128"/>
      <c r="V45" s="136">
        <v>109</v>
      </c>
      <c r="X45" s="36" t="s">
        <v>201</v>
      </c>
      <c r="Y45" s="106" t="s">
        <v>202</v>
      </c>
      <c r="Z45" s="6">
        <v>17434</v>
      </c>
      <c r="AA45" s="104">
        <f t="shared" si="12"/>
        <v>67.583561643835623</v>
      </c>
      <c r="AB45" s="14">
        <v>1</v>
      </c>
      <c r="AC45" s="1">
        <v>1</v>
      </c>
      <c r="AD45" s="17">
        <v>1</v>
      </c>
      <c r="AE45" s="101"/>
      <c r="AG45" s="32"/>
      <c r="AI45" s="60" t="s">
        <v>275</v>
      </c>
      <c r="AJ45" s="59">
        <v>36606</v>
      </c>
      <c r="AN45" s="107" t="s">
        <v>289</v>
      </c>
      <c r="AS45" s="32"/>
    </row>
    <row r="46" spans="1:45" x14ac:dyDescent="0.2">
      <c r="A46" s="33" t="s">
        <v>18</v>
      </c>
      <c r="B46" s="5">
        <v>39884</v>
      </c>
      <c r="C46" s="5">
        <v>13409</v>
      </c>
      <c r="D46" s="2">
        <v>72.5</v>
      </c>
      <c r="E46" s="2">
        <v>1</v>
      </c>
      <c r="F46" s="1">
        <v>0</v>
      </c>
      <c r="G46" s="1"/>
      <c r="H46" s="1">
        <v>1</v>
      </c>
      <c r="I46" s="65">
        <v>28</v>
      </c>
      <c r="J46" s="65">
        <v>48</v>
      </c>
      <c r="K46" s="65">
        <v>91</v>
      </c>
      <c r="L46" s="2">
        <f t="shared" si="13"/>
        <v>72.071321299462966</v>
      </c>
      <c r="M46" s="108">
        <v>1</v>
      </c>
      <c r="N46" s="88"/>
      <c r="O46" s="31">
        <v>1900073338</v>
      </c>
      <c r="P46" s="2">
        <v>19891101</v>
      </c>
      <c r="Q46" s="2">
        <v>36.26</v>
      </c>
      <c r="R46" s="2">
        <v>0</v>
      </c>
      <c r="S46" s="2" t="s">
        <v>146</v>
      </c>
      <c r="T46" s="2">
        <v>39</v>
      </c>
      <c r="U46" s="128"/>
      <c r="V46" s="136">
        <v>104</v>
      </c>
      <c r="X46" s="37" t="s">
        <v>203</v>
      </c>
      <c r="Y46" s="6" t="s">
        <v>204</v>
      </c>
      <c r="Z46" s="6" t="s">
        <v>205</v>
      </c>
      <c r="AA46" s="104">
        <f t="shared" si="12"/>
        <v>79.30410958904109</v>
      </c>
      <c r="AB46" s="18">
        <v>1</v>
      </c>
      <c r="AC46" s="1">
        <v>1</v>
      </c>
      <c r="AD46" s="1">
        <v>1</v>
      </c>
      <c r="AE46" s="1"/>
      <c r="AG46" s="32"/>
      <c r="AI46" s="60" t="s">
        <v>276</v>
      </c>
      <c r="AJ46" s="59">
        <v>38114</v>
      </c>
      <c r="AN46" s="107" t="s">
        <v>289</v>
      </c>
      <c r="AS46" s="32"/>
    </row>
    <row r="47" spans="1:45" x14ac:dyDescent="0.2">
      <c r="A47" s="4" t="s">
        <v>71</v>
      </c>
      <c r="B47" s="12">
        <v>41949</v>
      </c>
      <c r="C47" s="10">
        <v>18042</v>
      </c>
      <c r="D47" s="2">
        <v>65.498630136986307</v>
      </c>
      <c r="E47" s="2">
        <v>1</v>
      </c>
      <c r="F47" s="19">
        <v>1</v>
      </c>
      <c r="G47" s="2">
        <v>1</v>
      </c>
      <c r="I47" s="65">
        <v>30</v>
      </c>
      <c r="J47" s="65">
        <v>94</v>
      </c>
      <c r="K47" s="65">
        <v>92</v>
      </c>
      <c r="L47" s="2">
        <f t="shared" si="13"/>
        <v>74.710816688105723</v>
      </c>
      <c r="M47" s="111" t="s">
        <v>374</v>
      </c>
      <c r="N47" s="88"/>
      <c r="O47" s="31">
        <v>1900073334</v>
      </c>
      <c r="P47" s="2">
        <v>19891114</v>
      </c>
      <c r="Q47" s="2">
        <v>39.04</v>
      </c>
      <c r="R47" s="2">
        <v>0</v>
      </c>
      <c r="S47" s="2" t="s">
        <v>142</v>
      </c>
      <c r="T47" s="2">
        <v>32</v>
      </c>
      <c r="U47" s="128"/>
      <c r="V47" s="136">
        <v>104</v>
      </c>
      <c r="X47" s="37" t="s">
        <v>206</v>
      </c>
      <c r="Y47" s="6" t="s">
        <v>207</v>
      </c>
      <c r="Z47" s="6" t="s">
        <v>208</v>
      </c>
      <c r="AA47" s="104">
        <f t="shared" si="12"/>
        <v>43.643835616438359</v>
      </c>
      <c r="AB47" s="18">
        <v>0</v>
      </c>
      <c r="AC47" s="1">
        <v>1</v>
      </c>
      <c r="AD47" s="1">
        <v>1</v>
      </c>
      <c r="AE47" s="1"/>
      <c r="AG47" s="32"/>
      <c r="AI47" s="60" t="s">
        <v>278</v>
      </c>
      <c r="AJ47" s="59">
        <v>40246</v>
      </c>
      <c r="AN47" s="107" t="s">
        <v>289</v>
      </c>
      <c r="AS47" s="32"/>
    </row>
    <row r="48" spans="1:45" x14ac:dyDescent="0.2">
      <c r="A48" s="31" t="s">
        <v>45</v>
      </c>
      <c r="B48" s="15" t="s">
        <v>83</v>
      </c>
      <c r="C48" s="6" t="s">
        <v>84</v>
      </c>
      <c r="D48" s="2">
        <v>45.180821917808217</v>
      </c>
      <c r="E48" s="2">
        <v>1</v>
      </c>
      <c r="F48" s="1">
        <v>1</v>
      </c>
      <c r="G48" s="1">
        <v>1</v>
      </c>
      <c r="H48" s="1"/>
      <c r="I48" s="65">
        <v>6</v>
      </c>
      <c r="J48" s="65">
        <v>26</v>
      </c>
      <c r="K48" s="65">
        <v>98</v>
      </c>
      <c r="L48" s="2">
        <f t="shared" si="13"/>
        <v>79.835348530167025</v>
      </c>
      <c r="M48" s="108">
        <v>1</v>
      </c>
      <c r="O48" s="31">
        <v>1900073335</v>
      </c>
      <c r="P48" s="2">
        <v>19891114</v>
      </c>
      <c r="Q48" s="2">
        <v>39.1</v>
      </c>
      <c r="R48" s="2">
        <v>0</v>
      </c>
      <c r="S48" s="2" t="s">
        <v>142</v>
      </c>
      <c r="T48" s="2">
        <v>32</v>
      </c>
      <c r="U48" s="128"/>
      <c r="V48" s="136">
        <v>104</v>
      </c>
      <c r="X48" s="119" t="s">
        <v>209</v>
      </c>
      <c r="Y48" s="120" t="s">
        <v>80</v>
      </c>
      <c r="Z48" s="120" t="s">
        <v>210</v>
      </c>
      <c r="AA48" s="105">
        <f t="shared" si="12"/>
        <v>75.284931506849318</v>
      </c>
      <c r="AB48" s="121">
        <v>1</v>
      </c>
      <c r="AC48" s="58">
        <v>1</v>
      </c>
      <c r="AD48" s="58"/>
      <c r="AE48" s="58">
        <v>1</v>
      </c>
      <c r="AF48" s="43"/>
      <c r="AG48" s="45"/>
      <c r="AI48" s="60" t="s">
        <v>280</v>
      </c>
      <c r="AJ48" s="59">
        <v>40634</v>
      </c>
      <c r="AN48" s="107" t="s">
        <v>289</v>
      </c>
      <c r="AS48" s="32"/>
    </row>
    <row r="49" spans="1:45" s="1" customFormat="1" x14ac:dyDescent="0.2">
      <c r="A49" s="31" t="s">
        <v>52</v>
      </c>
      <c r="B49" s="10">
        <v>41778</v>
      </c>
      <c r="C49" s="10">
        <v>12603</v>
      </c>
      <c r="D49" s="2">
        <v>79</v>
      </c>
      <c r="E49" s="2">
        <v>1</v>
      </c>
      <c r="F49" s="2">
        <v>0</v>
      </c>
      <c r="G49" s="2"/>
      <c r="H49" s="2">
        <v>1</v>
      </c>
      <c r="I49" s="65">
        <v>31</v>
      </c>
      <c r="J49" s="65">
        <v>81</v>
      </c>
      <c r="K49" s="65">
        <v>100</v>
      </c>
      <c r="L49" s="2">
        <f t="shared" si="13"/>
        <v>61.434685971800327</v>
      </c>
      <c r="M49" s="109">
        <v>0</v>
      </c>
      <c r="N49" s="3"/>
      <c r="O49" s="31">
        <v>1900073337</v>
      </c>
      <c r="P49" s="2">
        <v>19900424</v>
      </c>
      <c r="Q49" s="2">
        <v>49.4</v>
      </c>
      <c r="R49" s="2">
        <v>0</v>
      </c>
      <c r="S49" s="2" t="s">
        <v>94</v>
      </c>
      <c r="T49" s="2">
        <v>17</v>
      </c>
      <c r="U49" s="128"/>
      <c r="V49" s="136">
        <v>96</v>
      </c>
      <c r="AA49" s="104"/>
      <c r="AI49" s="61" t="s">
        <v>281</v>
      </c>
      <c r="AJ49" s="62">
        <v>40850</v>
      </c>
      <c r="AK49" s="43"/>
      <c r="AL49" s="43"/>
      <c r="AM49" s="43"/>
      <c r="AN49" s="107" t="s">
        <v>289</v>
      </c>
      <c r="AS49" s="34"/>
    </row>
    <row r="50" spans="1:45" x14ac:dyDescent="0.2">
      <c r="A50" s="33" t="s">
        <v>21</v>
      </c>
      <c r="B50" s="5">
        <v>41134</v>
      </c>
      <c r="C50" s="5">
        <v>20397</v>
      </c>
      <c r="D50" s="2">
        <v>56.8</v>
      </c>
      <c r="E50" s="2">
        <v>1</v>
      </c>
      <c r="F50" s="1">
        <v>0</v>
      </c>
      <c r="G50" s="1"/>
      <c r="H50" s="1">
        <v>1</v>
      </c>
      <c r="I50" s="65">
        <v>10</v>
      </c>
      <c r="J50" s="65">
        <v>44</v>
      </c>
      <c r="K50" s="65">
        <v>114</v>
      </c>
      <c r="L50" s="2">
        <f t="shared" si="13"/>
        <v>61.283330699775796</v>
      </c>
      <c r="M50" s="108">
        <v>1</v>
      </c>
      <c r="O50" s="31">
        <v>1900073333</v>
      </c>
      <c r="P50" s="2">
        <v>19890905</v>
      </c>
      <c r="Q50" s="2">
        <v>57.55</v>
      </c>
      <c r="R50" s="2">
        <v>0</v>
      </c>
      <c r="S50" s="2" t="s">
        <v>135</v>
      </c>
      <c r="T50" s="2">
        <v>21</v>
      </c>
      <c r="U50" s="128"/>
      <c r="V50" s="136">
        <v>87</v>
      </c>
      <c r="AI50" s="61" t="s">
        <v>272</v>
      </c>
      <c r="AJ50" s="62">
        <v>35318</v>
      </c>
      <c r="AK50" s="43"/>
      <c r="AL50" s="43"/>
      <c r="AM50" s="43"/>
      <c r="AN50" s="122" t="s">
        <v>289</v>
      </c>
      <c r="AO50" s="43"/>
      <c r="AP50" s="43"/>
      <c r="AQ50" s="43"/>
      <c r="AR50" s="43"/>
      <c r="AS50" s="45"/>
    </row>
    <row r="51" spans="1:45" x14ac:dyDescent="0.2">
      <c r="A51" s="31" t="s">
        <v>68</v>
      </c>
      <c r="B51" s="12">
        <v>41438</v>
      </c>
      <c r="C51" s="10">
        <v>18098</v>
      </c>
      <c r="D51" s="2">
        <v>61</v>
      </c>
      <c r="E51" s="2">
        <v>1</v>
      </c>
      <c r="F51" s="2">
        <v>1</v>
      </c>
      <c r="G51" s="2">
        <v>1</v>
      </c>
      <c r="I51" s="65">
        <v>9</v>
      </c>
      <c r="K51" s="65">
        <v>118</v>
      </c>
      <c r="L51" s="2">
        <f t="shared" si="13"/>
        <v>57.071833229231764</v>
      </c>
      <c r="M51" s="111">
        <v>1</v>
      </c>
      <c r="O51" s="31">
        <v>1900073301</v>
      </c>
      <c r="P51" s="2">
        <v>19921014</v>
      </c>
      <c r="Q51" s="2">
        <v>57.98</v>
      </c>
      <c r="R51" s="2">
        <v>0</v>
      </c>
      <c r="S51" s="2" t="s">
        <v>50</v>
      </c>
      <c r="T51" s="2">
        <v>48</v>
      </c>
      <c r="U51" s="128"/>
      <c r="V51" s="136">
        <v>87</v>
      </c>
    </row>
    <row r="52" spans="1:45" x14ac:dyDescent="0.2">
      <c r="A52" s="4" t="s">
        <v>70</v>
      </c>
      <c r="B52" s="12">
        <v>42513</v>
      </c>
      <c r="C52" s="10">
        <v>21269</v>
      </c>
      <c r="D52" s="2">
        <v>58.210958904109589</v>
      </c>
      <c r="E52" s="2">
        <v>1</v>
      </c>
      <c r="F52" s="19">
        <v>1</v>
      </c>
      <c r="G52" s="2">
        <v>1</v>
      </c>
      <c r="I52" s="65">
        <v>119</v>
      </c>
      <c r="J52" s="65">
        <v>88</v>
      </c>
      <c r="K52" s="65">
        <v>127</v>
      </c>
      <c r="L52" s="2">
        <f t="shared" si="13"/>
        <v>53.252149485139022</v>
      </c>
      <c r="M52" s="109">
        <v>0</v>
      </c>
      <c r="O52" s="31">
        <v>1900073397</v>
      </c>
      <c r="P52" s="2">
        <v>19980609</v>
      </c>
      <c r="Q52" s="2">
        <v>58.73</v>
      </c>
      <c r="R52" s="2">
        <v>0</v>
      </c>
      <c r="S52" s="2" t="s">
        <v>126</v>
      </c>
      <c r="T52" s="2">
        <v>8</v>
      </c>
      <c r="U52" s="128"/>
      <c r="V52" s="136">
        <v>87</v>
      </c>
    </row>
    <row r="53" spans="1:45" x14ac:dyDescent="0.2">
      <c r="A53" s="31" t="s">
        <v>14</v>
      </c>
      <c r="B53" s="2">
        <v>20191010</v>
      </c>
      <c r="C53" s="2">
        <v>570524</v>
      </c>
      <c r="D53" s="2">
        <f>2019-1957</f>
        <v>62</v>
      </c>
      <c r="E53" s="1">
        <v>1</v>
      </c>
      <c r="F53" s="2">
        <v>1</v>
      </c>
      <c r="G53" s="2">
        <v>1</v>
      </c>
      <c r="I53" s="110"/>
      <c r="J53" s="110">
        <v>61</v>
      </c>
      <c r="K53" s="110">
        <v>130</v>
      </c>
      <c r="L53" s="2">
        <f t="shared" si="13"/>
        <v>50.410256277383212</v>
      </c>
      <c r="M53" s="108">
        <v>1</v>
      </c>
      <c r="O53" s="31">
        <v>1900073424</v>
      </c>
      <c r="P53" s="2">
        <v>19980421</v>
      </c>
      <c r="Q53" s="2">
        <v>59.12</v>
      </c>
      <c r="R53" s="2">
        <v>0</v>
      </c>
      <c r="S53" s="2" t="s">
        <v>136</v>
      </c>
      <c r="T53" s="2">
        <v>23</v>
      </c>
      <c r="U53" s="128"/>
      <c r="V53" s="136">
        <v>87</v>
      </c>
    </row>
    <row r="54" spans="1:45" x14ac:dyDescent="0.2">
      <c r="A54" s="4" t="s">
        <v>59</v>
      </c>
      <c r="B54" s="10">
        <v>42346</v>
      </c>
      <c r="C54" s="10">
        <v>18859</v>
      </c>
      <c r="D54" s="2">
        <v>64.347945205479448</v>
      </c>
      <c r="E54" s="2">
        <v>1</v>
      </c>
      <c r="F54" s="19">
        <v>0</v>
      </c>
      <c r="G54" s="2">
        <v>1</v>
      </c>
      <c r="I54" s="65">
        <v>4</v>
      </c>
      <c r="J54" s="65">
        <v>56</v>
      </c>
      <c r="K54" s="65">
        <v>150</v>
      </c>
      <c r="L54" s="2">
        <f t="shared" si="13"/>
        <v>41.707973477521051</v>
      </c>
      <c r="M54" s="111">
        <v>0</v>
      </c>
      <c r="O54" s="31">
        <v>1900073303</v>
      </c>
      <c r="P54" s="2">
        <v>19910305</v>
      </c>
      <c r="Q54" s="2">
        <v>59.24</v>
      </c>
      <c r="R54" s="2">
        <v>0</v>
      </c>
      <c r="S54" s="2" t="s">
        <v>136</v>
      </c>
      <c r="T54" s="2">
        <v>23</v>
      </c>
      <c r="U54" s="128"/>
      <c r="V54" s="136">
        <v>87</v>
      </c>
    </row>
    <row r="55" spans="1:45" x14ac:dyDescent="0.2">
      <c r="A55" s="33" t="s">
        <v>233</v>
      </c>
      <c r="B55" s="5">
        <v>40255</v>
      </c>
      <c r="C55" s="5">
        <v>20359</v>
      </c>
      <c r="D55" s="2">
        <v>54.5</v>
      </c>
      <c r="E55" s="2">
        <v>1</v>
      </c>
      <c r="F55" s="1">
        <v>0</v>
      </c>
      <c r="G55" s="1"/>
      <c r="H55" s="1">
        <v>1</v>
      </c>
      <c r="I55" s="65">
        <v>19</v>
      </c>
      <c r="J55" s="65">
        <v>80</v>
      </c>
      <c r="K55" s="65">
        <v>190</v>
      </c>
      <c r="L55" s="2">
        <f t="shared" si="13"/>
        <v>33.584891608241691</v>
      </c>
      <c r="M55" s="108">
        <v>1</v>
      </c>
      <c r="O55" s="31">
        <v>1900073237</v>
      </c>
      <c r="P55" s="2">
        <v>19980407</v>
      </c>
      <c r="Q55" s="2">
        <v>61.94</v>
      </c>
      <c r="R55" s="2">
        <v>0</v>
      </c>
      <c r="S55" s="2" t="s">
        <v>127</v>
      </c>
      <c r="T55" s="2">
        <v>9</v>
      </c>
      <c r="U55" s="128"/>
      <c r="V55" s="136">
        <v>83</v>
      </c>
    </row>
    <row r="56" spans="1:45" x14ac:dyDescent="0.2">
      <c r="A56" s="39" t="s">
        <v>50</v>
      </c>
      <c r="B56" s="5">
        <v>40807</v>
      </c>
      <c r="C56" s="1">
        <v>1945</v>
      </c>
      <c r="D56" s="1">
        <v>66</v>
      </c>
      <c r="E56" s="1">
        <v>1</v>
      </c>
      <c r="F56" s="25">
        <v>1</v>
      </c>
      <c r="G56" s="1">
        <v>1</v>
      </c>
      <c r="H56" s="1"/>
      <c r="I56" s="65">
        <v>136</v>
      </c>
      <c r="J56" s="65">
        <v>95</v>
      </c>
      <c r="K56" s="65">
        <v>190</v>
      </c>
      <c r="L56" s="2">
        <f t="shared" si="13"/>
        <v>30.978494549966424</v>
      </c>
      <c r="M56" s="109">
        <v>1</v>
      </c>
      <c r="O56" s="31">
        <v>1900073423</v>
      </c>
      <c r="P56" s="2">
        <v>19980225</v>
      </c>
      <c r="Q56" s="2">
        <v>63.43</v>
      </c>
      <c r="R56" s="2">
        <v>0</v>
      </c>
      <c r="S56" s="2" t="s">
        <v>153</v>
      </c>
      <c r="T56" s="2">
        <v>46</v>
      </c>
      <c r="U56" s="128"/>
      <c r="V56" s="136">
        <v>83</v>
      </c>
    </row>
    <row r="57" spans="1:45" x14ac:dyDescent="0.2">
      <c r="A57" s="33" t="s">
        <v>51</v>
      </c>
      <c r="B57" s="5">
        <v>41765</v>
      </c>
      <c r="C57" s="1">
        <v>1946</v>
      </c>
      <c r="D57" s="2">
        <v>68</v>
      </c>
      <c r="E57" s="2">
        <v>1</v>
      </c>
      <c r="F57" s="1">
        <v>1</v>
      </c>
      <c r="G57" s="1">
        <v>1</v>
      </c>
      <c r="H57" s="1"/>
      <c r="I57" s="65">
        <v>9</v>
      </c>
      <c r="J57" s="65">
        <v>4</v>
      </c>
      <c r="K57" s="65">
        <v>210</v>
      </c>
      <c r="L57" s="2">
        <f t="shared" si="13"/>
        <v>27.065046769288198</v>
      </c>
      <c r="M57" s="111">
        <v>1</v>
      </c>
      <c r="O57" s="31">
        <v>1900073400</v>
      </c>
      <c r="P57" s="2">
        <v>19990208</v>
      </c>
      <c r="Q57" s="2">
        <v>64.069999999999993</v>
      </c>
      <c r="R57" s="2">
        <v>0</v>
      </c>
      <c r="S57" s="2" t="s">
        <v>153</v>
      </c>
      <c r="T57" s="2">
        <v>46</v>
      </c>
      <c r="U57" s="128"/>
      <c r="V57" s="136">
        <v>83</v>
      </c>
    </row>
    <row r="58" spans="1:45" x14ac:dyDescent="0.2">
      <c r="A58" s="33" t="s">
        <v>20</v>
      </c>
      <c r="B58" s="5">
        <v>40872</v>
      </c>
      <c r="C58" s="5">
        <v>15335</v>
      </c>
      <c r="D58" s="2">
        <v>69.900000000000006</v>
      </c>
      <c r="E58" s="2">
        <v>1</v>
      </c>
      <c r="F58" s="1">
        <v>0</v>
      </c>
      <c r="G58" s="1"/>
      <c r="H58" s="1">
        <v>1</v>
      </c>
      <c r="I58" s="65">
        <v>7</v>
      </c>
      <c r="J58" s="65">
        <v>60</v>
      </c>
      <c r="K58" s="65">
        <v>220</v>
      </c>
      <c r="L58" s="2">
        <f t="shared" si="13"/>
        <v>25.245644379010823</v>
      </c>
      <c r="M58" s="108">
        <v>0</v>
      </c>
      <c r="O58" s="31">
        <v>1900073425</v>
      </c>
      <c r="P58" s="2">
        <v>19980528</v>
      </c>
      <c r="Q58" s="2">
        <v>66.680000000000007</v>
      </c>
      <c r="R58" s="2">
        <v>0</v>
      </c>
      <c r="S58" s="2" t="s">
        <v>140</v>
      </c>
      <c r="T58" s="2">
        <v>28</v>
      </c>
      <c r="U58" s="128"/>
      <c r="V58" s="136">
        <v>78</v>
      </c>
    </row>
    <row r="59" spans="1:45" x14ac:dyDescent="0.2">
      <c r="A59" s="33" t="s">
        <v>62</v>
      </c>
      <c r="B59" s="20">
        <v>41823</v>
      </c>
      <c r="C59" s="11">
        <v>18629</v>
      </c>
      <c r="D59" s="2">
        <v>63</v>
      </c>
      <c r="E59" s="2">
        <v>1</v>
      </c>
      <c r="F59" s="19">
        <v>0</v>
      </c>
      <c r="G59" s="19"/>
      <c r="H59" s="25">
        <v>1</v>
      </c>
      <c r="I59" s="65">
        <v>18</v>
      </c>
      <c r="J59" s="65">
        <v>62</v>
      </c>
      <c r="K59" s="65">
        <v>221</v>
      </c>
      <c r="L59" s="2">
        <f t="shared" si="13"/>
        <v>26.354538031558455</v>
      </c>
      <c r="M59" s="109">
        <v>0</v>
      </c>
      <c r="O59" s="31">
        <v>1900073399</v>
      </c>
      <c r="P59" s="2">
        <v>19990204</v>
      </c>
      <c r="Q59" s="2">
        <v>67.989999999999995</v>
      </c>
      <c r="R59" s="2">
        <v>0</v>
      </c>
      <c r="S59" s="2" t="s">
        <v>130</v>
      </c>
      <c r="T59" s="2">
        <v>12</v>
      </c>
      <c r="U59" s="128"/>
      <c r="V59" s="136">
        <v>78</v>
      </c>
    </row>
    <row r="60" spans="1:45" x14ac:dyDescent="0.2">
      <c r="A60" s="4" t="s">
        <v>60</v>
      </c>
      <c r="B60" s="10">
        <v>42348</v>
      </c>
      <c r="C60" s="10">
        <v>21809</v>
      </c>
      <c r="D60" s="2">
        <v>56.271232876712325</v>
      </c>
      <c r="E60" s="2">
        <v>1</v>
      </c>
      <c r="F60" s="19">
        <v>0</v>
      </c>
      <c r="H60" s="2">
        <v>1</v>
      </c>
      <c r="I60" s="65">
        <v>32</v>
      </c>
      <c r="J60" s="65">
        <v>104</v>
      </c>
      <c r="K60" s="65">
        <v>230</v>
      </c>
      <c r="L60" s="2">
        <f t="shared" si="13"/>
        <v>26.328402545504215</v>
      </c>
      <c r="M60" s="109">
        <v>0</v>
      </c>
      <c r="O60" s="31">
        <v>1900073221</v>
      </c>
      <c r="P60" s="2">
        <v>19990308</v>
      </c>
      <c r="Q60" s="2">
        <v>56.26</v>
      </c>
      <c r="R60" s="2">
        <v>1</v>
      </c>
      <c r="S60" s="2" t="s">
        <v>152</v>
      </c>
      <c r="T60" s="2">
        <v>45</v>
      </c>
      <c r="U60" s="128"/>
      <c r="V60" s="136">
        <v>88</v>
      </c>
    </row>
    <row r="61" spans="1:45" x14ac:dyDescent="0.2">
      <c r="A61" s="31" t="s">
        <v>56</v>
      </c>
      <c r="B61" s="10">
        <v>41149</v>
      </c>
      <c r="C61" s="10">
        <v>23255</v>
      </c>
      <c r="D61" s="2">
        <v>48</v>
      </c>
      <c r="E61" s="2">
        <v>1</v>
      </c>
      <c r="F61" s="2">
        <v>0</v>
      </c>
      <c r="H61" s="2">
        <v>1</v>
      </c>
      <c r="I61" s="65">
        <v>28</v>
      </c>
      <c r="K61" s="65">
        <v>247</v>
      </c>
      <c r="L61" s="2">
        <f t="shared" si="13"/>
        <v>25.598606404427624</v>
      </c>
      <c r="M61" s="109">
        <v>1</v>
      </c>
      <c r="O61" s="31">
        <v>1900073234</v>
      </c>
      <c r="P61" s="2">
        <v>20040324</v>
      </c>
      <c r="Q61" s="2">
        <v>58.48</v>
      </c>
      <c r="R61" s="2">
        <v>1</v>
      </c>
      <c r="S61" s="2" t="s">
        <v>111</v>
      </c>
      <c r="T61" s="2">
        <v>36</v>
      </c>
      <c r="U61" s="128"/>
      <c r="V61" s="136">
        <v>88</v>
      </c>
    </row>
    <row r="62" spans="1:45" x14ac:dyDescent="0.2">
      <c r="A62" s="33" t="s">
        <v>30</v>
      </c>
      <c r="B62" s="5">
        <v>41011</v>
      </c>
      <c r="C62" s="5">
        <v>14733</v>
      </c>
      <c r="D62" s="2">
        <v>71.900000000000006</v>
      </c>
      <c r="E62" s="2">
        <v>1</v>
      </c>
      <c r="F62" s="1">
        <v>1</v>
      </c>
      <c r="G62" s="1">
        <v>1</v>
      </c>
      <c r="H62" s="1"/>
      <c r="I62" s="65">
        <v>50</v>
      </c>
      <c r="J62" s="65">
        <v>71</v>
      </c>
      <c r="K62" s="65">
        <v>252</v>
      </c>
      <c r="L62" s="2">
        <f t="shared" si="13"/>
        <v>21.124222078212043</v>
      </c>
      <c r="M62" s="108">
        <v>1</v>
      </c>
      <c r="O62" s="31">
        <v>1900073232</v>
      </c>
      <c r="P62" s="2">
        <v>20040319</v>
      </c>
      <c r="Q62" s="2">
        <v>57.02</v>
      </c>
      <c r="R62" s="2">
        <v>1</v>
      </c>
      <c r="S62" s="2" t="s">
        <v>129</v>
      </c>
      <c r="T62" s="2">
        <v>11</v>
      </c>
      <c r="U62" s="2">
        <v>29</v>
      </c>
      <c r="V62" s="32">
        <v>143.05233648525552</v>
      </c>
    </row>
    <row r="63" spans="1:45" x14ac:dyDescent="0.2">
      <c r="A63" s="36" t="s">
        <v>36</v>
      </c>
      <c r="B63" s="26" t="s">
        <v>76</v>
      </c>
      <c r="C63" s="7">
        <v>19876</v>
      </c>
      <c r="D63" s="2">
        <v>61.202739726027396</v>
      </c>
      <c r="E63" s="2">
        <v>1</v>
      </c>
      <c r="F63" s="14">
        <v>0</v>
      </c>
      <c r="G63" s="17"/>
      <c r="H63" s="101">
        <v>1</v>
      </c>
      <c r="I63" s="65">
        <v>5</v>
      </c>
      <c r="J63" s="65">
        <v>19</v>
      </c>
      <c r="K63" s="65">
        <v>339</v>
      </c>
      <c r="L63" s="2">
        <f t="shared" si="13"/>
        <v>15.910990854724853</v>
      </c>
      <c r="M63" s="108">
        <v>1</v>
      </c>
      <c r="O63" s="31">
        <v>1900073419</v>
      </c>
      <c r="P63" s="2">
        <v>20040322</v>
      </c>
      <c r="Q63" s="2">
        <v>67.34</v>
      </c>
      <c r="R63" s="2">
        <v>1</v>
      </c>
      <c r="S63" s="2" t="s">
        <v>125</v>
      </c>
      <c r="T63" s="2">
        <v>7</v>
      </c>
      <c r="U63" s="2">
        <v>29</v>
      </c>
      <c r="V63" s="32">
        <v>133.04887295636232</v>
      </c>
    </row>
    <row r="64" spans="1:45" x14ac:dyDescent="0.2">
      <c r="A64" s="33" t="s">
        <v>368</v>
      </c>
      <c r="B64" s="5">
        <v>41243</v>
      </c>
      <c r="C64" s="5">
        <v>14192</v>
      </c>
      <c r="D64" s="2">
        <v>74.099999999999994</v>
      </c>
      <c r="E64" s="2">
        <v>1</v>
      </c>
      <c r="F64" s="1">
        <v>0</v>
      </c>
      <c r="G64" s="1"/>
      <c r="H64" s="1">
        <v>1</v>
      </c>
      <c r="I64" s="65">
        <v>3</v>
      </c>
      <c r="J64" s="65">
        <v>55</v>
      </c>
      <c r="K64" s="65">
        <v>350</v>
      </c>
      <c r="L64" s="2">
        <f t="shared" si="13"/>
        <v>13.982475255485991</v>
      </c>
      <c r="M64" s="108">
        <v>1</v>
      </c>
      <c r="O64" s="31">
        <v>1900073233</v>
      </c>
      <c r="P64" s="2">
        <v>20040322</v>
      </c>
      <c r="Q64" s="2">
        <v>56.7</v>
      </c>
      <c r="R64" s="2">
        <v>1</v>
      </c>
      <c r="S64" s="2" t="s">
        <v>152</v>
      </c>
      <c r="T64" s="2">
        <v>45</v>
      </c>
      <c r="U64" s="2">
        <v>34</v>
      </c>
      <c r="V64" s="32">
        <v>134.30090471061067</v>
      </c>
    </row>
    <row r="65" spans="1:22" x14ac:dyDescent="0.2">
      <c r="A65" s="33" t="s">
        <v>22</v>
      </c>
      <c r="B65" s="5">
        <v>41150</v>
      </c>
      <c r="C65" s="5">
        <v>11708</v>
      </c>
      <c r="D65" s="1">
        <v>80.599999999999994</v>
      </c>
      <c r="E65" s="1">
        <v>1</v>
      </c>
      <c r="F65" s="1">
        <v>0</v>
      </c>
      <c r="G65" s="1"/>
      <c r="H65" s="1">
        <v>1</v>
      </c>
      <c r="I65" s="3">
        <v>11</v>
      </c>
      <c r="J65" s="3">
        <v>49</v>
      </c>
      <c r="K65" s="3">
        <v>365</v>
      </c>
      <c r="L65" s="1">
        <f t="shared" si="13"/>
        <v>12.697562732666627</v>
      </c>
      <c r="M65" s="109" t="s">
        <v>377</v>
      </c>
      <c r="O65" s="31">
        <v>1900073322</v>
      </c>
      <c r="P65" s="2">
        <v>19900201</v>
      </c>
      <c r="Q65" s="2">
        <v>24.61</v>
      </c>
      <c r="R65" s="2">
        <v>1</v>
      </c>
      <c r="S65" s="2" t="s">
        <v>124</v>
      </c>
      <c r="T65" s="2">
        <v>6</v>
      </c>
      <c r="U65" s="2">
        <v>43</v>
      </c>
      <c r="V65" s="32">
        <v>152.77765992908718</v>
      </c>
    </row>
    <row r="66" spans="1:22" x14ac:dyDescent="0.2">
      <c r="A66" s="33" t="s">
        <v>49</v>
      </c>
      <c r="B66" s="5">
        <v>40660</v>
      </c>
      <c r="C66" s="1">
        <v>1921</v>
      </c>
      <c r="D66" s="1">
        <v>90</v>
      </c>
      <c r="E66" s="1">
        <v>1</v>
      </c>
      <c r="F66" s="1">
        <v>0</v>
      </c>
      <c r="G66" s="1"/>
      <c r="H66" s="1">
        <v>1</v>
      </c>
      <c r="I66" s="3">
        <v>15</v>
      </c>
      <c r="J66" s="3" t="s">
        <v>376</v>
      </c>
      <c r="K66" s="3">
        <v>386</v>
      </c>
      <c r="L66" s="1">
        <f t="shared" si="13"/>
        <v>11.108906840592745</v>
      </c>
      <c r="M66" s="109">
        <v>1</v>
      </c>
      <c r="O66" s="31">
        <v>1900073270</v>
      </c>
      <c r="P66" s="2">
        <v>19990317</v>
      </c>
      <c r="Q66" s="2">
        <v>56.99</v>
      </c>
      <c r="R66" s="2">
        <v>1</v>
      </c>
      <c r="S66" s="2" t="s">
        <v>129</v>
      </c>
      <c r="T66" s="2">
        <v>11</v>
      </c>
      <c r="U66" s="2">
        <v>50</v>
      </c>
      <c r="V66" s="32">
        <v>114.38139356452974</v>
      </c>
    </row>
    <row r="67" spans="1:22" x14ac:dyDescent="0.2">
      <c r="A67" s="37" t="s">
        <v>40</v>
      </c>
      <c r="B67" s="8">
        <v>41680</v>
      </c>
      <c r="C67" s="8">
        <v>14918</v>
      </c>
      <c r="D67" s="1">
        <v>73.270362765229294</v>
      </c>
      <c r="E67" s="1">
        <v>1</v>
      </c>
      <c r="F67" s="17">
        <v>1</v>
      </c>
      <c r="G67" s="1">
        <v>1</v>
      </c>
      <c r="H67" s="1"/>
      <c r="I67" s="3">
        <v>12</v>
      </c>
      <c r="J67" s="3">
        <v>1</v>
      </c>
      <c r="K67" s="3">
        <v>460</v>
      </c>
      <c r="L67" s="1">
        <f t="shared" si="13"/>
        <v>10.106926876515196</v>
      </c>
      <c r="M67" s="108">
        <v>1</v>
      </c>
      <c r="O67" s="31">
        <v>1900073277</v>
      </c>
      <c r="P67" s="2">
        <v>19990318</v>
      </c>
      <c r="Q67" s="2">
        <v>45.36</v>
      </c>
      <c r="R67" s="2">
        <v>1</v>
      </c>
      <c r="S67" s="2" t="s">
        <v>138</v>
      </c>
      <c r="T67" s="2">
        <v>25</v>
      </c>
      <c r="U67" s="2">
        <v>52</v>
      </c>
      <c r="V67" s="32">
        <v>122.13353320837513</v>
      </c>
    </row>
    <row r="68" spans="1:22" x14ac:dyDescent="0.2">
      <c r="A68" s="112" t="s">
        <v>72</v>
      </c>
      <c r="B68" s="12">
        <v>42493</v>
      </c>
      <c r="C68" s="5">
        <v>21350</v>
      </c>
      <c r="D68" s="1">
        <v>57.92876712328767</v>
      </c>
      <c r="E68" s="1">
        <v>1</v>
      </c>
      <c r="F68" s="19">
        <v>0</v>
      </c>
      <c r="G68" s="1"/>
      <c r="H68" s="1">
        <v>1</v>
      </c>
      <c r="I68" s="3">
        <v>60</v>
      </c>
      <c r="J68" s="3">
        <v>66</v>
      </c>
      <c r="K68" s="3">
        <v>573</v>
      </c>
      <c r="L68" s="1">
        <f t="shared" si="13"/>
        <v>8.6315303142045394</v>
      </c>
      <c r="M68" s="109">
        <v>1</v>
      </c>
      <c r="O68" s="31">
        <v>1900073420</v>
      </c>
      <c r="P68" s="2">
        <v>20040325</v>
      </c>
      <c r="Q68" s="2">
        <v>63.36</v>
      </c>
      <c r="R68" s="2">
        <v>1</v>
      </c>
      <c r="S68" s="2" t="s">
        <v>110</v>
      </c>
      <c r="T68" s="2">
        <v>13</v>
      </c>
      <c r="U68" s="2">
        <v>53</v>
      </c>
      <c r="V68" s="32">
        <v>106.78773762230679</v>
      </c>
    </row>
    <row r="69" spans="1:22" x14ac:dyDescent="0.2">
      <c r="A69" s="112" t="s">
        <v>61</v>
      </c>
      <c r="B69" s="5">
        <v>42359</v>
      </c>
      <c r="C69" s="5">
        <v>16776</v>
      </c>
      <c r="D69" s="1">
        <v>70.090410958904116</v>
      </c>
      <c r="E69" s="1">
        <v>1</v>
      </c>
      <c r="F69" s="19">
        <v>0</v>
      </c>
      <c r="G69" s="1"/>
      <c r="H69" s="1">
        <v>1</v>
      </c>
      <c r="I69" s="3">
        <v>4</v>
      </c>
      <c r="J69" s="3">
        <v>53</v>
      </c>
      <c r="K69" s="3">
        <v>735</v>
      </c>
      <c r="L69" s="1">
        <f t="shared" si="13"/>
        <v>5.8647998029355142</v>
      </c>
      <c r="M69" s="109">
        <v>0</v>
      </c>
      <c r="O69" s="31">
        <v>1900073236</v>
      </c>
      <c r="P69" s="2">
        <v>20040419</v>
      </c>
      <c r="Q69" s="2">
        <v>73.88</v>
      </c>
      <c r="R69" s="2">
        <v>1</v>
      </c>
      <c r="S69" s="2" t="s">
        <v>65</v>
      </c>
      <c r="T69" s="2">
        <v>1</v>
      </c>
      <c r="U69" s="2">
        <v>53</v>
      </c>
      <c r="V69" s="32">
        <v>99.180770975335818</v>
      </c>
    </row>
    <row r="70" spans="1:22" x14ac:dyDescent="0.2">
      <c r="A70" s="38" t="s">
        <v>48</v>
      </c>
      <c r="B70" s="6">
        <v>41883</v>
      </c>
      <c r="C70" s="6" t="s">
        <v>89</v>
      </c>
      <c r="D70" s="1">
        <v>71</v>
      </c>
      <c r="E70" s="1">
        <v>1</v>
      </c>
      <c r="F70" s="17">
        <v>0</v>
      </c>
      <c r="G70" s="1"/>
      <c r="H70" s="101">
        <v>1</v>
      </c>
      <c r="I70" s="3"/>
      <c r="J70" s="3"/>
      <c r="K70" s="3"/>
      <c r="L70" s="3"/>
      <c r="M70" s="109"/>
      <c r="O70" s="31">
        <v>1900073324</v>
      </c>
      <c r="P70" s="2">
        <v>19900313</v>
      </c>
      <c r="Q70" s="2">
        <v>58.73</v>
      </c>
      <c r="R70" s="2">
        <v>1</v>
      </c>
      <c r="S70" s="2" t="s">
        <v>109</v>
      </c>
      <c r="T70" s="2">
        <v>31</v>
      </c>
      <c r="U70" s="2">
        <v>54</v>
      </c>
      <c r="V70" s="32">
        <v>109.47372916315548</v>
      </c>
    </row>
    <row r="71" spans="1:22" x14ac:dyDescent="0.2">
      <c r="A71" s="33" t="s">
        <v>65</v>
      </c>
      <c r="B71" s="12">
        <v>42578</v>
      </c>
      <c r="C71" s="12">
        <v>12153</v>
      </c>
      <c r="D71" s="1">
        <v>83.356164383561648</v>
      </c>
      <c r="E71" s="1">
        <v>1</v>
      </c>
      <c r="F71" s="19">
        <v>0</v>
      </c>
      <c r="G71" s="1"/>
      <c r="H71" s="1">
        <v>1</v>
      </c>
      <c r="I71" s="113" t="s">
        <v>374</v>
      </c>
      <c r="J71" s="3"/>
      <c r="K71" s="3"/>
      <c r="L71" s="3"/>
      <c r="M71" s="109">
        <v>0</v>
      </c>
      <c r="O71" s="31">
        <v>1900073235</v>
      </c>
      <c r="P71" s="2">
        <v>20040406</v>
      </c>
      <c r="Q71" s="2">
        <v>48.16</v>
      </c>
      <c r="R71" s="2">
        <v>1</v>
      </c>
      <c r="S71" s="2" t="s">
        <v>12</v>
      </c>
      <c r="T71" s="2">
        <v>38</v>
      </c>
      <c r="U71" s="2">
        <v>56</v>
      </c>
      <c r="V71" s="32">
        <v>116.1622223022413</v>
      </c>
    </row>
    <row r="72" spans="1:22" x14ac:dyDescent="0.2">
      <c r="A72" s="87" t="s">
        <v>66</v>
      </c>
      <c r="B72" s="41">
        <v>43089</v>
      </c>
      <c r="C72" s="41">
        <v>25316</v>
      </c>
      <c r="D72" s="58">
        <v>48.69315068493151</v>
      </c>
      <c r="E72" s="58">
        <v>1</v>
      </c>
      <c r="F72" s="44">
        <v>1</v>
      </c>
      <c r="G72" s="58">
        <v>1</v>
      </c>
      <c r="H72" s="58"/>
      <c r="I72" s="114" t="s">
        <v>373</v>
      </c>
      <c r="J72" s="95"/>
      <c r="K72" s="95"/>
      <c r="L72" s="95"/>
      <c r="M72" s="115">
        <v>0</v>
      </c>
      <c r="O72" s="31">
        <v>1900073374</v>
      </c>
      <c r="P72" s="2">
        <v>20090409</v>
      </c>
      <c r="Q72" s="2">
        <v>57.03</v>
      </c>
      <c r="R72" s="2">
        <v>1</v>
      </c>
      <c r="S72" s="2" t="s">
        <v>149</v>
      </c>
      <c r="T72" s="2">
        <v>42</v>
      </c>
      <c r="U72" s="2">
        <v>57</v>
      </c>
      <c r="V72" s="32">
        <v>108.35412752258159</v>
      </c>
    </row>
    <row r="73" spans="1:22" x14ac:dyDescent="0.2">
      <c r="O73" s="31">
        <v>1900073370</v>
      </c>
      <c r="P73" s="2">
        <v>20090326</v>
      </c>
      <c r="Q73" s="2">
        <v>68.64</v>
      </c>
      <c r="R73" s="2">
        <v>1</v>
      </c>
      <c r="S73" s="2" t="s">
        <v>168</v>
      </c>
      <c r="T73" s="2">
        <v>67</v>
      </c>
      <c r="U73" s="2">
        <v>57</v>
      </c>
      <c r="V73" s="32">
        <v>99.867972852459843</v>
      </c>
    </row>
    <row r="74" spans="1:22" x14ac:dyDescent="0.2">
      <c r="O74" s="31">
        <v>1900073327</v>
      </c>
      <c r="P74" s="2">
        <v>19900424</v>
      </c>
      <c r="Q74" s="2">
        <v>62.17</v>
      </c>
      <c r="R74" s="2">
        <v>1</v>
      </c>
      <c r="S74" s="2" t="s">
        <v>159</v>
      </c>
      <c r="T74" s="2">
        <v>56</v>
      </c>
      <c r="U74" s="2">
        <v>58</v>
      </c>
      <c r="V74" s="32">
        <v>103.76723798618673</v>
      </c>
    </row>
    <row r="75" spans="1:22" x14ac:dyDescent="0.2">
      <c r="O75" s="31">
        <v>1900073331</v>
      </c>
      <c r="P75" s="2">
        <v>19900306</v>
      </c>
      <c r="Q75" s="2">
        <v>63.55</v>
      </c>
      <c r="R75" s="2">
        <v>1</v>
      </c>
      <c r="S75" s="2" t="s">
        <v>112</v>
      </c>
      <c r="T75" s="2">
        <v>54</v>
      </c>
      <c r="U75" s="2">
        <v>60</v>
      </c>
      <c r="V75" s="32">
        <v>101.3442146332445</v>
      </c>
    </row>
    <row r="76" spans="1:22" x14ac:dyDescent="0.2">
      <c r="O76" s="31">
        <v>1900073406</v>
      </c>
      <c r="P76" s="2">
        <v>20040122</v>
      </c>
      <c r="Q76" s="2">
        <v>69.3</v>
      </c>
      <c r="R76" s="2">
        <v>1</v>
      </c>
      <c r="S76" s="2" t="s">
        <v>137</v>
      </c>
      <c r="T76" s="2">
        <v>24</v>
      </c>
      <c r="U76" s="2">
        <v>60</v>
      </c>
      <c r="V76" s="32">
        <v>97.332334575288485</v>
      </c>
    </row>
    <row r="77" spans="1:22" x14ac:dyDescent="0.2">
      <c r="O77" s="31">
        <v>1900073382</v>
      </c>
      <c r="P77" s="2">
        <v>20090302</v>
      </c>
      <c r="Q77" s="2">
        <v>41.85</v>
      </c>
      <c r="R77" s="2">
        <v>1</v>
      </c>
      <c r="S77" s="2" t="s">
        <v>158</v>
      </c>
      <c r="T77" s="2">
        <v>55</v>
      </c>
      <c r="U77" s="2">
        <v>61</v>
      </c>
      <c r="V77" s="32">
        <v>117.23299786367053</v>
      </c>
    </row>
    <row r="78" spans="1:22" x14ac:dyDescent="0.2">
      <c r="O78" s="31">
        <v>1900073432</v>
      </c>
      <c r="P78" s="2">
        <v>20090225</v>
      </c>
      <c r="Q78" s="2">
        <v>60.62</v>
      </c>
      <c r="R78" s="2">
        <v>1</v>
      </c>
      <c r="S78" s="2" t="s">
        <v>154</v>
      </c>
      <c r="T78" s="2">
        <v>49</v>
      </c>
      <c r="U78" s="2">
        <v>62</v>
      </c>
      <c r="V78" s="32">
        <v>102.066880828465</v>
      </c>
    </row>
    <row r="79" spans="1:22" x14ac:dyDescent="0.2">
      <c r="O79" s="31">
        <v>1900073330</v>
      </c>
      <c r="P79" s="2">
        <v>19900227</v>
      </c>
      <c r="Q79" s="2">
        <v>54.44</v>
      </c>
      <c r="R79" s="2">
        <v>1</v>
      </c>
      <c r="S79" s="2" t="s">
        <v>141</v>
      </c>
      <c r="T79" s="2">
        <v>30</v>
      </c>
      <c r="U79" s="2">
        <v>63</v>
      </c>
      <c r="V79" s="32">
        <v>105.89671929180162</v>
      </c>
    </row>
    <row r="80" spans="1:22" x14ac:dyDescent="0.2">
      <c r="O80" s="31">
        <v>1900073285</v>
      </c>
      <c r="P80" s="2">
        <v>19990506</v>
      </c>
      <c r="Q80" s="2">
        <v>73.83</v>
      </c>
      <c r="R80" s="2">
        <v>1</v>
      </c>
      <c r="S80" s="2" t="s">
        <v>65</v>
      </c>
      <c r="T80" s="2">
        <v>1</v>
      </c>
      <c r="U80" s="2">
        <v>63</v>
      </c>
      <c r="V80" s="32">
        <v>92.412013755669278</v>
      </c>
    </row>
    <row r="81" spans="15:22" x14ac:dyDescent="0.2">
      <c r="O81" s="31">
        <v>1900073275</v>
      </c>
      <c r="P81" s="2">
        <v>19990413</v>
      </c>
      <c r="Q81" s="2">
        <v>35.99</v>
      </c>
      <c r="R81" s="2">
        <v>1</v>
      </c>
      <c r="S81" s="2" t="s">
        <v>156</v>
      </c>
      <c r="T81" s="2">
        <v>52</v>
      </c>
      <c r="U81" s="2">
        <v>65</v>
      </c>
      <c r="V81" s="32">
        <v>119.01191605700762</v>
      </c>
    </row>
    <row r="82" spans="15:22" x14ac:dyDescent="0.2">
      <c r="O82" s="31">
        <v>1900073379</v>
      </c>
      <c r="P82" s="2">
        <v>20090218</v>
      </c>
      <c r="Q82" s="2">
        <v>73.95</v>
      </c>
      <c r="R82" s="2">
        <v>1</v>
      </c>
      <c r="S82" s="2" t="s">
        <v>172</v>
      </c>
      <c r="T82" s="2">
        <v>29</v>
      </c>
      <c r="U82" s="2">
        <v>65</v>
      </c>
      <c r="V82" s="32">
        <v>91.155718830070938</v>
      </c>
    </row>
    <row r="83" spans="15:22" x14ac:dyDescent="0.2">
      <c r="O83" s="31">
        <v>1900073355</v>
      </c>
      <c r="P83" s="2">
        <v>20090209</v>
      </c>
      <c r="Q83" s="2">
        <v>55.05</v>
      </c>
      <c r="R83" s="2">
        <v>1</v>
      </c>
      <c r="S83" s="2" t="s">
        <v>150</v>
      </c>
      <c r="T83" s="2">
        <v>43</v>
      </c>
      <c r="U83" s="2">
        <v>66</v>
      </c>
      <c r="V83" s="32">
        <v>103.44701314113384</v>
      </c>
    </row>
    <row r="84" spans="15:22" x14ac:dyDescent="0.2">
      <c r="O84" s="31">
        <v>1900073357</v>
      </c>
      <c r="P84" s="2">
        <v>20090216</v>
      </c>
      <c r="Q84" s="2">
        <v>68.11</v>
      </c>
      <c r="R84" s="2">
        <v>1</v>
      </c>
      <c r="S84" s="2" t="s">
        <v>134</v>
      </c>
      <c r="T84" s="2">
        <v>20</v>
      </c>
      <c r="U84" s="2">
        <v>66</v>
      </c>
      <c r="V84" s="32">
        <v>94.378949925647206</v>
      </c>
    </row>
    <row r="85" spans="15:22" x14ac:dyDescent="0.2">
      <c r="O85" s="31">
        <v>1900073430</v>
      </c>
      <c r="P85" s="2">
        <v>20040219</v>
      </c>
      <c r="Q85" s="2">
        <v>70.81</v>
      </c>
      <c r="R85" s="2">
        <v>1</v>
      </c>
      <c r="S85" s="2" t="s">
        <v>92</v>
      </c>
      <c r="T85" s="2">
        <v>47</v>
      </c>
      <c r="U85" s="2">
        <v>66</v>
      </c>
      <c r="V85" s="32">
        <v>92.605783812553568</v>
      </c>
    </row>
    <row r="86" spans="15:22" x14ac:dyDescent="0.2">
      <c r="O86" s="31">
        <v>1900073247</v>
      </c>
      <c r="P86" s="2">
        <v>20140425</v>
      </c>
      <c r="Q86" s="2">
        <v>65.89</v>
      </c>
      <c r="R86" s="2">
        <v>1</v>
      </c>
      <c r="S86" s="2" t="s">
        <v>122</v>
      </c>
      <c r="T86" s="2">
        <v>4</v>
      </c>
      <c r="U86" s="2">
        <v>67</v>
      </c>
      <c r="V86" s="32">
        <v>95.271635995697281</v>
      </c>
    </row>
    <row r="87" spans="15:22" x14ac:dyDescent="0.2">
      <c r="O87" s="31">
        <v>1900073381</v>
      </c>
      <c r="P87" s="2">
        <v>20090225</v>
      </c>
      <c r="Q87" s="2">
        <v>69.87</v>
      </c>
      <c r="R87" s="2">
        <v>1</v>
      </c>
      <c r="S87" s="2" t="s">
        <v>161</v>
      </c>
      <c r="T87" s="2">
        <v>59</v>
      </c>
      <c r="U87" s="2">
        <v>67</v>
      </c>
      <c r="V87" s="32">
        <v>92.644924549005594</v>
      </c>
    </row>
    <row r="88" spans="15:22" x14ac:dyDescent="0.2">
      <c r="O88" s="31">
        <v>1900073380</v>
      </c>
      <c r="P88" s="2">
        <v>20090218</v>
      </c>
      <c r="Q88" s="2">
        <v>74.03</v>
      </c>
      <c r="R88" s="2">
        <v>1</v>
      </c>
      <c r="S88" s="2" t="s">
        <v>172</v>
      </c>
      <c r="T88" s="2">
        <v>29</v>
      </c>
      <c r="U88" s="2">
        <v>67</v>
      </c>
      <c r="V88" s="32">
        <v>89.976792159818359</v>
      </c>
    </row>
    <row r="89" spans="15:22" x14ac:dyDescent="0.2">
      <c r="O89" s="31">
        <v>1900073360</v>
      </c>
      <c r="P89" s="2">
        <v>20090224</v>
      </c>
      <c r="Q89" s="2">
        <v>60.84</v>
      </c>
      <c r="R89" s="2">
        <v>1</v>
      </c>
      <c r="S89" s="2" t="s">
        <v>137</v>
      </c>
      <c r="T89" s="2">
        <v>24</v>
      </c>
      <c r="U89" s="2">
        <v>68</v>
      </c>
      <c r="V89" s="32">
        <v>98.112761322444968</v>
      </c>
    </row>
    <row r="90" spans="15:22" x14ac:dyDescent="0.2">
      <c r="O90" s="31">
        <v>1900073238</v>
      </c>
      <c r="P90" s="2">
        <v>20140122</v>
      </c>
      <c r="Q90" s="2">
        <v>24.8</v>
      </c>
      <c r="R90" s="2">
        <v>1</v>
      </c>
      <c r="S90" s="2" t="s">
        <v>124</v>
      </c>
      <c r="T90" s="2">
        <v>6</v>
      </c>
      <c r="U90" s="2">
        <v>71</v>
      </c>
      <c r="V90" s="32">
        <v>124.15624374551548</v>
      </c>
    </row>
    <row r="91" spans="15:22" x14ac:dyDescent="0.2">
      <c r="O91" s="31">
        <v>1900073271</v>
      </c>
      <c r="P91" s="2">
        <v>19990325</v>
      </c>
      <c r="Q91" s="2">
        <v>69.86</v>
      </c>
      <c r="R91" s="2">
        <v>1</v>
      </c>
      <c r="S91" s="2" t="s">
        <v>161</v>
      </c>
      <c r="T91" s="2">
        <v>59</v>
      </c>
      <c r="U91" s="2">
        <v>71</v>
      </c>
      <c r="V91" s="32">
        <v>90.469398335037226</v>
      </c>
    </row>
    <row r="92" spans="15:22" x14ac:dyDescent="0.2">
      <c r="O92" s="31">
        <v>1900073240</v>
      </c>
      <c r="P92" s="2">
        <v>20140114</v>
      </c>
      <c r="Q92" s="2">
        <v>35.590000000000003</v>
      </c>
      <c r="R92" s="2">
        <v>1</v>
      </c>
      <c r="S92" s="2" t="s">
        <v>156</v>
      </c>
      <c r="T92" s="2">
        <v>52</v>
      </c>
      <c r="U92" s="2">
        <v>72</v>
      </c>
      <c r="V92" s="32">
        <v>114.43384258819898</v>
      </c>
    </row>
    <row r="93" spans="15:22" x14ac:dyDescent="0.2">
      <c r="O93" s="31">
        <v>1900073220</v>
      </c>
      <c r="P93" s="2">
        <v>19990120</v>
      </c>
      <c r="Q93" s="2">
        <v>51.77</v>
      </c>
      <c r="R93" s="2">
        <v>1</v>
      </c>
      <c r="S93" s="2" t="s">
        <v>167</v>
      </c>
      <c r="T93" s="2">
        <v>66</v>
      </c>
      <c r="U93" s="2">
        <v>72</v>
      </c>
      <c r="V93" s="32">
        <v>102.13940463971846</v>
      </c>
    </row>
    <row r="94" spans="15:22" x14ac:dyDescent="0.2">
      <c r="O94" s="31">
        <v>1900073365</v>
      </c>
      <c r="P94" s="2">
        <v>20090316</v>
      </c>
      <c r="Q94" s="2">
        <v>52.87</v>
      </c>
      <c r="R94" s="2">
        <v>1</v>
      </c>
      <c r="S94" s="2" t="s">
        <v>155</v>
      </c>
      <c r="T94" s="2">
        <v>51</v>
      </c>
      <c r="U94" s="2">
        <v>72</v>
      </c>
      <c r="V94" s="32">
        <v>101.35320706967597</v>
      </c>
    </row>
    <row r="95" spans="15:22" x14ac:dyDescent="0.2">
      <c r="O95" s="31">
        <v>1900073354</v>
      </c>
      <c r="P95" s="2">
        <v>20090202</v>
      </c>
      <c r="Q95" s="2">
        <v>55.08</v>
      </c>
      <c r="R95" s="2">
        <v>1</v>
      </c>
      <c r="S95" s="2" t="s">
        <v>144</v>
      </c>
      <c r="T95" s="2">
        <v>35</v>
      </c>
      <c r="U95" s="2">
        <v>72</v>
      </c>
      <c r="V95" s="32">
        <v>99.791909899070177</v>
      </c>
    </row>
    <row r="96" spans="15:22" x14ac:dyDescent="0.2">
      <c r="O96" s="31">
        <v>1900073287</v>
      </c>
      <c r="P96" s="2">
        <v>19990512</v>
      </c>
      <c r="Q96" s="2">
        <v>61.48</v>
      </c>
      <c r="R96" s="2">
        <v>1</v>
      </c>
      <c r="S96" s="2" t="s">
        <v>159</v>
      </c>
      <c r="T96" s="2">
        <v>56</v>
      </c>
      <c r="U96" s="2">
        <v>72</v>
      </c>
      <c r="V96" s="32">
        <v>95.404865795519726</v>
      </c>
    </row>
    <row r="97" spans="15:22" x14ac:dyDescent="0.2">
      <c r="O97" s="31">
        <v>1900073329</v>
      </c>
      <c r="P97" s="2">
        <v>19900110</v>
      </c>
      <c r="Q97" s="2">
        <v>63.55</v>
      </c>
      <c r="R97" s="2">
        <v>1</v>
      </c>
      <c r="S97" s="2" t="s">
        <v>110</v>
      </c>
      <c r="T97" s="2">
        <v>13</v>
      </c>
      <c r="U97" s="2">
        <v>72</v>
      </c>
      <c r="V97" s="32">
        <v>94.027625592974218</v>
      </c>
    </row>
    <row r="98" spans="15:22" x14ac:dyDescent="0.2">
      <c r="O98" s="31">
        <v>1900073229</v>
      </c>
      <c r="P98" s="2">
        <v>20090414</v>
      </c>
      <c r="Q98" s="2">
        <v>66.45</v>
      </c>
      <c r="R98" s="2">
        <v>1</v>
      </c>
      <c r="S98" s="2" t="s">
        <v>132</v>
      </c>
      <c r="T98" s="2">
        <v>16</v>
      </c>
      <c r="U98" s="2">
        <v>72</v>
      </c>
      <c r="V98" s="32">
        <v>92.131531392237207</v>
      </c>
    </row>
    <row r="99" spans="15:22" x14ac:dyDescent="0.2">
      <c r="O99" s="31">
        <v>1900073260</v>
      </c>
      <c r="P99" s="2">
        <v>19990129</v>
      </c>
      <c r="Q99" s="2">
        <v>72.73</v>
      </c>
      <c r="R99" s="2">
        <v>1</v>
      </c>
      <c r="S99" s="2" t="s">
        <v>123</v>
      </c>
      <c r="T99" s="2">
        <v>5</v>
      </c>
      <c r="U99" s="2">
        <v>73</v>
      </c>
      <c r="V99" s="32">
        <v>87.657187287448835</v>
      </c>
    </row>
    <row r="100" spans="15:22" x14ac:dyDescent="0.2">
      <c r="O100" s="31">
        <v>1900073269</v>
      </c>
      <c r="P100" s="2">
        <v>19990310</v>
      </c>
      <c r="Q100" s="2">
        <v>63.58</v>
      </c>
      <c r="R100" s="2">
        <v>1</v>
      </c>
      <c r="S100" s="2" t="s">
        <v>112</v>
      </c>
      <c r="T100" s="2">
        <v>54</v>
      </c>
      <c r="U100" s="2">
        <v>74</v>
      </c>
      <c r="V100" s="32">
        <v>92.955130737428959</v>
      </c>
    </row>
    <row r="101" spans="15:22" x14ac:dyDescent="0.2">
      <c r="O101" s="31">
        <v>1900073265</v>
      </c>
      <c r="P101" s="2">
        <v>19990210</v>
      </c>
      <c r="Q101" s="2">
        <v>67.66</v>
      </c>
      <c r="R101" s="2">
        <v>1</v>
      </c>
      <c r="S101" s="2" t="s">
        <v>134</v>
      </c>
      <c r="T101" s="2">
        <v>20</v>
      </c>
      <c r="U101" s="2">
        <v>75</v>
      </c>
      <c r="V101" s="32">
        <v>89.83185285269758</v>
      </c>
    </row>
    <row r="102" spans="15:22" x14ac:dyDescent="0.2">
      <c r="O102" s="31">
        <v>1900073372</v>
      </c>
      <c r="P102" s="2">
        <v>20090330</v>
      </c>
      <c r="Q102" s="2">
        <v>44.22</v>
      </c>
      <c r="R102" s="2">
        <v>1</v>
      </c>
      <c r="S102" s="2" t="s">
        <v>162</v>
      </c>
      <c r="T102" s="2">
        <v>61</v>
      </c>
      <c r="U102" s="2">
        <v>76</v>
      </c>
      <c r="V102" s="32">
        <v>105.33574362463993</v>
      </c>
    </row>
    <row r="103" spans="15:22" x14ac:dyDescent="0.2">
      <c r="O103" s="31">
        <v>1900073222</v>
      </c>
      <c r="P103" s="2">
        <v>19990412</v>
      </c>
      <c r="Q103" s="2">
        <v>54.52</v>
      </c>
      <c r="R103" s="2">
        <v>1</v>
      </c>
      <c r="S103" s="2" t="s">
        <v>150</v>
      </c>
      <c r="T103" s="2">
        <v>43</v>
      </c>
      <c r="U103" s="2">
        <v>78</v>
      </c>
      <c r="V103" s="32">
        <v>96.943016624857123</v>
      </c>
    </row>
    <row r="104" spans="15:22" x14ac:dyDescent="0.2">
      <c r="O104" s="31">
        <v>1900073422</v>
      </c>
      <c r="P104" s="2">
        <v>20040331</v>
      </c>
      <c r="Q104" s="2">
        <v>70.08</v>
      </c>
      <c r="R104" s="2">
        <v>1</v>
      </c>
      <c r="S104" s="2" t="s">
        <v>92</v>
      </c>
      <c r="T104" s="2">
        <v>47</v>
      </c>
      <c r="U104" s="2">
        <v>79</v>
      </c>
      <c r="V104" s="32">
        <v>86.45158968003345</v>
      </c>
    </row>
    <row r="105" spans="15:22" x14ac:dyDescent="0.2">
      <c r="O105" s="31">
        <v>1900073362</v>
      </c>
      <c r="P105" s="2">
        <v>20090311</v>
      </c>
      <c r="Q105" s="2">
        <v>41.31</v>
      </c>
      <c r="R105" s="2">
        <v>1</v>
      </c>
      <c r="S105" s="2" t="s">
        <v>158</v>
      </c>
      <c r="T105" s="2">
        <v>55</v>
      </c>
      <c r="U105" s="2">
        <v>85</v>
      </c>
      <c r="V105" s="32">
        <v>97.438140134658155</v>
      </c>
    </row>
    <row r="106" spans="15:22" x14ac:dyDescent="0.2">
      <c r="O106" s="31">
        <v>1900073387</v>
      </c>
      <c r="P106" s="2">
        <v>19990222</v>
      </c>
      <c r="Q106" s="2">
        <v>57.19</v>
      </c>
      <c r="R106" s="2">
        <v>1</v>
      </c>
      <c r="S106" s="2" t="s">
        <v>149</v>
      </c>
      <c r="T106" s="2">
        <v>42</v>
      </c>
      <c r="U106" s="2">
        <v>85</v>
      </c>
      <c r="V106" s="32">
        <v>87.153142626956409</v>
      </c>
    </row>
    <row r="107" spans="15:22" x14ac:dyDescent="0.2">
      <c r="O107" s="31">
        <v>1900073359</v>
      </c>
      <c r="P107" s="2">
        <v>20090218</v>
      </c>
      <c r="Q107" s="2">
        <v>68.5</v>
      </c>
      <c r="R107" s="2">
        <v>1</v>
      </c>
      <c r="S107" s="2" t="s">
        <v>168</v>
      </c>
      <c r="T107" s="2">
        <v>67</v>
      </c>
      <c r="U107" s="2">
        <v>85</v>
      </c>
      <c r="V107" s="32">
        <v>80.496880840864492</v>
      </c>
    </row>
    <row r="108" spans="15:22" x14ac:dyDescent="0.2">
      <c r="O108" s="31">
        <v>1900073353</v>
      </c>
      <c r="P108" s="2">
        <v>20090127</v>
      </c>
      <c r="Q108" s="2">
        <v>65.98</v>
      </c>
      <c r="R108" s="2">
        <v>1</v>
      </c>
      <c r="S108" s="2" t="s">
        <v>122</v>
      </c>
      <c r="T108" s="2">
        <v>4</v>
      </c>
      <c r="U108" s="2">
        <v>86</v>
      </c>
      <c r="V108" s="32">
        <v>80.784083030343552</v>
      </c>
    </row>
    <row r="109" spans="15:22" x14ac:dyDescent="0.2">
      <c r="O109" s="31">
        <v>1900073375</v>
      </c>
      <c r="P109" s="2">
        <v>20090421</v>
      </c>
      <c r="Q109" s="2">
        <v>45.49</v>
      </c>
      <c r="R109" s="2">
        <v>1</v>
      </c>
      <c r="S109" s="2" t="s">
        <v>138</v>
      </c>
      <c r="T109" s="2">
        <v>25</v>
      </c>
      <c r="U109" s="2">
        <v>87</v>
      </c>
      <c r="V109" s="32">
        <v>91.99528076477695</v>
      </c>
    </row>
    <row r="110" spans="15:22" x14ac:dyDescent="0.2">
      <c r="O110" s="31">
        <v>1900073274</v>
      </c>
      <c r="P110" s="2">
        <v>19990225</v>
      </c>
      <c r="Q110" s="2">
        <v>64.87</v>
      </c>
      <c r="R110" s="2">
        <v>1</v>
      </c>
      <c r="S110" s="2" t="s">
        <v>51</v>
      </c>
      <c r="T110" s="2">
        <v>50</v>
      </c>
      <c r="U110" s="2">
        <v>88</v>
      </c>
      <c r="V110" s="32">
        <v>79.184688172103208</v>
      </c>
    </row>
    <row r="111" spans="15:22" x14ac:dyDescent="0.2">
      <c r="O111" s="31">
        <v>1900073264</v>
      </c>
      <c r="P111" s="2">
        <v>19990205</v>
      </c>
      <c r="Q111" s="2">
        <v>54.37</v>
      </c>
      <c r="R111" s="2">
        <v>1</v>
      </c>
      <c r="S111" s="2" t="s">
        <v>141</v>
      </c>
      <c r="T111" s="2">
        <v>30</v>
      </c>
      <c r="U111" s="2">
        <v>91</v>
      </c>
      <c r="V111" s="32">
        <v>81.860163725757999</v>
      </c>
    </row>
    <row r="112" spans="15:22" x14ac:dyDescent="0.2">
      <c r="O112" s="31">
        <v>1900073228</v>
      </c>
      <c r="P112" s="2">
        <v>20090319</v>
      </c>
      <c r="Q112" s="2">
        <v>71.94</v>
      </c>
      <c r="R112" s="2">
        <v>1</v>
      </c>
      <c r="S112" s="2" t="s">
        <v>121</v>
      </c>
      <c r="T112" s="2">
        <v>3</v>
      </c>
      <c r="U112" s="2">
        <v>91</v>
      </c>
      <c r="V112" s="32">
        <v>72.355392707840835</v>
      </c>
    </row>
    <row r="113" spans="15:22" x14ac:dyDescent="0.2">
      <c r="O113" s="31">
        <v>1900073219</v>
      </c>
      <c r="P113" s="2">
        <v>20140410</v>
      </c>
      <c r="Q113" s="2">
        <v>64.5</v>
      </c>
      <c r="R113" s="2">
        <v>1</v>
      </c>
      <c r="S113" s="2" t="s">
        <v>51</v>
      </c>
      <c r="T113" s="2">
        <v>50</v>
      </c>
      <c r="U113" s="2">
        <v>92</v>
      </c>
      <c r="V113" s="32">
        <v>75.236755052660939</v>
      </c>
    </row>
    <row r="114" spans="15:22" x14ac:dyDescent="0.2">
      <c r="O114" s="31">
        <v>1900073245</v>
      </c>
      <c r="P114" s="2">
        <v>20140408</v>
      </c>
      <c r="Q114" s="2">
        <v>58.27</v>
      </c>
      <c r="R114" s="2">
        <v>1</v>
      </c>
      <c r="S114" s="2" t="s">
        <v>111</v>
      </c>
      <c r="T114" s="2">
        <v>36</v>
      </c>
      <c r="U114" s="2">
        <v>95</v>
      </c>
      <c r="V114" s="32">
        <v>75.611505012526621</v>
      </c>
    </row>
    <row r="115" spans="15:22" x14ac:dyDescent="0.2">
      <c r="O115" s="31">
        <v>1900073273</v>
      </c>
      <c r="P115" s="2">
        <v>19990224</v>
      </c>
      <c r="Q115" s="2">
        <v>60.54</v>
      </c>
      <c r="R115" s="2">
        <v>1</v>
      </c>
      <c r="S115" s="2" t="s">
        <v>93</v>
      </c>
      <c r="T115" s="2">
        <v>26</v>
      </c>
      <c r="U115" s="2">
        <v>95</v>
      </c>
      <c r="V115" s="32">
        <v>74.415375349032459</v>
      </c>
    </row>
    <row r="116" spans="15:22" x14ac:dyDescent="0.2">
      <c r="O116" s="31">
        <v>1900073356</v>
      </c>
      <c r="P116" s="2">
        <v>20090213</v>
      </c>
      <c r="Q116" s="2">
        <v>53.4</v>
      </c>
      <c r="R116" s="2">
        <v>1</v>
      </c>
      <c r="S116" s="2" t="s">
        <v>155</v>
      </c>
      <c r="T116" s="2">
        <v>51</v>
      </c>
      <c r="U116" s="2">
        <v>96</v>
      </c>
      <c r="V116" s="32">
        <v>77.258622487925749</v>
      </c>
    </row>
    <row r="117" spans="15:22" x14ac:dyDescent="0.2">
      <c r="O117" s="31">
        <v>1900073244</v>
      </c>
      <c r="P117" s="2">
        <v>20140224</v>
      </c>
      <c r="Q117" s="2">
        <v>72.67</v>
      </c>
      <c r="R117" s="2">
        <v>1</v>
      </c>
      <c r="S117" s="2" t="s">
        <v>123</v>
      </c>
      <c r="T117" s="2">
        <v>5</v>
      </c>
      <c r="U117" s="2">
        <v>99</v>
      </c>
      <c r="V117" s="32">
        <v>65.013260862194983</v>
      </c>
    </row>
    <row r="118" spans="15:22" x14ac:dyDescent="0.2">
      <c r="O118" s="31">
        <v>1900073280</v>
      </c>
      <c r="P118" s="2">
        <v>19990329</v>
      </c>
      <c r="Q118" s="2">
        <v>48.03</v>
      </c>
      <c r="R118" s="2">
        <v>1</v>
      </c>
      <c r="S118" s="2" t="s">
        <v>12</v>
      </c>
      <c r="T118" s="2">
        <v>38</v>
      </c>
      <c r="U118" s="2">
        <v>100</v>
      </c>
      <c r="V118" s="32">
        <v>76.365186508743776</v>
      </c>
    </row>
    <row r="119" spans="15:22" x14ac:dyDescent="0.2">
      <c r="O119" s="31">
        <v>1900073262</v>
      </c>
      <c r="P119" s="2">
        <v>19990128</v>
      </c>
      <c r="Q119" s="2">
        <v>55.01</v>
      </c>
      <c r="R119" s="2">
        <v>1</v>
      </c>
      <c r="S119" s="2" t="s">
        <v>144</v>
      </c>
      <c r="T119" s="2">
        <v>35</v>
      </c>
      <c r="U119" s="2">
        <v>104</v>
      </c>
      <c r="V119" s="32">
        <v>69.343836246829767</v>
      </c>
    </row>
    <row r="120" spans="15:22" x14ac:dyDescent="0.2">
      <c r="O120" s="31">
        <v>1900073266</v>
      </c>
      <c r="P120" s="2">
        <v>19990209</v>
      </c>
      <c r="Q120" s="2">
        <v>48.62</v>
      </c>
      <c r="R120" s="2">
        <v>1</v>
      </c>
      <c r="S120" s="2" t="s">
        <v>66</v>
      </c>
      <c r="T120" s="2">
        <v>22</v>
      </c>
      <c r="U120" s="2">
        <v>126</v>
      </c>
      <c r="V120" s="32">
        <v>57.510545149593774</v>
      </c>
    </row>
    <row r="121" spans="15:22" x14ac:dyDescent="0.2">
      <c r="O121" s="31">
        <v>1900073290</v>
      </c>
      <c r="P121" s="2">
        <v>19990519</v>
      </c>
      <c r="Q121" s="2">
        <v>66.05</v>
      </c>
      <c r="R121" s="2">
        <v>1</v>
      </c>
      <c r="S121" s="2" t="s">
        <v>132</v>
      </c>
      <c r="T121" s="2">
        <v>16</v>
      </c>
      <c r="U121" s="2">
        <v>128</v>
      </c>
      <c r="V121" s="32">
        <v>49.923384636210095</v>
      </c>
    </row>
    <row r="122" spans="15:22" x14ac:dyDescent="0.2">
      <c r="O122" s="31">
        <v>1900073281</v>
      </c>
      <c r="P122" s="2">
        <v>19990419</v>
      </c>
      <c r="Q122" s="2">
        <v>71.53</v>
      </c>
      <c r="R122" s="2">
        <v>1</v>
      </c>
      <c r="S122" s="2" t="s">
        <v>121</v>
      </c>
      <c r="T122" s="2">
        <v>3</v>
      </c>
      <c r="U122" s="2">
        <v>133</v>
      </c>
      <c r="V122" s="32">
        <v>45.863386828422662</v>
      </c>
    </row>
    <row r="123" spans="15:22" x14ac:dyDescent="0.2">
      <c r="O123" s="31">
        <v>1900073376</v>
      </c>
      <c r="P123" s="2">
        <v>20090127</v>
      </c>
      <c r="Q123" s="2">
        <v>67.459999999999994</v>
      </c>
      <c r="R123" s="2">
        <v>1</v>
      </c>
      <c r="S123" s="2" t="s">
        <v>125</v>
      </c>
      <c r="T123" s="2">
        <v>7</v>
      </c>
      <c r="U123" s="2">
        <v>187</v>
      </c>
      <c r="V123" s="32">
        <v>31.258117023588309</v>
      </c>
    </row>
    <row r="124" spans="15:22" x14ac:dyDescent="0.2">
      <c r="O124" s="31">
        <v>1900073292</v>
      </c>
      <c r="P124" s="2">
        <v>19990520</v>
      </c>
      <c r="Q124" s="2">
        <v>69.05</v>
      </c>
      <c r="R124" s="2">
        <v>1</v>
      </c>
      <c r="S124" s="2" t="s">
        <v>169</v>
      </c>
      <c r="T124" s="2">
        <v>68</v>
      </c>
      <c r="U124" s="2">
        <v>192</v>
      </c>
      <c r="V124" s="32">
        <v>29.940388727428463</v>
      </c>
    </row>
    <row r="125" spans="15:22" x14ac:dyDescent="0.2">
      <c r="O125" s="31">
        <v>1900073363</v>
      </c>
      <c r="P125" s="2">
        <v>20090311</v>
      </c>
      <c r="Q125" s="2">
        <v>44.13</v>
      </c>
      <c r="R125" s="2">
        <v>1</v>
      </c>
      <c r="S125" s="2" t="s">
        <v>162</v>
      </c>
      <c r="T125" s="2">
        <v>61</v>
      </c>
      <c r="U125" s="128"/>
      <c r="V125" s="136">
        <v>101</v>
      </c>
    </row>
    <row r="126" spans="15:22" x14ac:dyDescent="0.2">
      <c r="O126" s="31">
        <v>1900073346</v>
      </c>
      <c r="P126" s="2">
        <v>19930930</v>
      </c>
      <c r="Q126" s="2">
        <v>48.91</v>
      </c>
      <c r="R126" s="2">
        <v>1</v>
      </c>
      <c r="S126" s="2" t="s">
        <v>66</v>
      </c>
      <c r="T126" s="2">
        <v>22</v>
      </c>
      <c r="U126" s="128"/>
      <c r="V126" s="136">
        <v>97</v>
      </c>
    </row>
    <row r="127" spans="15:22" x14ac:dyDescent="0.2">
      <c r="O127" s="31">
        <v>1900073319</v>
      </c>
      <c r="P127" s="2">
        <v>19950518</v>
      </c>
      <c r="Q127" s="2">
        <v>49.69</v>
      </c>
      <c r="R127" s="2">
        <v>1</v>
      </c>
      <c r="S127" s="2" t="s">
        <v>166</v>
      </c>
      <c r="T127" s="2">
        <v>65</v>
      </c>
      <c r="U127" s="128"/>
      <c r="V127" s="136">
        <v>97</v>
      </c>
    </row>
    <row r="128" spans="15:22" x14ac:dyDescent="0.2">
      <c r="O128" s="31">
        <v>1900073336</v>
      </c>
      <c r="P128" s="2">
        <v>19900222</v>
      </c>
      <c r="Q128" s="2">
        <v>49.87</v>
      </c>
      <c r="R128" s="2">
        <v>1</v>
      </c>
      <c r="S128" s="2" t="s">
        <v>166</v>
      </c>
      <c r="T128" s="2">
        <v>65</v>
      </c>
      <c r="U128" s="128"/>
      <c r="V128" s="136">
        <v>97</v>
      </c>
    </row>
    <row r="129" spans="15:22" x14ac:dyDescent="0.2">
      <c r="O129" s="31">
        <v>1900073344</v>
      </c>
      <c r="P129" s="2">
        <v>19930402</v>
      </c>
      <c r="Q129" s="2">
        <v>51.65</v>
      </c>
      <c r="R129" s="2">
        <v>1</v>
      </c>
      <c r="S129" s="2" t="s">
        <v>167</v>
      </c>
      <c r="T129" s="2">
        <v>66</v>
      </c>
      <c r="U129" s="128"/>
      <c r="V129" s="136">
        <v>93</v>
      </c>
    </row>
    <row r="130" spans="15:22" x14ac:dyDescent="0.2">
      <c r="O130" s="31">
        <v>1900073252</v>
      </c>
      <c r="P130" s="2">
        <v>20170111</v>
      </c>
      <c r="Q130" s="2">
        <v>59.1</v>
      </c>
      <c r="R130" s="2">
        <v>1</v>
      </c>
      <c r="S130" s="2" t="s">
        <v>109</v>
      </c>
      <c r="T130" s="2">
        <v>31</v>
      </c>
      <c r="U130" s="128"/>
      <c r="V130" s="136">
        <v>88</v>
      </c>
    </row>
    <row r="131" spans="15:22" x14ac:dyDescent="0.2">
      <c r="O131" s="31">
        <v>1900073349</v>
      </c>
      <c r="P131" s="2">
        <v>20060323</v>
      </c>
      <c r="Q131" s="2">
        <v>59.24</v>
      </c>
      <c r="R131" s="2">
        <v>1</v>
      </c>
      <c r="S131" s="2" t="s">
        <v>143</v>
      </c>
      <c r="T131" s="2">
        <v>33</v>
      </c>
      <c r="U131" s="128"/>
      <c r="V131" s="136">
        <v>88</v>
      </c>
    </row>
    <row r="132" spans="15:22" x14ac:dyDescent="0.2">
      <c r="O132" s="31">
        <v>1900073341</v>
      </c>
      <c r="P132" s="2">
        <v>19910109</v>
      </c>
      <c r="Q132" s="2">
        <v>59.36</v>
      </c>
      <c r="R132" s="2">
        <v>1</v>
      </c>
      <c r="S132" s="2" t="s">
        <v>143</v>
      </c>
      <c r="T132" s="2">
        <v>33</v>
      </c>
      <c r="U132" s="128"/>
      <c r="V132" s="136">
        <v>88</v>
      </c>
    </row>
    <row r="133" spans="15:22" x14ac:dyDescent="0.2">
      <c r="O133" s="31">
        <v>1900073256</v>
      </c>
      <c r="P133" s="2">
        <v>20070214</v>
      </c>
      <c r="Q133" s="2">
        <v>60.08</v>
      </c>
      <c r="R133" s="2">
        <v>1</v>
      </c>
      <c r="S133" s="2" t="s">
        <v>157</v>
      </c>
      <c r="T133" s="2">
        <v>53</v>
      </c>
      <c r="U133" s="128"/>
      <c r="V133" s="136">
        <v>84</v>
      </c>
    </row>
    <row r="134" spans="15:22" x14ac:dyDescent="0.2">
      <c r="O134" s="31">
        <v>1900073299</v>
      </c>
      <c r="P134" s="2">
        <v>20070309</v>
      </c>
      <c r="Q134" s="2">
        <v>60.08</v>
      </c>
      <c r="R134" s="2">
        <v>1</v>
      </c>
      <c r="S134" s="2" t="s">
        <v>157</v>
      </c>
      <c r="T134" s="2">
        <v>53</v>
      </c>
      <c r="U134" s="128"/>
      <c r="V134" s="136">
        <v>84</v>
      </c>
    </row>
    <row r="135" spans="15:22" x14ac:dyDescent="0.2">
      <c r="O135" s="31">
        <v>1900073253</v>
      </c>
      <c r="P135" s="2">
        <v>20161205</v>
      </c>
      <c r="Q135" s="2">
        <v>60.42</v>
      </c>
      <c r="R135" s="2">
        <v>1</v>
      </c>
      <c r="S135" s="2" t="s">
        <v>14</v>
      </c>
      <c r="T135" s="2">
        <v>34</v>
      </c>
      <c r="U135" s="128"/>
      <c r="V135" s="136">
        <v>84</v>
      </c>
    </row>
    <row r="136" spans="15:22" x14ac:dyDescent="0.2">
      <c r="O136" s="31">
        <v>1900073310</v>
      </c>
      <c r="P136" s="2">
        <v>20101112</v>
      </c>
      <c r="Q136" s="2">
        <v>60.48</v>
      </c>
      <c r="R136" s="2">
        <v>1</v>
      </c>
      <c r="S136" s="2" t="s">
        <v>154</v>
      </c>
      <c r="T136" s="2">
        <v>49</v>
      </c>
      <c r="U136" s="128"/>
      <c r="V136" s="136">
        <v>84</v>
      </c>
    </row>
    <row r="137" spans="15:22" x14ac:dyDescent="0.2">
      <c r="O137" s="31">
        <v>1900073249</v>
      </c>
      <c r="P137" s="2">
        <v>20170921</v>
      </c>
      <c r="Q137" s="2">
        <v>60.49</v>
      </c>
      <c r="R137" s="2">
        <v>1</v>
      </c>
      <c r="S137" s="2" t="s">
        <v>148</v>
      </c>
      <c r="T137" s="2">
        <v>41</v>
      </c>
      <c r="U137" s="128"/>
      <c r="V137" s="136">
        <v>84</v>
      </c>
    </row>
    <row r="138" spans="15:22" x14ac:dyDescent="0.2">
      <c r="O138" s="31">
        <v>1900073250</v>
      </c>
      <c r="P138" s="2">
        <v>20121212</v>
      </c>
      <c r="Q138" s="2">
        <v>60.5</v>
      </c>
      <c r="R138" s="2">
        <v>1</v>
      </c>
      <c r="S138" s="2" t="s">
        <v>148</v>
      </c>
      <c r="T138" s="2">
        <v>41</v>
      </c>
      <c r="U138" s="128"/>
      <c r="V138" s="136">
        <v>84</v>
      </c>
    </row>
    <row r="139" spans="15:22" x14ac:dyDescent="0.2">
      <c r="O139" s="31">
        <v>1900073347</v>
      </c>
      <c r="P139" s="2">
        <v>20051229</v>
      </c>
      <c r="Q139" s="2">
        <v>60.55</v>
      </c>
      <c r="R139" s="2">
        <v>1</v>
      </c>
      <c r="S139" s="2" t="s">
        <v>93</v>
      </c>
      <c r="T139" s="2">
        <v>26</v>
      </c>
      <c r="U139" s="128"/>
      <c r="V139" s="136">
        <v>84</v>
      </c>
    </row>
    <row r="140" spans="15:22" x14ac:dyDescent="0.2">
      <c r="O140" s="31">
        <v>1900073296</v>
      </c>
      <c r="P140" s="2">
        <v>19961106</v>
      </c>
      <c r="Q140" s="2">
        <v>60.59</v>
      </c>
      <c r="R140" s="2">
        <v>1</v>
      </c>
      <c r="S140" s="2" t="s">
        <v>14</v>
      </c>
      <c r="T140" s="2">
        <v>34</v>
      </c>
      <c r="U140" s="128"/>
      <c r="V140" s="136">
        <v>84</v>
      </c>
    </row>
    <row r="141" spans="15:22" x14ac:dyDescent="0.2">
      <c r="O141" s="49">
        <v>1900073343</v>
      </c>
      <c r="P141" s="43">
        <v>20041126</v>
      </c>
      <c r="Q141" s="43">
        <v>60.81</v>
      </c>
      <c r="R141" s="43">
        <v>1</v>
      </c>
      <c r="S141" s="43" t="s">
        <v>145</v>
      </c>
      <c r="T141" s="43">
        <v>37</v>
      </c>
      <c r="U141" s="137"/>
      <c r="V141" s="138">
        <v>84</v>
      </c>
    </row>
  </sheetData>
  <sortState ref="O4:T141">
    <sortCondition ref="R4:R141"/>
    <sortCondition ref="Q4:Q141"/>
  </sortState>
  <mergeCells count="4">
    <mergeCell ref="G2:H2"/>
    <mergeCell ref="AD2:AE2"/>
    <mergeCell ref="M2:M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5B6E-87EF-0A44-84D5-B3F7672ADA1F}">
  <dimension ref="A1:AT70"/>
  <sheetViews>
    <sheetView tabSelected="1" workbookViewId="0">
      <pane ySplit="3" topLeftCell="A4" activePane="bottomLeft" state="frozen"/>
      <selection pane="bottomLeft" activeCell="K3" sqref="K3"/>
    </sheetView>
  </sheetViews>
  <sheetFormatPr baseColWidth="10" defaultRowHeight="16" x14ac:dyDescent="0.2"/>
  <cols>
    <col min="1" max="1" width="13.33203125" customWidth="1"/>
    <col min="2" max="2" width="12.6640625" customWidth="1"/>
    <col min="5" max="5" width="8" customWidth="1"/>
    <col min="6" max="6" width="9.83203125" customWidth="1"/>
    <col min="8" max="8" width="7.33203125" style="2" customWidth="1"/>
    <col min="9" max="9" width="8.33203125" customWidth="1"/>
    <col min="10" max="10" width="8.83203125" customWidth="1"/>
    <col min="11" max="11" width="6.5" customWidth="1"/>
    <col min="12" max="12" width="10.83203125" customWidth="1"/>
    <col min="16" max="16" width="15.5" customWidth="1"/>
    <col min="19" max="20" width="10" customWidth="1"/>
    <col min="21" max="22" width="7" style="1" customWidth="1"/>
    <col min="26" max="26" width="15.6640625" customWidth="1"/>
    <col min="27" max="27" width="14.33203125" customWidth="1"/>
    <col min="28" max="28" width="15.1640625" customWidth="1"/>
    <col min="29" max="29" width="10.33203125" customWidth="1"/>
    <col min="30" max="30" width="10.6640625" customWidth="1"/>
    <col min="32" max="33" width="10.83203125" style="1"/>
    <col min="37" max="37" width="16.6640625" customWidth="1"/>
    <col min="38" max="38" width="13.1640625" customWidth="1"/>
    <col min="39" max="39" width="10" customWidth="1"/>
    <col min="40" max="40" width="6.83203125" customWidth="1"/>
    <col min="41" max="41" width="7.33203125" style="2" customWidth="1"/>
    <col min="45" max="45" width="8.6640625" customWidth="1"/>
    <col min="46" max="46" width="13.83203125" customWidth="1"/>
  </cols>
  <sheetData>
    <row r="1" spans="1:46" ht="21" x14ac:dyDescent="0.25">
      <c r="A1" s="116" t="s">
        <v>0</v>
      </c>
      <c r="B1" s="116" t="s">
        <v>91</v>
      </c>
      <c r="C1" s="2"/>
      <c r="D1" s="2"/>
      <c r="E1" s="2"/>
      <c r="F1" s="2"/>
      <c r="G1" s="2"/>
    </row>
    <row r="2" spans="1:46" s="16" customFormat="1" ht="21" x14ac:dyDescent="0.25">
      <c r="A2" s="28" t="s">
        <v>1</v>
      </c>
      <c r="B2" s="29"/>
      <c r="C2" s="29"/>
      <c r="D2" s="29"/>
      <c r="E2" s="29"/>
      <c r="F2" s="29"/>
      <c r="G2" s="129" t="s">
        <v>8</v>
      </c>
      <c r="H2" s="130"/>
      <c r="I2" s="29"/>
      <c r="J2" s="29"/>
      <c r="K2" s="29"/>
      <c r="L2" s="29"/>
      <c r="M2" s="133" t="s">
        <v>375</v>
      </c>
      <c r="N2" s="91"/>
      <c r="O2" s="28" t="s">
        <v>119</v>
      </c>
      <c r="P2" s="29"/>
      <c r="Q2" s="29"/>
      <c r="R2" s="29"/>
      <c r="S2" s="29"/>
      <c r="T2" s="29"/>
      <c r="U2" s="94"/>
      <c r="V2" s="94"/>
      <c r="W2" s="46"/>
      <c r="Y2" s="28" t="s">
        <v>173</v>
      </c>
      <c r="Z2" s="29"/>
      <c r="AA2" s="29"/>
      <c r="AB2" s="29"/>
      <c r="AC2" s="29"/>
      <c r="AD2" s="29"/>
      <c r="AE2" s="129" t="s">
        <v>8</v>
      </c>
      <c r="AF2" s="130"/>
      <c r="AG2" s="96"/>
      <c r="AH2" s="46"/>
      <c r="AJ2" s="28" t="s">
        <v>237</v>
      </c>
      <c r="AK2" s="29"/>
      <c r="AL2" s="29"/>
      <c r="AM2" s="29"/>
      <c r="AN2" s="29"/>
      <c r="AO2" s="29"/>
      <c r="AP2" s="29"/>
      <c r="AQ2" s="29"/>
      <c r="AR2" s="29"/>
      <c r="AS2" s="29"/>
      <c r="AT2" s="133" t="s">
        <v>379</v>
      </c>
    </row>
    <row r="3" spans="1:46" s="16" customFormat="1" x14ac:dyDescent="0.2">
      <c r="A3" s="30" t="s">
        <v>2</v>
      </c>
      <c r="B3" s="22" t="s">
        <v>3</v>
      </c>
      <c r="C3" s="22" t="s">
        <v>4</v>
      </c>
      <c r="D3" s="22" t="s">
        <v>5</v>
      </c>
      <c r="E3" s="52" t="s">
        <v>232</v>
      </c>
      <c r="F3" s="22" t="s">
        <v>90</v>
      </c>
      <c r="G3" s="22" t="s">
        <v>6</v>
      </c>
      <c r="H3" s="22" t="s">
        <v>7</v>
      </c>
      <c r="I3" s="22" t="s">
        <v>371</v>
      </c>
      <c r="J3" s="22" t="s">
        <v>372</v>
      </c>
      <c r="K3" s="126" t="s">
        <v>384</v>
      </c>
      <c r="L3" s="51" t="s">
        <v>380</v>
      </c>
      <c r="M3" s="134"/>
      <c r="N3" s="92"/>
      <c r="O3" s="54" t="s">
        <v>2</v>
      </c>
      <c r="P3" s="52" t="s">
        <v>345</v>
      </c>
      <c r="Q3" s="52" t="s">
        <v>344</v>
      </c>
      <c r="R3" s="52" t="s">
        <v>5</v>
      </c>
      <c r="S3" s="52" t="s">
        <v>232</v>
      </c>
      <c r="T3" s="22" t="s">
        <v>170</v>
      </c>
      <c r="U3" s="52" t="s">
        <v>171</v>
      </c>
      <c r="V3" s="126" t="s">
        <v>384</v>
      </c>
      <c r="W3" s="127" t="s">
        <v>380</v>
      </c>
      <c r="Y3" s="54" t="s">
        <v>2</v>
      </c>
      <c r="Z3" s="22" t="s">
        <v>3</v>
      </c>
      <c r="AA3" s="22" t="s">
        <v>4</v>
      </c>
      <c r="AB3" s="52" t="s">
        <v>5</v>
      </c>
      <c r="AC3" s="52" t="s">
        <v>232</v>
      </c>
      <c r="AD3" s="22" t="s">
        <v>90</v>
      </c>
      <c r="AE3" s="22" t="s">
        <v>6</v>
      </c>
      <c r="AF3" s="52" t="s">
        <v>7</v>
      </c>
      <c r="AG3" s="126" t="s">
        <v>384</v>
      </c>
      <c r="AH3" s="127" t="s">
        <v>380</v>
      </c>
      <c r="AJ3" s="54" t="s">
        <v>2</v>
      </c>
      <c r="AK3" s="22" t="s">
        <v>3</v>
      </c>
      <c r="AL3" s="52" t="s">
        <v>344</v>
      </c>
      <c r="AM3" s="52" t="s">
        <v>5</v>
      </c>
      <c r="AN3" s="52" t="s">
        <v>232</v>
      </c>
      <c r="AO3" s="22" t="s">
        <v>269</v>
      </c>
      <c r="AP3" s="22" t="s">
        <v>371</v>
      </c>
      <c r="AQ3" s="22" t="s">
        <v>378</v>
      </c>
      <c r="AR3" s="126" t="s">
        <v>384</v>
      </c>
      <c r="AS3" s="22" t="s">
        <v>380</v>
      </c>
      <c r="AT3" s="134"/>
    </row>
    <row r="4" spans="1:46" ht="17" x14ac:dyDescent="0.2">
      <c r="A4" s="55" t="s">
        <v>116</v>
      </c>
      <c r="B4" s="20">
        <v>43160</v>
      </c>
      <c r="C4" s="23">
        <v>15220</v>
      </c>
      <c r="D4" s="2">
        <v>76.547945205479451</v>
      </c>
      <c r="E4" s="63">
        <v>0</v>
      </c>
      <c r="F4" s="2">
        <v>1</v>
      </c>
      <c r="G4" s="24"/>
      <c r="H4" s="24">
        <v>1</v>
      </c>
      <c r="I4" s="2">
        <v>281</v>
      </c>
      <c r="J4" s="2">
        <v>85</v>
      </c>
      <c r="K4" s="2">
        <v>42</v>
      </c>
      <c r="L4" s="2">
        <f>144*((K4/61.9)^-0.329)*(0.993^D4)</f>
        <v>95.554455056517384</v>
      </c>
      <c r="M4" s="32">
        <v>0</v>
      </c>
      <c r="O4" s="76" t="s">
        <v>315</v>
      </c>
      <c r="P4" s="66">
        <v>2012</v>
      </c>
      <c r="Q4" s="70">
        <v>1981</v>
      </c>
      <c r="R4" s="69">
        <v>32</v>
      </c>
      <c r="S4" s="66">
        <v>0</v>
      </c>
      <c r="T4" s="75" t="s">
        <v>107</v>
      </c>
      <c r="U4" s="3">
        <v>26</v>
      </c>
      <c r="V4" s="3"/>
      <c r="W4" s="32">
        <v>110</v>
      </c>
      <c r="Y4" s="84" t="s">
        <v>346</v>
      </c>
      <c r="Z4" s="10">
        <v>43549</v>
      </c>
      <c r="AA4" s="10">
        <v>14022</v>
      </c>
      <c r="AB4" s="47">
        <f t="shared" ref="AB4:AB10" si="0">(Z4-AA4)/365</f>
        <v>80.895890410958899</v>
      </c>
      <c r="AC4" s="2">
        <v>0</v>
      </c>
      <c r="AD4" s="2">
        <v>1</v>
      </c>
      <c r="AE4" s="2"/>
      <c r="AF4" s="1">
        <v>1</v>
      </c>
      <c r="AG4" s="1">
        <v>54</v>
      </c>
      <c r="AH4" s="2">
        <f>144*((AG4/61.9)^-0.329)*(0.993^AB4)</f>
        <v>85.325316766400647</v>
      </c>
      <c r="AJ4" s="33" t="s">
        <v>352</v>
      </c>
      <c r="AK4" s="1" t="s">
        <v>359</v>
      </c>
      <c r="AL4" s="1">
        <v>1975</v>
      </c>
      <c r="AM4" s="2">
        <f>2005-AL4</f>
        <v>30</v>
      </c>
      <c r="AN4" s="1">
        <v>0</v>
      </c>
      <c r="AO4" s="2" t="s">
        <v>366</v>
      </c>
      <c r="AP4" s="2"/>
      <c r="AQ4" s="2"/>
      <c r="AR4" s="2"/>
      <c r="AS4" s="2"/>
      <c r="AT4" s="32"/>
    </row>
    <row r="5" spans="1:46" ht="17" x14ac:dyDescent="0.2">
      <c r="A5" s="31" t="s">
        <v>107</v>
      </c>
      <c r="B5" s="10">
        <v>43259</v>
      </c>
      <c r="C5" s="10">
        <v>31570</v>
      </c>
      <c r="D5" s="2">
        <v>32.024657534246572</v>
      </c>
      <c r="E5" s="2">
        <v>0</v>
      </c>
      <c r="F5" s="2">
        <v>1</v>
      </c>
      <c r="G5" s="2">
        <v>1</v>
      </c>
      <c r="I5" s="2">
        <v>245</v>
      </c>
      <c r="J5" s="2">
        <v>108</v>
      </c>
      <c r="K5" s="2">
        <v>45</v>
      </c>
      <c r="L5" s="2">
        <f>144*((K5/61.9)^-0.329)*(0.993^D5)</f>
        <v>127.70930058345772</v>
      </c>
      <c r="M5" s="32">
        <v>0</v>
      </c>
      <c r="O5" s="80" t="s">
        <v>342</v>
      </c>
      <c r="P5" s="66">
        <v>2012</v>
      </c>
      <c r="Q5" s="72">
        <v>1981</v>
      </c>
      <c r="R5" s="73">
        <v>32</v>
      </c>
      <c r="S5" s="74">
        <v>0</v>
      </c>
      <c r="T5" s="75" t="s">
        <v>107</v>
      </c>
      <c r="U5" s="3">
        <v>26</v>
      </c>
      <c r="V5" s="3"/>
      <c r="W5" s="32">
        <v>110</v>
      </c>
      <c r="Y5" s="55" t="s">
        <v>350</v>
      </c>
      <c r="Z5" s="20">
        <v>40598</v>
      </c>
      <c r="AA5" s="11">
        <v>14852</v>
      </c>
      <c r="AB5" s="47">
        <f t="shared" si="0"/>
        <v>70.536986301369865</v>
      </c>
      <c r="AC5" s="2">
        <v>0</v>
      </c>
      <c r="AD5" s="2">
        <v>0</v>
      </c>
      <c r="AE5" s="19">
        <v>1</v>
      </c>
      <c r="AF5" s="25">
        <v>0</v>
      </c>
      <c r="AG5" s="25">
        <v>156</v>
      </c>
      <c r="AH5" s="2">
        <f>144*((AG5/61.9)^-1.209)*(0.993^AB5)</f>
        <v>28.697101265890421</v>
      </c>
      <c r="AJ5" s="33" t="s">
        <v>353</v>
      </c>
      <c r="AK5" s="1" t="s">
        <v>360</v>
      </c>
      <c r="AL5" s="2">
        <v>1964</v>
      </c>
      <c r="AM5" s="2">
        <f t="shared" ref="AM5:AM7" si="1">2005-AL5</f>
        <v>41</v>
      </c>
      <c r="AN5" s="1">
        <v>0</v>
      </c>
      <c r="AO5" s="2" t="s">
        <v>366</v>
      </c>
      <c r="AP5" s="2"/>
      <c r="AQ5" s="2"/>
      <c r="AR5" s="2"/>
      <c r="AS5" s="2"/>
      <c r="AT5" s="32"/>
    </row>
    <row r="6" spans="1:46" x14ac:dyDescent="0.2">
      <c r="A6" s="31" t="s">
        <v>94</v>
      </c>
      <c r="B6" s="10">
        <v>41684</v>
      </c>
      <c r="C6" s="10">
        <v>23704</v>
      </c>
      <c r="D6" s="2">
        <v>49</v>
      </c>
      <c r="E6" s="2">
        <v>0</v>
      </c>
      <c r="F6" s="2">
        <v>1</v>
      </c>
      <c r="G6" s="2">
        <v>1</v>
      </c>
      <c r="I6" s="2">
        <v>38</v>
      </c>
      <c r="J6" s="2">
        <v>30</v>
      </c>
      <c r="K6" s="2">
        <v>49</v>
      </c>
      <c r="L6" s="2">
        <f>144*((K6/61.9)^-0.329)*(0.993^D6)</f>
        <v>110.22177017490867</v>
      </c>
      <c r="M6" s="32">
        <v>0</v>
      </c>
      <c r="O6" s="76" t="s">
        <v>298</v>
      </c>
      <c r="P6" s="67">
        <v>2012</v>
      </c>
      <c r="Q6" s="70">
        <v>1970</v>
      </c>
      <c r="R6" s="69">
        <v>43</v>
      </c>
      <c r="S6" s="66">
        <v>0</v>
      </c>
      <c r="T6" s="65" t="s">
        <v>117</v>
      </c>
      <c r="U6" s="3">
        <v>9</v>
      </c>
      <c r="V6" s="3"/>
      <c r="W6" s="32">
        <v>101</v>
      </c>
      <c r="Y6" s="84" t="s">
        <v>347</v>
      </c>
      <c r="Z6" s="10">
        <v>43725</v>
      </c>
      <c r="AA6" s="10">
        <v>20226</v>
      </c>
      <c r="AB6" s="47">
        <f t="shared" si="0"/>
        <v>64.38082191780822</v>
      </c>
      <c r="AC6" s="2">
        <v>0</v>
      </c>
      <c r="AD6" s="2">
        <v>1</v>
      </c>
      <c r="AE6" s="2">
        <v>1</v>
      </c>
      <c r="AG6" s="128"/>
      <c r="AH6" s="128" t="e">
        <f>144*((AG6/61.9)^-1.209)*(0.993^AB6)</f>
        <v>#DIV/0!</v>
      </c>
      <c r="AJ6" s="33" t="s">
        <v>354</v>
      </c>
      <c r="AK6" s="1" t="s">
        <v>361</v>
      </c>
      <c r="AL6" s="2">
        <v>1954</v>
      </c>
      <c r="AM6" s="2">
        <f>2007-AL6</f>
        <v>53</v>
      </c>
      <c r="AN6" s="1">
        <v>0</v>
      </c>
      <c r="AO6" s="2" t="s">
        <v>366</v>
      </c>
      <c r="AP6" s="2"/>
      <c r="AQ6" s="2"/>
      <c r="AR6" s="2"/>
      <c r="AS6" s="2"/>
      <c r="AT6" s="32"/>
    </row>
    <row r="7" spans="1:46" x14ac:dyDescent="0.2">
      <c r="A7" s="55" t="s">
        <v>117</v>
      </c>
      <c r="B7" s="20">
        <v>42846</v>
      </c>
      <c r="C7" s="23">
        <v>27041</v>
      </c>
      <c r="D7" s="2">
        <v>43.301369863013697</v>
      </c>
      <c r="E7" s="19">
        <v>0</v>
      </c>
      <c r="F7" s="2">
        <v>1</v>
      </c>
      <c r="G7" s="24">
        <v>1</v>
      </c>
      <c r="H7" s="24"/>
      <c r="I7" s="2">
        <v>169</v>
      </c>
      <c r="J7" s="2">
        <v>108</v>
      </c>
      <c r="K7" s="2">
        <v>58</v>
      </c>
      <c r="L7" s="2">
        <f t="shared" ref="L7" si="2">144*((K7/61.9)^-0.329)*(0.993^D7)</f>
        <v>108.53234495009832</v>
      </c>
      <c r="M7" s="32">
        <v>0</v>
      </c>
      <c r="O7" s="76" t="s">
        <v>325</v>
      </c>
      <c r="P7" s="67">
        <v>2012</v>
      </c>
      <c r="Q7" s="68">
        <v>1970</v>
      </c>
      <c r="R7" s="69">
        <v>43</v>
      </c>
      <c r="S7" s="68">
        <v>0</v>
      </c>
      <c r="T7" s="65" t="s">
        <v>117</v>
      </c>
      <c r="U7" s="3">
        <v>9</v>
      </c>
      <c r="V7" s="3"/>
      <c r="W7" s="32">
        <v>101</v>
      </c>
      <c r="Y7" s="55" t="s">
        <v>121</v>
      </c>
      <c r="Z7" s="12">
        <v>41521</v>
      </c>
      <c r="AA7" s="11">
        <v>12603</v>
      </c>
      <c r="AB7" s="47">
        <f t="shared" si="0"/>
        <v>79.227397260273975</v>
      </c>
      <c r="AC7" s="2">
        <v>1</v>
      </c>
      <c r="AD7" s="2">
        <v>0</v>
      </c>
      <c r="AE7" s="19">
        <v>0</v>
      </c>
      <c r="AF7" s="25">
        <v>1</v>
      </c>
      <c r="AG7" s="25">
        <v>79</v>
      </c>
      <c r="AH7" s="2">
        <f>141*((AG7/79.6)^-0.411)*(0.993^AB7)</f>
        <v>81.071189951335867</v>
      </c>
      <c r="AJ7" s="33" t="s">
        <v>355</v>
      </c>
      <c r="AK7" s="1" t="s">
        <v>362</v>
      </c>
      <c r="AL7" s="2">
        <v>1957</v>
      </c>
      <c r="AM7" s="2">
        <f t="shared" si="1"/>
        <v>48</v>
      </c>
      <c r="AN7" s="1">
        <v>0</v>
      </c>
      <c r="AO7" s="2" t="s">
        <v>366</v>
      </c>
      <c r="AP7" s="2"/>
      <c r="AQ7" s="2"/>
      <c r="AR7" s="2"/>
      <c r="AS7" s="2"/>
      <c r="AT7" s="32"/>
    </row>
    <row r="8" spans="1:46" x14ac:dyDescent="0.2">
      <c r="A8" s="55" t="s">
        <v>96</v>
      </c>
      <c r="B8" s="20">
        <v>42956</v>
      </c>
      <c r="C8" s="23">
        <v>21625</v>
      </c>
      <c r="D8" s="2">
        <v>58.441095890410956</v>
      </c>
      <c r="E8" s="19">
        <v>0</v>
      </c>
      <c r="F8" s="2">
        <v>1</v>
      </c>
      <c r="G8" s="24">
        <v>1</v>
      </c>
      <c r="H8" s="24"/>
      <c r="I8" s="2">
        <v>20</v>
      </c>
      <c r="J8" s="2">
        <v>58</v>
      </c>
      <c r="K8" s="2">
        <v>66</v>
      </c>
      <c r="L8" s="2">
        <f>144*((K8/61.9)^--1.209)*(0.993^D8)</f>
        <v>103.21619719702288</v>
      </c>
      <c r="M8" s="32">
        <v>0</v>
      </c>
      <c r="O8" s="76" t="s">
        <v>304</v>
      </c>
      <c r="P8" s="67">
        <v>2012</v>
      </c>
      <c r="Q8" s="68">
        <v>1964</v>
      </c>
      <c r="R8" s="69">
        <v>49</v>
      </c>
      <c r="S8" s="68">
        <v>0</v>
      </c>
      <c r="T8" s="65" t="s">
        <v>94</v>
      </c>
      <c r="U8" s="3">
        <v>15</v>
      </c>
      <c r="V8" s="3"/>
      <c r="W8" s="32">
        <v>97</v>
      </c>
      <c r="Y8" s="55" t="s">
        <v>348</v>
      </c>
      <c r="Z8" s="20">
        <v>40967</v>
      </c>
      <c r="AA8" s="11">
        <v>14578</v>
      </c>
      <c r="AB8" s="47">
        <f t="shared" si="0"/>
        <v>72.298630136986304</v>
      </c>
      <c r="AC8" s="2">
        <v>1</v>
      </c>
      <c r="AD8" s="2">
        <v>0</v>
      </c>
      <c r="AE8" s="19">
        <v>0</v>
      </c>
      <c r="AF8" s="25">
        <v>1</v>
      </c>
      <c r="AG8" s="25">
        <v>95</v>
      </c>
      <c r="AH8" s="2">
        <f>141*((AG8/79.6)^-1.209)*(0.993^AB8)</f>
        <v>68.515687216341561</v>
      </c>
      <c r="AJ8" s="33" t="s">
        <v>356</v>
      </c>
      <c r="AK8" s="1" t="s">
        <v>363</v>
      </c>
      <c r="AL8" s="2">
        <v>1977</v>
      </c>
      <c r="AM8" s="2">
        <f>2006-AL8</f>
        <v>29</v>
      </c>
      <c r="AN8" s="1">
        <v>0</v>
      </c>
      <c r="AO8" s="2" t="s">
        <v>366</v>
      </c>
      <c r="AP8" s="2"/>
      <c r="AQ8" s="2"/>
      <c r="AR8" s="2"/>
      <c r="AS8" s="2"/>
      <c r="AT8" s="32"/>
    </row>
    <row r="9" spans="1:46" x14ac:dyDescent="0.2">
      <c r="A9" s="31" t="s">
        <v>99</v>
      </c>
      <c r="B9" s="10">
        <v>41957</v>
      </c>
      <c r="C9" s="10">
        <v>21635</v>
      </c>
      <c r="D9" s="2">
        <v>55.676712328767124</v>
      </c>
      <c r="E9" s="2">
        <v>0</v>
      </c>
      <c r="F9" s="2">
        <v>1</v>
      </c>
      <c r="G9" s="2">
        <v>1</v>
      </c>
      <c r="I9" s="2">
        <v>18</v>
      </c>
      <c r="J9" s="2">
        <v>26</v>
      </c>
      <c r="K9" s="2">
        <v>76</v>
      </c>
      <c r="L9" s="2">
        <f>144*((K9/61.9)^-1.209)*(0.993^D9)</f>
        <v>75.990104157153738</v>
      </c>
      <c r="M9" s="32">
        <v>1</v>
      </c>
      <c r="O9" s="76" t="s">
        <v>331</v>
      </c>
      <c r="P9" s="67">
        <v>2012</v>
      </c>
      <c r="Q9" s="68">
        <v>1964</v>
      </c>
      <c r="R9" s="69">
        <v>49</v>
      </c>
      <c r="S9" s="68">
        <v>0</v>
      </c>
      <c r="T9" s="65" t="s">
        <v>94</v>
      </c>
      <c r="U9" s="3">
        <v>15</v>
      </c>
      <c r="V9" s="3"/>
      <c r="W9" s="32">
        <v>97</v>
      </c>
      <c r="Y9" s="4" t="s">
        <v>351</v>
      </c>
      <c r="Z9" s="10">
        <v>42520</v>
      </c>
      <c r="AA9" s="10">
        <v>17082</v>
      </c>
      <c r="AB9" s="47">
        <f t="shared" si="0"/>
        <v>69.69315068493151</v>
      </c>
      <c r="AC9" s="2">
        <v>1</v>
      </c>
      <c r="AD9" s="2">
        <v>0</v>
      </c>
      <c r="AE9" s="2">
        <v>0</v>
      </c>
      <c r="AF9" s="1">
        <v>1</v>
      </c>
      <c r="AG9" s="25">
        <v>112</v>
      </c>
      <c r="AH9" s="2">
        <f t="shared" ref="AH9:AH10" si="3">141*((AG9/79.6)^-1.209)*(0.993^AB9)</f>
        <v>57.187608822038968</v>
      </c>
      <c r="AJ9" s="33" t="s">
        <v>357</v>
      </c>
      <c r="AK9" s="1" t="s">
        <v>364</v>
      </c>
      <c r="AL9" s="2">
        <v>1987</v>
      </c>
      <c r="AM9" s="2">
        <f>2006-AL9</f>
        <v>19</v>
      </c>
      <c r="AN9" s="1">
        <v>0</v>
      </c>
      <c r="AO9" s="2" t="s">
        <v>366</v>
      </c>
      <c r="AP9" s="2"/>
      <c r="AQ9" s="2"/>
      <c r="AR9" s="2"/>
      <c r="AS9" s="2"/>
      <c r="AT9" s="32"/>
    </row>
    <row r="10" spans="1:46" x14ac:dyDescent="0.2">
      <c r="A10" s="31" t="s">
        <v>106</v>
      </c>
      <c r="B10" s="10">
        <v>43130</v>
      </c>
      <c r="C10" s="10">
        <v>20883</v>
      </c>
      <c r="D10" s="2">
        <v>60.950684931506849</v>
      </c>
      <c r="E10" s="2">
        <v>0</v>
      </c>
      <c r="F10" s="2">
        <v>1</v>
      </c>
      <c r="G10" s="2">
        <v>1</v>
      </c>
      <c r="I10" s="2">
        <v>113</v>
      </c>
      <c r="J10" s="2">
        <v>56</v>
      </c>
      <c r="K10" s="2">
        <v>88</v>
      </c>
      <c r="L10" s="2">
        <f t="shared" ref="L10:L13" si="4">144*((K10/61.9)^-1.209)*(0.993^D10)</f>
        <v>61.332623550618287</v>
      </c>
      <c r="M10" s="32">
        <v>0</v>
      </c>
      <c r="O10" s="76" t="s">
        <v>290</v>
      </c>
      <c r="P10" s="66">
        <v>2012</v>
      </c>
      <c r="Q10" s="66">
        <v>1954</v>
      </c>
      <c r="R10" s="3">
        <v>58</v>
      </c>
      <c r="S10" s="66">
        <v>0</v>
      </c>
      <c r="T10" s="65" t="s">
        <v>96</v>
      </c>
      <c r="U10" s="3">
        <v>1</v>
      </c>
      <c r="V10" s="3"/>
      <c r="W10" s="32">
        <v>89</v>
      </c>
      <c r="Y10" s="85" t="s">
        <v>349</v>
      </c>
      <c r="Z10" s="100">
        <v>40456</v>
      </c>
      <c r="AA10" s="86">
        <v>10977</v>
      </c>
      <c r="AB10" s="50">
        <f t="shared" si="0"/>
        <v>80.764383561643839</v>
      </c>
      <c r="AC10" s="43">
        <v>1</v>
      </c>
      <c r="AD10" s="43">
        <v>1</v>
      </c>
      <c r="AE10" s="44">
        <v>1</v>
      </c>
      <c r="AF10" s="93">
        <v>0</v>
      </c>
      <c r="AG10" s="25">
        <v>140</v>
      </c>
      <c r="AH10" s="2">
        <f t="shared" si="3"/>
        <v>40.398212726996263</v>
      </c>
      <c r="AJ10" s="87" t="s">
        <v>358</v>
      </c>
      <c r="AK10" s="58" t="s">
        <v>365</v>
      </c>
      <c r="AL10" s="43">
        <v>1941</v>
      </c>
      <c r="AM10" s="2">
        <f>2006-AL10</f>
        <v>65</v>
      </c>
      <c r="AN10" s="58">
        <v>0</v>
      </c>
      <c r="AO10" s="43" t="s">
        <v>366</v>
      </c>
      <c r="AP10" s="43"/>
      <c r="AQ10" s="43"/>
      <c r="AR10" s="43"/>
      <c r="AS10" s="43"/>
      <c r="AT10" s="45"/>
    </row>
    <row r="11" spans="1:46" x14ac:dyDescent="0.2">
      <c r="A11" s="31" t="s">
        <v>108</v>
      </c>
      <c r="B11" s="10">
        <v>43347</v>
      </c>
      <c r="C11" s="10">
        <v>18149</v>
      </c>
      <c r="D11" s="2">
        <v>69.035616438356158</v>
      </c>
      <c r="E11" s="2">
        <v>0</v>
      </c>
      <c r="F11" s="2">
        <v>1</v>
      </c>
      <c r="G11" s="2"/>
      <c r="H11" s="2">
        <v>1</v>
      </c>
      <c r="I11" s="2">
        <v>58</v>
      </c>
      <c r="J11" s="2">
        <v>113</v>
      </c>
      <c r="K11" s="2">
        <v>108</v>
      </c>
      <c r="L11" s="2">
        <f t="shared" si="4"/>
        <v>45.237297875836688</v>
      </c>
      <c r="M11" s="32">
        <v>1</v>
      </c>
      <c r="O11" s="76" t="s">
        <v>317</v>
      </c>
      <c r="P11" s="66">
        <v>2012</v>
      </c>
      <c r="Q11" s="70">
        <v>1955</v>
      </c>
      <c r="R11" s="69">
        <v>58</v>
      </c>
      <c r="S11" s="66">
        <v>0</v>
      </c>
      <c r="T11" s="65" t="s">
        <v>96</v>
      </c>
      <c r="U11" s="3">
        <v>1</v>
      </c>
      <c r="V11" s="3"/>
      <c r="W11" s="32">
        <v>89</v>
      </c>
    </row>
    <row r="12" spans="1:46" ht="17" x14ac:dyDescent="0.2">
      <c r="A12" s="33" t="s">
        <v>98</v>
      </c>
      <c r="B12" s="21">
        <v>43495</v>
      </c>
      <c r="C12" s="12">
        <v>21210</v>
      </c>
      <c r="D12" s="2">
        <v>61.054794520547944</v>
      </c>
      <c r="E12" s="2">
        <v>0</v>
      </c>
      <c r="F12" s="2">
        <v>0</v>
      </c>
      <c r="G12" s="2"/>
      <c r="H12" s="25">
        <v>1</v>
      </c>
      <c r="I12" s="2">
        <v>221</v>
      </c>
      <c r="J12" s="2">
        <v>109</v>
      </c>
      <c r="K12" s="2">
        <v>174</v>
      </c>
      <c r="L12" s="2">
        <f t="shared" si="4"/>
        <v>26.880010828723726</v>
      </c>
      <c r="M12" s="32">
        <v>1</v>
      </c>
      <c r="O12" s="76" t="s">
        <v>314</v>
      </c>
      <c r="P12" s="66">
        <v>2012</v>
      </c>
      <c r="Q12" s="70">
        <v>1953</v>
      </c>
      <c r="R12" s="69">
        <v>60</v>
      </c>
      <c r="S12" s="66">
        <v>0</v>
      </c>
      <c r="T12" s="75" t="s">
        <v>106</v>
      </c>
      <c r="U12" s="3">
        <v>25</v>
      </c>
      <c r="V12" s="3"/>
      <c r="W12" s="32">
        <v>85</v>
      </c>
    </row>
    <row r="13" spans="1:46" ht="17" x14ac:dyDescent="0.2">
      <c r="A13" s="4" t="s">
        <v>118</v>
      </c>
      <c r="B13" s="10">
        <v>42461</v>
      </c>
      <c r="C13" s="10">
        <v>13750</v>
      </c>
      <c r="D13" s="2">
        <v>78.660273972602738</v>
      </c>
      <c r="E13" s="2">
        <v>0</v>
      </c>
      <c r="F13" s="2">
        <v>0</v>
      </c>
      <c r="G13" s="2"/>
      <c r="H13" s="2">
        <v>1</v>
      </c>
      <c r="I13" s="2">
        <v>15</v>
      </c>
      <c r="J13" s="2">
        <v>34</v>
      </c>
      <c r="K13" s="2">
        <v>321</v>
      </c>
      <c r="L13" s="2">
        <f t="shared" si="4"/>
        <v>11.32867071123046</v>
      </c>
      <c r="M13" s="32">
        <v>1</v>
      </c>
      <c r="O13" s="76" t="s">
        <v>341</v>
      </c>
      <c r="P13" s="66">
        <v>2012</v>
      </c>
      <c r="Q13" s="70">
        <v>1953</v>
      </c>
      <c r="R13" s="69">
        <v>60</v>
      </c>
      <c r="S13" s="66">
        <v>0</v>
      </c>
      <c r="T13" s="75" t="s">
        <v>106</v>
      </c>
      <c r="U13" s="3">
        <v>25</v>
      </c>
      <c r="V13" s="3"/>
      <c r="W13" s="32">
        <v>85</v>
      </c>
    </row>
    <row r="14" spans="1:46" x14ac:dyDescent="0.2">
      <c r="A14" s="4" t="s">
        <v>112</v>
      </c>
      <c r="B14" s="10">
        <v>42390</v>
      </c>
      <c r="C14" s="10">
        <v>17733</v>
      </c>
      <c r="D14" s="2">
        <v>67.553424657534251</v>
      </c>
      <c r="E14" s="2">
        <v>1</v>
      </c>
      <c r="F14" s="2">
        <v>1</v>
      </c>
      <c r="G14" s="2">
        <v>1</v>
      </c>
      <c r="I14" s="2">
        <v>199</v>
      </c>
      <c r="J14" s="2">
        <v>96</v>
      </c>
      <c r="K14" s="2">
        <v>52</v>
      </c>
      <c r="L14" s="2">
        <f>141*((K14/79.6)^-0.411)*(0.993^D14)</f>
        <v>104.50288914155264</v>
      </c>
      <c r="M14" s="32">
        <v>1</v>
      </c>
      <c r="O14" s="76" t="s">
        <v>299</v>
      </c>
      <c r="P14" s="66">
        <v>2012</v>
      </c>
      <c r="Q14" s="66">
        <v>1951</v>
      </c>
      <c r="R14" s="3">
        <v>61</v>
      </c>
      <c r="S14" s="66">
        <v>0</v>
      </c>
      <c r="T14" s="65" t="s">
        <v>98</v>
      </c>
      <c r="U14" s="3">
        <v>10</v>
      </c>
      <c r="V14" s="3"/>
      <c r="W14" s="32">
        <v>85</v>
      </c>
    </row>
    <row r="15" spans="1:46" x14ac:dyDescent="0.2">
      <c r="A15" s="31" t="s">
        <v>101</v>
      </c>
      <c r="B15" s="10">
        <v>42433</v>
      </c>
      <c r="C15" s="10">
        <v>16940</v>
      </c>
      <c r="D15" s="2">
        <v>69.843835616438355</v>
      </c>
      <c r="E15" s="2">
        <v>1</v>
      </c>
      <c r="F15" s="2">
        <v>1</v>
      </c>
      <c r="G15" s="2">
        <v>1</v>
      </c>
      <c r="I15" s="2">
        <v>198</v>
      </c>
      <c r="J15" s="2">
        <v>110</v>
      </c>
      <c r="K15" s="2">
        <v>55</v>
      </c>
      <c r="L15" s="2">
        <f t="shared" ref="L15:L18" si="5">141*((K15/79.6)^-0.411)*(0.993^D15)</f>
        <v>100.49145434422279</v>
      </c>
      <c r="M15" s="32">
        <v>0</v>
      </c>
      <c r="O15" s="76" t="s">
        <v>326</v>
      </c>
      <c r="P15" s="66">
        <v>2012</v>
      </c>
      <c r="Q15" s="66">
        <v>1951</v>
      </c>
      <c r="R15" s="3">
        <v>61</v>
      </c>
      <c r="S15" s="66">
        <v>0</v>
      </c>
      <c r="T15" s="65" t="s">
        <v>98</v>
      </c>
      <c r="U15" s="3">
        <v>10</v>
      </c>
      <c r="V15" s="3"/>
      <c r="W15" s="32">
        <v>85</v>
      </c>
    </row>
    <row r="16" spans="1:46" ht="17" x14ac:dyDescent="0.2">
      <c r="A16" s="31" t="s">
        <v>104</v>
      </c>
      <c r="B16" s="10">
        <v>42825</v>
      </c>
      <c r="C16" s="10">
        <v>22322</v>
      </c>
      <c r="D16" s="2">
        <v>56.172602739726024</v>
      </c>
      <c r="E16" s="2">
        <v>1</v>
      </c>
      <c r="F16" s="2">
        <v>1</v>
      </c>
      <c r="G16" s="2">
        <v>1</v>
      </c>
      <c r="I16" s="2">
        <v>155</v>
      </c>
      <c r="J16" s="2">
        <v>100</v>
      </c>
      <c r="K16" s="2">
        <v>64</v>
      </c>
      <c r="L16" s="2">
        <f t="shared" si="5"/>
        <v>103.94072981154356</v>
      </c>
      <c r="M16" s="32">
        <v>1</v>
      </c>
      <c r="O16" s="76" t="s">
        <v>316</v>
      </c>
      <c r="P16" s="67">
        <v>2012</v>
      </c>
      <c r="Q16" s="68">
        <v>1945</v>
      </c>
      <c r="R16" s="69">
        <v>68</v>
      </c>
      <c r="S16" s="68">
        <v>0</v>
      </c>
      <c r="T16" s="75" t="s">
        <v>108</v>
      </c>
      <c r="U16" s="3">
        <v>27</v>
      </c>
      <c r="V16" s="3"/>
      <c r="W16" s="32">
        <v>81</v>
      </c>
    </row>
    <row r="17" spans="1:23" ht="17" x14ac:dyDescent="0.2">
      <c r="A17" s="4" t="s">
        <v>114</v>
      </c>
      <c r="B17" s="10">
        <v>42751</v>
      </c>
      <c r="C17" s="10">
        <v>21370</v>
      </c>
      <c r="D17" s="2">
        <v>58.578082191780823</v>
      </c>
      <c r="E17" s="2">
        <v>1</v>
      </c>
      <c r="F17" s="2">
        <v>1</v>
      </c>
      <c r="G17" s="2">
        <v>1</v>
      </c>
      <c r="I17" s="2">
        <v>27</v>
      </c>
      <c r="J17" s="2">
        <v>63</v>
      </c>
      <c r="K17" s="2">
        <v>79</v>
      </c>
      <c r="L17" s="2">
        <f t="shared" si="5"/>
        <v>93.726516614980767</v>
      </c>
      <c r="M17" s="32">
        <v>0</v>
      </c>
      <c r="O17" s="76" t="s">
        <v>343</v>
      </c>
      <c r="P17" s="67">
        <v>2012</v>
      </c>
      <c r="Q17" s="68">
        <v>1944</v>
      </c>
      <c r="R17" s="69">
        <v>69</v>
      </c>
      <c r="S17" s="68">
        <v>0</v>
      </c>
      <c r="T17" s="75" t="s">
        <v>108</v>
      </c>
      <c r="U17" s="3">
        <v>27</v>
      </c>
      <c r="V17" s="3"/>
      <c r="W17" s="32">
        <v>81</v>
      </c>
    </row>
    <row r="18" spans="1:23" x14ac:dyDescent="0.2">
      <c r="A18" s="31" t="s">
        <v>105</v>
      </c>
      <c r="B18" s="10">
        <v>43126</v>
      </c>
      <c r="C18" s="10">
        <v>16365</v>
      </c>
      <c r="D18" s="2">
        <v>73.317808219178076</v>
      </c>
      <c r="E18" s="2">
        <v>1</v>
      </c>
      <c r="F18" s="2">
        <v>1</v>
      </c>
      <c r="G18" s="2">
        <v>1</v>
      </c>
      <c r="I18" s="2">
        <v>103</v>
      </c>
      <c r="J18" s="2">
        <v>107</v>
      </c>
      <c r="K18" s="2">
        <v>79</v>
      </c>
      <c r="L18" s="2">
        <f t="shared" si="5"/>
        <v>84.50749633177486</v>
      </c>
      <c r="M18" s="32">
        <v>0</v>
      </c>
      <c r="O18" s="76" t="s">
        <v>324</v>
      </c>
      <c r="P18" s="66">
        <v>2012</v>
      </c>
      <c r="Q18" s="68">
        <v>1938</v>
      </c>
      <c r="R18" s="69">
        <v>75</v>
      </c>
      <c r="S18" s="68">
        <v>0</v>
      </c>
      <c r="T18" s="65" t="s">
        <v>116</v>
      </c>
      <c r="U18" s="3">
        <v>8</v>
      </c>
      <c r="V18" s="3"/>
      <c r="W18" s="32">
        <v>75</v>
      </c>
    </row>
    <row r="19" spans="1:23" x14ac:dyDescent="0.2">
      <c r="A19" s="31" t="s">
        <v>95</v>
      </c>
      <c r="B19" s="10">
        <v>41885</v>
      </c>
      <c r="C19" s="10">
        <v>12921</v>
      </c>
      <c r="D19" s="2">
        <v>79</v>
      </c>
      <c r="E19" s="2">
        <v>1</v>
      </c>
      <c r="F19" s="2">
        <v>1</v>
      </c>
      <c r="G19" s="2">
        <v>1</v>
      </c>
      <c r="I19" s="2">
        <v>9</v>
      </c>
      <c r="J19" s="2">
        <v>25</v>
      </c>
      <c r="K19" s="2">
        <v>80</v>
      </c>
      <c r="L19" s="2">
        <f>141*((K19/79.6)^-1.209)*(0.993^D19)</f>
        <v>80.459596153901785</v>
      </c>
      <c r="M19" s="32">
        <v>0</v>
      </c>
      <c r="O19" s="76" t="s">
        <v>297</v>
      </c>
      <c r="P19" s="66">
        <v>2012</v>
      </c>
      <c r="Q19" s="66">
        <v>1936</v>
      </c>
      <c r="R19" s="3">
        <v>76</v>
      </c>
      <c r="S19" s="66">
        <v>0</v>
      </c>
      <c r="T19" s="65" t="s">
        <v>116</v>
      </c>
      <c r="U19" s="3">
        <v>8</v>
      </c>
      <c r="V19" s="3"/>
      <c r="W19" s="32">
        <v>75</v>
      </c>
    </row>
    <row r="20" spans="1:23" x14ac:dyDescent="0.2">
      <c r="A20" s="31" t="s">
        <v>92</v>
      </c>
      <c r="B20" s="10">
        <v>41387</v>
      </c>
      <c r="C20" s="10">
        <v>14012</v>
      </c>
      <c r="D20" s="2">
        <v>74</v>
      </c>
      <c r="E20" s="2">
        <v>1</v>
      </c>
      <c r="F20" s="2">
        <v>1</v>
      </c>
      <c r="G20" s="2">
        <v>1</v>
      </c>
      <c r="I20" s="2">
        <v>84</v>
      </c>
      <c r="J20" s="2">
        <v>55</v>
      </c>
      <c r="K20" s="2">
        <v>86</v>
      </c>
      <c r="L20" s="2">
        <f t="shared" ref="L20:L30" si="6">141*((K20/79.6)^-1.209)*(0.993^D20)</f>
        <v>76.358743374499525</v>
      </c>
      <c r="M20" s="32">
        <v>0</v>
      </c>
      <c r="O20" s="76" t="s">
        <v>296</v>
      </c>
      <c r="P20" s="66">
        <v>2012</v>
      </c>
      <c r="Q20" s="66">
        <v>1934</v>
      </c>
      <c r="R20" s="3">
        <v>78</v>
      </c>
      <c r="S20" s="66">
        <v>0</v>
      </c>
      <c r="T20" s="65" t="s">
        <v>118</v>
      </c>
      <c r="U20" s="3">
        <v>7</v>
      </c>
      <c r="V20" s="3"/>
      <c r="W20" s="32">
        <v>75</v>
      </c>
    </row>
    <row r="21" spans="1:23" x14ac:dyDescent="0.2">
      <c r="A21" s="4" t="s">
        <v>110</v>
      </c>
      <c r="B21" s="10">
        <v>41949</v>
      </c>
      <c r="C21" s="10">
        <v>18042</v>
      </c>
      <c r="D21" s="2">
        <v>65.498630136986307</v>
      </c>
      <c r="E21" s="2">
        <v>1</v>
      </c>
      <c r="F21" s="2">
        <v>1</v>
      </c>
      <c r="G21" s="2">
        <v>1</v>
      </c>
      <c r="I21" s="2">
        <v>30</v>
      </c>
      <c r="J21" s="2">
        <v>94</v>
      </c>
      <c r="K21" s="2">
        <v>92</v>
      </c>
      <c r="L21" s="2">
        <f t="shared" si="6"/>
        <v>74.710816688105723</v>
      </c>
      <c r="M21" s="32">
        <v>1</v>
      </c>
      <c r="O21" s="76" t="s">
        <v>323</v>
      </c>
      <c r="P21" s="66">
        <v>2012</v>
      </c>
      <c r="Q21" s="66">
        <v>1933</v>
      </c>
      <c r="R21" s="3">
        <v>79</v>
      </c>
      <c r="S21" s="66">
        <v>0</v>
      </c>
      <c r="T21" s="65" t="s">
        <v>118</v>
      </c>
      <c r="U21" s="3">
        <v>7</v>
      </c>
      <c r="V21" s="3"/>
      <c r="W21" s="32">
        <v>75</v>
      </c>
    </row>
    <row r="22" spans="1:23" x14ac:dyDescent="0.2">
      <c r="A22" s="31" t="s">
        <v>93</v>
      </c>
      <c r="B22" s="10">
        <v>40564</v>
      </c>
      <c r="C22" s="10">
        <v>18098</v>
      </c>
      <c r="D22" s="2">
        <v>61</v>
      </c>
      <c r="E22" s="2">
        <v>1</v>
      </c>
      <c r="F22" s="2">
        <v>1</v>
      </c>
      <c r="G22" s="2">
        <v>1</v>
      </c>
      <c r="I22" s="2">
        <v>9</v>
      </c>
      <c r="J22" s="2">
        <v>2</v>
      </c>
      <c r="K22" s="2">
        <v>94</v>
      </c>
      <c r="L22" s="2">
        <f t="shared" si="6"/>
        <v>75.130381611324196</v>
      </c>
      <c r="M22" s="32">
        <v>1</v>
      </c>
      <c r="O22" s="76" t="s">
        <v>295</v>
      </c>
      <c r="P22" s="67">
        <v>2012</v>
      </c>
      <c r="Q22" s="68">
        <v>1959</v>
      </c>
      <c r="R22" s="69">
        <v>54</v>
      </c>
      <c r="S22" s="68">
        <v>1</v>
      </c>
      <c r="T22" s="3" t="s">
        <v>97</v>
      </c>
      <c r="U22" s="3">
        <v>6</v>
      </c>
      <c r="V22" s="3"/>
      <c r="W22" s="32">
        <v>95</v>
      </c>
    </row>
    <row r="23" spans="1:23" x14ac:dyDescent="0.2">
      <c r="A23" s="31" t="s">
        <v>102</v>
      </c>
      <c r="B23" s="10">
        <v>42811</v>
      </c>
      <c r="C23" s="10">
        <v>14128</v>
      </c>
      <c r="D23" s="2">
        <v>78.583561643835623</v>
      </c>
      <c r="E23" s="2">
        <v>1</v>
      </c>
      <c r="F23" s="2">
        <v>1</v>
      </c>
      <c r="G23" s="2">
        <v>1</v>
      </c>
      <c r="I23" s="2">
        <v>148</v>
      </c>
      <c r="J23" s="2">
        <v>121</v>
      </c>
      <c r="K23" s="2">
        <v>95</v>
      </c>
      <c r="L23" s="2">
        <f t="shared" si="6"/>
        <v>65.556574703417226</v>
      </c>
      <c r="M23" s="32">
        <v>0</v>
      </c>
      <c r="O23" s="76" t="s">
        <v>322</v>
      </c>
      <c r="P23" s="67">
        <v>2012</v>
      </c>
      <c r="Q23" s="68">
        <v>1959</v>
      </c>
      <c r="R23" s="69">
        <v>54</v>
      </c>
      <c r="S23" s="68">
        <v>1</v>
      </c>
      <c r="T23" s="3" t="s">
        <v>97</v>
      </c>
      <c r="U23" s="3">
        <v>6</v>
      </c>
      <c r="V23" s="3"/>
      <c r="W23" s="32">
        <v>95</v>
      </c>
    </row>
    <row r="24" spans="1:23" ht="17" x14ac:dyDescent="0.2">
      <c r="A24" s="31" t="s">
        <v>100</v>
      </c>
      <c r="B24" s="10">
        <v>42279</v>
      </c>
      <c r="C24" s="10">
        <v>18212</v>
      </c>
      <c r="D24" s="2">
        <v>65.936986301369856</v>
      </c>
      <c r="E24" s="2">
        <v>1</v>
      </c>
      <c r="F24" s="2">
        <v>0</v>
      </c>
      <c r="G24" s="2"/>
      <c r="H24" s="2">
        <v>1</v>
      </c>
      <c r="I24" s="2">
        <v>34</v>
      </c>
      <c r="J24" s="2">
        <v>84</v>
      </c>
      <c r="K24" s="2">
        <v>98</v>
      </c>
      <c r="L24" s="2">
        <f t="shared" si="6"/>
        <v>69.003850545708133</v>
      </c>
      <c r="M24" s="32">
        <v>0</v>
      </c>
      <c r="O24" s="76" t="s">
        <v>307</v>
      </c>
      <c r="P24" s="67">
        <v>2012</v>
      </c>
      <c r="Q24" s="70">
        <v>1958</v>
      </c>
      <c r="R24" s="69">
        <v>55</v>
      </c>
      <c r="S24" s="66">
        <v>1</v>
      </c>
      <c r="T24" s="75" t="s">
        <v>99</v>
      </c>
      <c r="U24" s="3">
        <v>18</v>
      </c>
      <c r="V24" s="3"/>
      <c r="W24" s="32">
        <v>91</v>
      </c>
    </row>
    <row r="25" spans="1:23" ht="17" x14ac:dyDescent="0.2">
      <c r="A25" s="4" t="s">
        <v>109</v>
      </c>
      <c r="B25" s="10">
        <v>42516</v>
      </c>
      <c r="C25" s="10">
        <v>21269</v>
      </c>
      <c r="D25" s="2">
        <v>58.210958904109589</v>
      </c>
      <c r="E25" s="2">
        <v>1</v>
      </c>
      <c r="F25" s="2">
        <v>1</v>
      </c>
      <c r="G25" s="2">
        <v>1</v>
      </c>
      <c r="I25" s="2">
        <v>119</v>
      </c>
      <c r="J25" s="2">
        <v>88</v>
      </c>
      <c r="K25" s="2">
        <v>127</v>
      </c>
      <c r="L25" s="2">
        <f t="shared" si="6"/>
        <v>53.252149485139022</v>
      </c>
      <c r="M25" s="32">
        <v>1</v>
      </c>
      <c r="O25" s="76" t="s">
        <v>334</v>
      </c>
      <c r="P25" s="67">
        <v>2012</v>
      </c>
      <c r="Q25" s="70">
        <v>1958</v>
      </c>
      <c r="R25" s="69">
        <v>55</v>
      </c>
      <c r="S25" s="66">
        <v>1</v>
      </c>
      <c r="T25" s="75" t="s">
        <v>99</v>
      </c>
      <c r="U25" s="3">
        <v>18</v>
      </c>
      <c r="V25" s="3"/>
      <c r="W25" s="32">
        <v>91</v>
      </c>
    </row>
    <row r="26" spans="1:23" x14ac:dyDescent="0.2">
      <c r="A26" s="39" t="s">
        <v>97</v>
      </c>
      <c r="B26" s="12">
        <v>43607</v>
      </c>
      <c r="C26" s="12">
        <v>23898</v>
      </c>
      <c r="D26" s="2">
        <v>53.9972602739726</v>
      </c>
      <c r="E26" s="1">
        <v>1</v>
      </c>
      <c r="F26" s="2">
        <v>0</v>
      </c>
      <c r="G26" s="2"/>
      <c r="H26" s="25">
        <v>1</v>
      </c>
      <c r="I26" s="2">
        <v>139</v>
      </c>
      <c r="J26" s="2">
        <v>90</v>
      </c>
      <c r="K26" s="2">
        <v>138</v>
      </c>
      <c r="L26" s="2">
        <f t="shared" si="6"/>
        <v>49.610884846418791</v>
      </c>
      <c r="M26" s="32">
        <v>1</v>
      </c>
      <c r="O26" s="77" t="s">
        <v>292</v>
      </c>
      <c r="P26" s="67">
        <v>2012</v>
      </c>
      <c r="Q26" s="68">
        <v>1956</v>
      </c>
      <c r="R26" s="69">
        <v>56</v>
      </c>
      <c r="S26" s="66">
        <v>1</v>
      </c>
      <c r="T26" s="65" t="s">
        <v>114</v>
      </c>
      <c r="U26" s="3">
        <v>3</v>
      </c>
      <c r="V26" s="3"/>
      <c r="W26" s="32">
        <v>91</v>
      </c>
    </row>
    <row r="27" spans="1:23" ht="17" x14ac:dyDescent="0.2">
      <c r="A27" s="55" t="s">
        <v>115</v>
      </c>
      <c r="B27" s="20">
        <v>43152</v>
      </c>
      <c r="C27" s="23">
        <v>20980</v>
      </c>
      <c r="D27" s="2">
        <v>60.745205479452054</v>
      </c>
      <c r="E27" s="19">
        <v>1</v>
      </c>
      <c r="F27" s="2">
        <v>1</v>
      </c>
      <c r="G27" s="24">
        <v>1</v>
      </c>
      <c r="H27" s="24"/>
      <c r="I27" s="2">
        <v>152</v>
      </c>
      <c r="J27" s="2">
        <v>90</v>
      </c>
      <c r="K27" s="2">
        <v>187</v>
      </c>
      <c r="L27" s="2">
        <f t="shared" si="6"/>
        <v>32.767852664919225</v>
      </c>
      <c r="M27" s="32">
        <v>1</v>
      </c>
      <c r="O27" s="76" t="s">
        <v>312</v>
      </c>
      <c r="P27" s="66">
        <v>2012</v>
      </c>
      <c r="Q27" s="68">
        <v>1957</v>
      </c>
      <c r="R27" s="69">
        <v>56</v>
      </c>
      <c r="S27" s="68">
        <v>1</v>
      </c>
      <c r="T27" s="75" t="s">
        <v>104</v>
      </c>
      <c r="U27" s="3">
        <v>23</v>
      </c>
      <c r="V27" s="3"/>
      <c r="W27" s="32">
        <v>91</v>
      </c>
    </row>
    <row r="28" spans="1:23" ht="17" x14ac:dyDescent="0.2">
      <c r="A28" s="31" t="s">
        <v>103</v>
      </c>
      <c r="B28" s="10">
        <v>42814</v>
      </c>
      <c r="C28" s="10">
        <v>19409</v>
      </c>
      <c r="D28" s="2">
        <v>64.123287671232873</v>
      </c>
      <c r="E28" s="2">
        <v>1</v>
      </c>
      <c r="F28" s="2">
        <v>0</v>
      </c>
      <c r="G28" s="2"/>
      <c r="H28" s="2">
        <v>1</v>
      </c>
      <c r="I28" s="1">
        <v>56</v>
      </c>
      <c r="J28" s="2">
        <v>59</v>
      </c>
      <c r="K28" s="2">
        <v>264</v>
      </c>
      <c r="L28" s="2">
        <f t="shared" si="6"/>
        <v>21.090148981489065</v>
      </c>
      <c r="M28" s="32">
        <v>0</v>
      </c>
      <c r="O28" s="76" t="s">
        <v>339</v>
      </c>
      <c r="P28" s="66">
        <v>2012</v>
      </c>
      <c r="Q28" s="68">
        <v>1957</v>
      </c>
      <c r="R28" s="69">
        <v>56</v>
      </c>
      <c r="S28" s="68">
        <v>1</v>
      </c>
      <c r="T28" s="75" t="s">
        <v>104</v>
      </c>
      <c r="U28" s="3">
        <v>23</v>
      </c>
      <c r="V28" s="3"/>
      <c r="W28" s="32">
        <v>91</v>
      </c>
    </row>
    <row r="29" spans="1:23" x14ac:dyDescent="0.2">
      <c r="A29" s="55" t="s">
        <v>113</v>
      </c>
      <c r="B29" s="20">
        <v>43384</v>
      </c>
      <c r="C29" s="23">
        <v>16554</v>
      </c>
      <c r="D29" s="2">
        <v>73.506849315068493</v>
      </c>
      <c r="E29" s="19">
        <v>1</v>
      </c>
      <c r="F29" s="2">
        <v>0</v>
      </c>
      <c r="G29" s="24"/>
      <c r="H29" s="24">
        <v>1</v>
      </c>
      <c r="I29" s="2">
        <v>133</v>
      </c>
      <c r="J29" s="2">
        <v>112</v>
      </c>
      <c r="K29" s="2">
        <v>275</v>
      </c>
      <c r="L29" s="2">
        <f t="shared" si="6"/>
        <v>18.793975378497429</v>
      </c>
      <c r="M29" s="32">
        <v>1</v>
      </c>
      <c r="O29" s="76" t="s">
        <v>301</v>
      </c>
      <c r="P29" s="67">
        <v>2012</v>
      </c>
      <c r="Q29" s="66">
        <v>1955</v>
      </c>
      <c r="R29" s="3">
        <v>57</v>
      </c>
      <c r="S29" s="66">
        <v>1</v>
      </c>
      <c r="T29" s="65" t="s">
        <v>111</v>
      </c>
      <c r="U29" s="3">
        <v>12</v>
      </c>
      <c r="V29" s="3"/>
      <c r="W29" s="32">
        <v>91</v>
      </c>
    </row>
    <row r="30" spans="1:23" x14ac:dyDescent="0.2">
      <c r="A30" s="40" t="s">
        <v>111</v>
      </c>
      <c r="B30" s="42">
        <v>42494</v>
      </c>
      <c r="C30" s="42">
        <v>21350</v>
      </c>
      <c r="D30" s="43">
        <v>57.92876712328767</v>
      </c>
      <c r="E30" s="43">
        <v>1</v>
      </c>
      <c r="F30" s="43">
        <v>0</v>
      </c>
      <c r="G30" s="43"/>
      <c r="H30" s="43">
        <v>1</v>
      </c>
      <c r="I30" s="43">
        <v>60</v>
      </c>
      <c r="J30" s="43">
        <v>66</v>
      </c>
      <c r="K30" s="43">
        <v>573</v>
      </c>
      <c r="L30" s="2">
        <f t="shared" si="6"/>
        <v>8.6315303142045394</v>
      </c>
      <c r="M30" s="45">
        <v>1</v>
      </c>
      <c r="O30" s="79" t="s">
        <v>328</v>
      </c>
      <c r="P30" s="67">
        <v>2012</v>
      </c>
      <c r="Q30" s="70">
        <v>1955</v>
      </c>
      <c r="R30" s="3">
        <v>57</v>
      </c>
      <c r="S30" s="66">
        <v>1</v>
      </c>
      <c r="T30" s="65" t="s">
        <v>111</v>
      </c>
      <c r="U30" s="3">
        <v>12</v>
      </c>
      <c r="V30" s="3"/>
      <c r="W30" s="32">
        <v>91</v>
      </c>
    </row>
    <row r="31" spans="1:23" x14ac:dyDescent="0.2">
      <c r="O31" s="76" t="s">
        <v>306</v>
      </c>
      <c r="P31" s="66">
        <v>2012</v>
      </c>
      <c r="Q31" s="66">
        <v>1954</v>
      </c>
      <c r="R31" s="3">
        <v>58</v>
      </c>
      <c r="S31" s="66">
        <v>1</v>
      </c>
      <c r="T31" s="65" t="s">
        <v>109</v>
      </c>
      <c r="U31" s="3">
        <v>17</v>
      </c>
      <c r="V31" s="3"/>
      <c r="W31" s="32">
        <v>91</v>
      </c>
    </row>
    <row r="32" spans="1:23" x14ac:dyDescent="0.2">
      <c r="O32" s="77" t="s">
        <v>319</v>
      </c>
      <c r="P32" s="67">
        <v>2012</v>
      </c>
      <c r="Q32" s="70">
        <v>1955</v>
      </c>
      <c r="R32" s="69">
        <v>58</v>
      </c>
      <c r="S32" s="66">
        <v>1</v>
      </c>
      <c r="T32" s="65" t="s">
        <v>114</v>
      </c>
      <c r="U32" s="3">
        <v>3</v>
      </c>
      <c r="V32" s="3"/>
      <c r="W32" s="32">
        <v>91</v>
      </c>
    </row>
    <row r="33" spans="15:23" x14ac:dyDescent="0.2">
      <c r="O33" s="76" t="s">
        <v>333</v>
      </c>
      <c r="P33" s="66">
        <v>2012</v>
      </c>
      <c r="Q33" s="70">
        <v>1954</v>
      </c>
      <c r="R33" s="3">
        <v>58</v>
      </c>
      <c r="S33" s="66">
        <v>1</v>
      </c>
      <c r="T33" s="65" t="s">
        <v>109</v>
      </c>
      <c r="U33" s="3">
        <v>17</v>
      </c>
      <c r="V33" s="3"/>
      <c r="W33" s="32">
        <v>91</v>
      </c>
    </row>
    <row r="34" spans="15:23" x14ac:dyDescent="0.2">
      <c r="O34" s="76" t="s">
        <v>294</v>
      </c>
      <c r="P34" s="66">
        <v>2012</v>
      </c>
      <c r="Q34" s="70">
        <v>1953</v>
      </c>
      <c r="R34" s="69">
        <v>60</v>
      </c>
      <c r="S34" s="66">
        <v>1</v>
      </c>
      <c r="T34" s="65" t="s">
        <v>115</v>
      </c>
      <c r="U34" s="3">
        <v>5</v>
      </c>
      <c r="V34" s="3"/>
      <c r="W34" s="32">
        <v>87</v>
      </c>
    </row>
    <row r="35" spans="15:23" x14ac:dyDescent="0.2">
      <c r="O35" s="76" t="s">
        <v>321</v>
      </c>
      <c r="P35" s="66">
        <v>2012</v>
      </c>
      <c r="Q35" s="70">
        <v>1953</v>
      </c>
      <c r="R35" s="69">
        <v>60</v>
      </c>
      <c r="S35" s="66">
        <v>1</v>
      </c>
      <c r="T35" s="65" t="s">
        <v>115</v>
      </c>
      <c r="U35" s="3">
        <v>5</v>
      </c>
      <c r="V35" s="3"/>
      <c r="W35" s="32">
        <v>87</v>
      </c>
    </row>
    <row r="36" spans="15:23" x14ac:dyDescent="0.2">
      <c r="O36" s="76" t="s">
        <v>303</v>
      </c>
      <c r="P36" s="66">
        <v>2012</v>
      </c>
      <c r="Q36" s="68">
        <v>1952</v>
      </c>
      <c r="R36" s="69">
        <v>61</v>
      </c>
      <c r="S36" s="68">
        <v>1</v>
      </c>
      <c r="T36" s="65" t="s">
        <v>93</v>
      </c>
      <c r="U36" s="3">
        <v>14</v>
      </c>
      <c r="V36" s="3"/>
      <c r="W36" s="32">
        <v>87</v>
      </c>
    </row>
    <row r="37" spans="15:23" x14ac:dyDescent="0.2">
      <c r="O37" s="76" t="s">
        <v>330</v>
      </c>
      <c r="P37" s="66">
        <v>2012</v>
      </c>
      <c r="Q37" s="68">
        <v>1952</v>
      </c>
      <c r="R37" s="69">
        <v>61</v>
      </c>
      <c r="S37" s="68">
        <v>1</v>
      </c>
      <c r="T37" s="65" t="s">
        <v>93</v>
      </c>
      <c r="U37" s="3">
        <v>14</v>
      </c>
      <c r="V37" s="3"/>
      <c r="W37" s="32">
        <v>87</v>
      </c>
    </row>
    <row r="38" spans="15:23" ht="17" x14ac:dyDescent="0.2">
      <c r="O38" s="39" t="s">
        <v>310</v>
      </c>
      <c r="P38" s="67">
        <v>2012</v>
      </c>
      <c r="Q38" s="3">
        <v>1948</v>
      </c>
      <c r="R38" s="3">
        <v>64</v>
      </c>
      <c r="S38" s="3">
        <v>1</v>
      </c>
      <c r="T38" s="75" t="s">
        <v>102</v>
      </c>
      <c r="U38" s="3">
        <v>21</v>
      </c>
      <c r="V38" s="3"/>
      <c r="W38" s="32">
        <v>87</v>
      </c>
    </row>
    <row r="39" spans="15:23" ht="17" x14ac:dyDescent="0.2">
      <c r="O39" s="76" t="s">
        <v>311</v>
      </c>
      <c r="P39" s="66">
        <v>2012</v>
      </c>
      <c r="Q39" s="70">
        <v>1949</v>
      </c>
      <c r="R39" s="69">
        <v>64</v>
      </c>
      <c r="S39" s="66">
        <v>1</v>
      </c>
      <c r="T39" s="75" t="s">
        <v>103</v>
      </c>
      <c r="U39" s="3">
        <v>22</v>
      </c>
      <c r="V39" s="3"/>
      <c r="W39" s="32">
        <v>87</v>
      </c>
    </row>
    <row r="40" spans="15:23" x14ac:dyDescent="0.2">
      <c r="O40" s="77" t="s">
        <v>320</v>
      </c>
      <c r="P40" s="66">
        <v>2012</v>
      </c>
      <c r="Q40" s="64">
        <v>1948</v>
      </c>
      <c r="R40" s="69">
        <v>64</v>
      </c>
      <c r="S40" s="68">
        <v>1</v>
      </c>
      <c r="T40" s="65" t="s">
        <v>95</v>
      </c>
      <c r="U40" s="3">
        <v>4</v>
      </c>
      <c r="V40" s="3"/>
      <c r="W40" s="32">
        <v>87</v>
      </c>
    </row>
    <row r="41" spans="15:23" x14ac:dyDescent="0.2">
      <c r="O41" s="77" t="s">
        <v>332</v>
      </c>
      <c r="P41" s="66">
        <v>2012</v>
      </c>
      <c r="Q41" s="68">
        <v>1948</v>
      </c>
      <c r="R41" s="69">
        <v>64</v>
      </c>
      <c r="S41" s="68">
        <v>1</v>
      </c>
      <c r="T41" s="65" t="s">
        <v>112</v>
      </c>
      <c r="U41" s="3">
        <v>16</v>
      </c>
      <c r="V41" s="3"/>
      <c r="W41" s="32">
        <v>87</v>
      </c>
    </row>
    <row r="42" spans="15:23" ht="17" x14ac:dyDescent="0.2">
      <c r="O42" s="76" t="s">
        <v>338</v>
      </c>
      <c r="P42" s="66">
        <v>2012</v>
      </c>
      <c r="Q42" s="68">
        <v>1949</v>
      </c>
      <c r="R42" s="69">
        <v>64</v>
      </c>
      <c r="S42" s="68">
        <v>1</v>
      </c>
      <c r="T42" s="75" t="s">
        <v>103</v>
      </c>
      <c r="U42" s="3">
        <v>22</v>
      </c>
      <c r="V42" s="3"/>
      <c r="W42" s="32">
        <v>87</v>
      </c>
    </row>
    <row r="43" spans="15:23" x14ac:dyDescent="0.2">
      <c r="O43" s="76" t="s">
        <v>300</v>
      </c>
      <c r="P43" s="66">
        <v>2012</v>
      </c>
      <c r="Q43" s="70">
        <v>1947</v>
      </c>
      <c r="R43" s="3">
        <v>65</v>
      </c>
      <c r="S43" s="66">
        <v>1</v>
      </c>
      <c r="T43" s="65" t="s">
        <v>110</v>
      </c>
      <c r="U43" s="3">
        <v>11</v>
      </c>
      <c r="V43" s="3"/>
      <c r="W43" s="32">
        <v>84</v>
      </c>
    </row>
    <row r="44" spans="15:23" ht="17" x14ac:dyDescent="0.2">
      <c r="O44" s="76" t="s">
        <v>308</v>
      </c>
      <c r="P44" s="66">
        <v>2012</v>
      </c>
      <c r="Q44" s="70">
        <v>1948</v>
      </c>
      <c r="R44" s="69">
        <v>65</v>
      </c>
      <c r="S44" s="66">
        <v>1</v>
      </c>
      <c r="T44" s="75" t="s">
        <v>100</v>
      </c>
      <c r="U44" s="3">
        <v>19</v>
      </c>
      <c r="V44" s="3"/>
      <c r="W44" s="32">
        <v>84</v>
      </c>
    </row>
    <row r="45" spans="15:23" x14ac:dyDescent="0.2">
      <c r="O45" s="76" t="s">
        <v>327</v>
      </c>
      <c r="P45" s="66">
        <v>2012</v>
      </c>
      <c r="Q45" s="68">
        <v>1947</v>
      </c>
      <c r="R45" s="3">
        <v>65</v>
      </c>
      <c r="S45" s="68">
        <v>1</v>
      </c>
      <c r="T45" s="65" t="s">
        <v>110</v>
      </c>
      <c r="U45" s="3">
        <v>11</v>
      </c>
      <c r="V45" s="3"/>
      <c r="W45" s="32">
        <v>84</v>
      </c>
    </row>
    <row r="46" spans="15:23" ht="17" x14ac:dyDescent="0.2">
      <c r="O46" s="76" t="s">
        <v>335</v>
      </c>
      <c r="P46" s="66">
        <v>2012</v>
      </c>
      <c r="Q46" s="70">
        <v>1948</v>
      </c>
      <c r="R46" s="69">
        <v>65</v>
      </c>
      <c r="S46" s="66">
        <v>1</v>
      </c>
      <c r="T46" s="75" t="s">
        <v>100</v>
      </c>
      <c r="U46" s="3">
        <v>19</v>
      </c>
      <c r="V46" s="3"/>
      <c r="W46" s="32">
        <v>84</v>
      </c>
    </row>
    <row r="47" spans="15:23" x14ac:dyDescent="0.2">
      <c r="O47" s="76" t="s">
        <v>305</v>
      </c>
      <c r="P47" s="66">
        <v>2012</v>
      </c>
      <c r="Q47" s="68">
        <v>1946</v>
      </c>
      <c r="R47" s="69">
        <v>67</v>
      </c>
      <c r="S47" s="68">
        <v>1</v>
      </c>
      <c r="T47" s="65" t="s">
        <v>112</v>
      </c>
      <c r="U47" s="3">
        <v>16</v>
      </c>
      <c r="V47" s="3"/>
      <c r="W47" s="32">
        <v>84</v>
      </c>
    </row>
    <row r="48" spans="15:23" ht="17" x14ac:dyDescent="0.2">
      <c r="O48" s="78" t="s">
        <v>337</v>
      </c>
      <c r="P48" s="67">
        <v>2012</v>
      </c>
      <c r="Q48" s="71">
        <v>1946</v>
      </c>
      <c r="R48" s="71">
        <v>67</v>
      </c>
      <c r="S48" s="71">
        <v>1</v>
      </c>
      <c r="T48" s="75" t="s">
        <v>102</v>
      </c>
      <c r="U48" s="3">
        <v>21</v>
      </c>
      <c r="V48" s="3"/>
      <c r="W48" s="32">
        <v>84</v>
      </c>
    </row>
    <row r="49" spans="15:23" ht="17" x14ac:dyDescent="0.2">
      <c r="O49" s="78" t="s">
        <v>309</v>
      </c>
      <c r="P49" s="66">
        <v>2012</v>
      </c>
      <c r="Q49" s="72">
        <v>1944</v>
      </c>
      <c r="R49" s="73">
        <v>69</v>
      </c>
      <c r="S49" s="74">
        <v>1</v>
      </c>
      <c r="T49" s="75" t="s">
        <v>101</v>
      </c>
      <c r="U49" s="3">
        <v>20</v>
      </c>
      <c r="V49" s="3"/>
      <c r="W49" s="32">
        <v>84</v>
      </c>
    </row>
    <row r="50" spans="15:23" ht="17" x14ac:dyDescent="0.2">
      <c r="O50" s="76" t="s">
        <v>336</v>
      </c>
      <c r="P50" s="66">
        <v>2012</v>
      </c>
      <c r="Q50" s="70">
        <v>1944</v>
      </c>
      <c r="R50" s="69">
        <v>69</v>
      </c>
      <c r="S50" s="66">
        <v>1</v>
      </c>
      <c r="T50" s="75" t="s">
        <v>101</v>
      </c>
      <c r="U50" s="3">
        <v>20</v>
      </c>
      <c r="V50" s="3"/>
      <c r="W50" s="32">
        <v>84</v>
      </c>
    </row>
    <row r="51" spans="15:23" ht="17" x14ac:dyDescent="0.2">
      <c r="O51" s="76" t="s">
        <v>340</v>
      </c>
      <c r="P51" s="67">
        <v>2012</v>
      </c>
      <c r="Q51" s="68">
        <v>1942</v>
      </c>
      <c r="R51" s="69">
        <v>71</v>
      </c>
      <c r="S51" s="68">
        <v>1</v>
      </c>
      <c r="T51" s="75" t="s">
        <v>105</v>
      </c>
      <c r="U51" s="3">
        <v>24</v>
      </c>
      <c r="V51" s="3"/>
      <c r="W51" s="32">
        <v>80</v>
      </c>
    </row>
    <row r="52" spans="15:23" ht="17" x14ac:dyDescent="0.2">
      <c r="O52" s="76" t="s">
        <v>313</v>
      </c>
      <c r="P52" s="67">
        <v>2012</v>
      </c>
      <c r="Q52" s="68">
        <v>1941</v>
      </c>
      <c r="R52" s="69">
        <v>72</v>
      </c>
      <c r="S52" s="68">
        <v>1</v>
      </c>
      <c r="T52" s="75" t="s">
        <v>105</v>
      </c>
      <c r="U52" s="3">
        <v>24</v>
      </c>
      <c r="V52" s="3"/>
      <c r="W52" s="32">
        <v>80</v>
      </c>
    </row>
    <row r="53" spans="15:23" x14ac:dyDescent="0.2">
      <c r="O53" s="77" t="s">
        <v>318</v>
      </c>
      <c r="P53" s="66">
        <v>2012</v>
      </c>
      <c r="Q53" s="68">
        <v>1940</v>
      </c>
      <c r="R53" s="69">
        <v>72</v>
      </c>
      <c r="S53" s="68">
        <v>1</v>
      </c>
      <c r="T53" s="65" t="s">
        <v>113</v>
      </c>
      <c r="U53" s="3">
        <v>2</v>
      </c>
      <c r="V53" s="3"/>
      <c r="W53" s="32">
        <v>80</v>
      </c>
    </row>
    <row r="54" spans="15:23" x14ac:dyDescent="0.2">
      <c r="O54" s="76" t="s">
        <v>291</v>
      </c>
      <c r="P54" s="66">
        <v>2012</v>
      </c>
      <c r="Q54" s="66">
        <v>1939</v>
      </c>
      <c r="R54" s="3">
        <v>73</v>
      </c>
      <c r="S54" s="66">
        <v>1</v>
      </c>
      <c r="T54" s="65" t="s">
        <v>113</v>
      </c>
      <c r="U54" s="3">
        <v>2</v>
      </c>
      <c r="V54" s="3"/>
      <c r="W54" s="32">
        <v>80</v>
      </c>
    </row>
    <row r="55" spans="15:23" x14ac:dyDescent="0.2">
      <c r="O55" s="76" t="s">
        <v>302</v>
      </c>
      <c r="P55" s="66">
        <v>2012</v>
      </c>
      <c r="Q55" s="70">
        <v>1939</v>
      </c>
      <c r="R55" s="69">
        <v>74</v>
      </c>
      <c r="S55" s="66">
        <v>1</v>
      </c>
      <c r="T55" s="65" t="s">
        <v>92</v>
      </c>
      <c r="U55" s="3">
        <v>13</v>
      </c>
      <c r="V55" s="3"/>
      <c r="W55" s="32">
        <v>80</v>
      </c>
    </row>
    <row r="56" spans="15:23" x14ac:dyDescent="0.2">
      <c r="O56" s="76" t="s">
        <v>329</v>
      </c>
      <c r="P56" s="66">
        <v>2012</v>
      </c>
      <c r="Q56" s="68">
        <v>1939</v>
      </c>
      <c r="R56" s="3">
        <v>74</v>
      </c>
      <c r="S56" s="68">
        <v>1</v>
      </c>
      <c r="T56" s="65" t="s">
        <v>92</v>
      </c>
      <c r="U56" s="3">
        <v>13</v>
      </c>
      <c r="V56" s="3"/>
      <c r="W56" s="32">
        <v>80</v>
      </c>
    </row>
    <row r="57" spans="15:23" x14ac:dyDescent="0.2">
      <c r="O57" s="81" t="s">
        <v>293</v>
      </c>
      <c r="P57" s="97">
        <v>2012</v>
      </c>
      <c r="Q57" s="98">
        <v>1931</v>
      </c>
      <c r="R57" s="83">
        <v>82</v>
      </c>
      <c r="S57" s="82">
        <v>1</v>
      </c>
      <c r="T57" s="99" t="s">
        <v>95</v>
      </c>
      <c r="U57" s="95">
        <v>4</v>
      </c>
      <c r="V57" s="95"/>
      <c r="W57" s="45">
        <v>73</v>
      </c>
    </row>
    <row r="58" spans="15:23" x14ac:dyDescent="0.2">
      <c r="O58" s="1"/>
      <c r="P58" s="1"/>
      <c r="Q58" s="1"/>
      <c r="R58" s="1"/>
      <c r="S58" s="1"/>
    </row>
    <row r="59" spans="15:23" x14ac:dyDescent="0.2">
      <c r="O59" s="1"/>
      <c r="P59" s="1"/>
      <c r="Q59" s="1"/>
      <c r="R59" s="1"/>
      <c r="S59" s="1"/>
    </row>
    <row r="60" spans="15:23" x14ac:dyDescent="0.2">
      <c r="O60" s="1"/>
      <c r="P60" s="1"/>
      <c r="Q60" s="1"/>
      <c r="R60" s="1"/>
      <c r="S60" s="1"/>
    </row>
    <row r="61" spans="15:23" x14ac:dyDescent="0.2">
      <c r="O61" s="1"/>
      <c r="P61" s="1"/>
      <c r="Q61" s="1"/>
      <c r="R61" s="1"/>
      <c r="S61" s="1"/>
    </row>
    <row r="62" spans="15:23" x14ac:dyDescent="0.2">
      <c r="O62" s="1"/>
      <c r="P62" s="1"/>
      <c r="Q62" s="1"/>
      <c r="R62" s="1"/>
      <c r="S62" s="1"/>
    </row>
    <row r="63" spans="15:23" x14ac:dyDescent="0.2">
      <c r="O63" s="1"/>
      <c r="P63" s="1"/>
      <c r="Q63" s="1"/>
      <c r="R63" s="1"/>
      <c r="S63" s="1"/>
    </row>
    <row r="64" spans="15:23" x14ac:dyDescent="0.2">
      <c r="O64" s="1"/>
      <c r="P64" s="1"/>
      <c r="Q64" s="1"/>
      <c r="R64" s="1"/>
      <c r="S64" s="1"/>
    </row>
    <row r="65" spans="15:19" x14ac:dyDescent="0.2">
      <c r="O65" s="1"/>
      <c r="P65" s="1"/>
      <c r="Q65" s="1"/>
      <c r="R65" s="1"/>
      <c r="S65" s="1"/>
    </row>
    <row r="66" spans="15:19" x14ac:dyDescent="0.2">
      <c r="O66" s="1"/>
      <c r="P66" s="1"/>
      <c r="Q66" s="1"/>
      <c r="R66" s="1"/>
      <c r="S66" s="1"/>
    </row>
    <row r="67" spans="15:19" x14ac:dyDescent="0.2">
      <c r="O67" s="1"/>
      <c r="P67" s="1"/>
      <c r="Q67" s="1"/>
      <c r="R67" s="1"/>
      <c r="S67" s="1"/>
    </row>
    <row r="68" spans="15:19" x14ac:dyDescent="0.2">
      <c r="O68" s="1"/>
      <c r="P68" s="1"/>
      <c r="Q68" s="1"/>
      <c r="R68" s="1"/>
      <c r="S68" s="1"/>
    </row>
    <row r="69" spans="15:19" x14ac:dyDescent="0.2">
      <c r="O69" s="1"/>
      <c r="P69" s="1"/>
      <c r="Q69" s="1"/>
      <c r="R69" s="1"/>
      <c r="S69" s="1"/>
    </row>
    <row r="70" spans="15:19" x14ac:dyDescent="0.2">
      <c r="O70" s="1"/>
      <c r="P70" s="1"/>
      <c r="Q70" s="1"/>
      <c r="R70" s="1"/>
      <c r="S70" s="1"/>
    </row>
  </sheetData>
  <sortState ref="O4:W57">
    <sortCondition ref="S4:S57"/>
    <sortCondition ref="R4:R57"/>
  </sortState>
  <mergeCells count="4">
    <mergeCell ref="G2:H2"/>
    <mergeCell ref="AE2:AF2"/>
    <mergeCell ref="M2:M3"/>
    <mergeCell ref="AT2:A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</vt:lpstr>
      <vt:lpstr>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Dahlqvist</dc:creator>
  <cp:lastModifiedBy>Johanna Dahlqvist</cp:lastModifiedBy>
  <dcterms:created xsi:type="dcterms:W3CDTF">2020-06-04T08:22:06Z</dcterms:created>
  <dcterms:modified xsi:type="dcterms:W3CDTF">2021-03-03T14:51:28Z</dcterms:modified>
</cp:coreProperties>
</file>