
<file path=[Content_Types].xml><?xml version="1.0" encoding="utf-8"?>
<Types xmlns="http://schemas.openxmlformats.org/package/2006/content-types">
  <Default Extension="jpeg" ContentType="image/jpe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omments1.xml" ContentType="application/vnd.openxmlformats-officedocument.spreadsheetml.comments+xml"/>
  <Override PartName="/xl/threadedComments/threadedComment1.xml" ContentType="application/vnd.ms-excel.threadedcomments+xml"/>
  <Override PartName="/xl/comments2.xml" ContentType="application/vnd.openxmlformats-officedocument.spreadsheetml.comments+xml"/>
  <Override PartName="/xl/comments3.xml" ContentType="application/vnd.openxmlformats-officedocument.spreadsheetml.comments+xml"/>
  <Override PartName="/xl/threadedComments/threadedComment2.xml" ContentType="application/vnd.ms-excel.threadedcomments+xml"/>
  <Override PartName="/xl/comments4.xml" ContentType="application/vnd.openxmlformats-officedocument.spreadsheetml.comments+xml"/>
  <Override PartName="/xl/threadedComments/threadedComment3.xml" ContentType="application/vnd.ms-excel.threadedcomments+xml"/>
  <Override PartName="/xl/comments5.xml" ContentType="application/vnd.openxmlformats-officedocument.spreadsheetml.comments+xml"/>
  <Override PartName="/xl/threadedComments/threadedComment4.xml" ContentType="application/vnd.ms-excel.threadedcomments+xml"/>
  <Override PartName="/xl/tables/table1.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1"/>
  <workbookPr defaultThemeVersion="124226"/>
  <mc:AlternateContent xmlns:mc="http://schemas.openxmlformats.org/markup-compatibility/2006">
    <mc:Choice Requires="x15">
      <x15ac:absPath xmlns:x15ac="http://schemas.microsoft.com/office/spreadsheetml/2010/11/ac" url="/Users/vincent/Desktop/Python/Excel Project/"/>
    </mc:Choice>
  </mc:AlternateContent>
  <xr:revisionPtr revIDLastSave="0" documentId="13_ncr:1_{5242D185-E2D2-724A-967F-F0600242D6CA}" xr6:coauthVersionLast="47" xr6:coauthVersionMax="47" xr10:uidLastSave="{00000000-0000-0000-0000-000000000000}"/>
  <bookViews>
    <workbookView xWindow="0" yWindow="0" windowWidth="28800" windowHeight="18000" activeTab="8" xr2:uid="{00000000-000D-0000-FFFF-FFFF00000000}"/>
  </bookViews>
  <sheets>
    <sheet name="How to use this template" sheetId="6" state="hidden" r:id="rId1"/>
    <sheet name="Set-up costs" sheetId="7" r:id="rId2"/>
    <sheet name="Additional Financial Accounts" sheetId="17" r:id="rId3"/>
    <sheet name="Profit and loss forecast" sheetId="10" r:id="rId4"/>
    <sheet name="P&amp;L for Handout" sheetId="19" r:id="rId5"/>
    <sheet name="Cash Flow" sheetId="15" r:id="rId6"/>
    <sheet name="Balance sheet forecast" sheetId="9" r:id="rId7"/>
    <sheet name="Assumption Sheet" sheetId="12" r:id="rId8"/>
    <sheet name="Sales Forecast CAGR" sheetId="13" r:id="rId9"/>
    <sheet name="Sales Forecast (7% Growth)" sheetId="18" state="hidden" r:id="rId10"/>
    <sheet name="Cost_calc" sheetId="14" r:id="rId1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K3" i="13" l="1"/>
  <c r="K4" i="13"/>
  <c r="K5" i="13"/>
  <c r="K6" i="13"/>
  <c r="K2" i="13"/>
  <c r="P11" i="19"/>
  <c r="P10" i="19"/>
  <c r="P9" i="19"/>
  <c r="P8" i="19"/>
  <c r="P7" i="19"/>
  <c r="O11" i="19"/>
  <c r="O10" i="19"/>
  <c r="O9" i="19"/>
  <c r="O8" i="19"/>
  <c r="O7" i="19"/>
  <c r="C16" i="19" l="1"/>
  <c r="D16" i="19"/>
  <c r="E16" i="19"/>
  <c r="F16" i="19"/>
  <c r="G16" i="19"/>
  <c r="H16" i="19"/>
  <c r="I16" i="19"/>
  <c r="J16" i="19"/>
  <c r="K16" i="19"/>
  <c r="L16" i="19"/>
  <c r="M16" i="19"/>
  <c r="B16" i="19"/>
  <c r="C14" i="19"/>
  <c r="D14" i="19"/>
  <c r="E14" i="19"/>
  <c r="F14" i="19"/>
  <c r="G14" i="19"/>
  <c r="H14" i="19"/>
  <c r="I14" i="19"/>
  <c r="J14" i="19"/>
  <c r="K14" i="19"/>
  <c r="L14" i="19"/>
  <c r="M14" i="19"/>
  <c r="B14" i="19"/>
  <c r="C11" i="19"/>
  <c r="D11" i="19"/>
  <c r="E11" i="19"/>
  <c r="F11" i="19"/>
  <c r="G11" i="19"/>
  <c r="H11" i="19"/>
  <c r="I11" i="19"/>
  <c r="J11" i="19"/>
  <c r="K11" i="19"/>
  <c r="L11" i="19"/>
  <c r="M11" i="19"/>
  <c r="B11" i="19"/>
  <c r="C10" i="19"/>
  <c r="D10" i="19"/>
  <c r="E10" i="19"/>
  <c r="F10" i="19"/>
  <c r="G10" i="19"/>
  <c r="H10" i="19"/>
  <c r="I10" i="19"/>
  <c r="J10" i="19"/>
  <c r="K10" i="19"/>
  <c r="L10" i="19"/>
  <c r="M10" i="19"/>
  <c r="B10" i="19"/>
  <c r="C9" i="19"/>
  <c r="D9" i="19"/>
  <c r="E9" i="19"/>
  <c r="F9" i="19"/>
  <c r="G9" i="19"/>
  <c r="H9" i="19"/>
  <c r="I9" i="19"/>
  <c r="J9" i="19"/>
  <c r="K9" i="19"/>
  <c r="L9" i="19"/>
  <c r="M9" i="19"/>
  <c r="B9" i="19"/>
  <c r="C8" i="19"/>
  <c r="D8" i="19"/>
  <c r="E8" i="19"/>
  <c r="F8" i="19"/>
  <c r="G8" i="19"/>
  <c r="H8" i="19"/>
  <c r="I8" i="19"/>
  <c r="J8" i="19"/>
  <c r="K8" i="19"/>
  <c r="L8" i="19"/>
  <c r="M8" i="19"/>
  <c r="B8" i="19"/>
  <c r="C7" i="19"/>
  <c r="D7" i="19"/>
  <c r="E7" i="19"/>
  <c r="F7" i="19"/>
  <c r="G7" i="19"/>
  <c r="H7" i="19"/>
  <c r="I7" i="19"/>
  <c r="J7" i="19"/>
  <c r="K7" i="19"/>
  <c r="L7" i="19"/>
  <c r="M7" i="19"/>
  <c r="B7" i="19"/>
  <c r="K17" i="12"/>
  <c r="K22" i="12" s="1"/>
  <c r="H18" i="12"/>
  <c r="H19" i="12" s="1"/>
  <c r="H17" i="12"/>
  <c r="E18" i="12"/>
  <c r="E19" i="12" s="1"/>
  <c r="P21" i="15" l="1"/>
  <c r="P17" i="10"/>
  <c r="I44" i="9"/>
  <c r="N44" i="9" s="1"/>
  <c r="O22" i="15"/>
  <c r="O21" i="15"/>
  <c r="I55" i="9"/>
  <c r="O17" i="10"/>
  <c r="E10" i="12"/>
  <c r="E11" i="12"/>
  <c r="E9" i="12"/>
  <c r="E5" i="12"/>
  <c r="L2" i="18"/>
  <c r="M2" i="18" s="1"/>
  <c r="V2" i="18"/>
  <c r="L3" i="18"/>
  <c r="M3" i="18" s="1"/>
  <c r="V3" i="18"/>
  <c r="L4" i="18"/>
  <c r="M4" i="18" s="1"/>
  <c r="V4" i="18"/>
  <c r="L5" i="18"/>
  <c r="M5" i="18" s="1"/>
  <c r="V5" i="18"/>
  <c r="L6" i="18"/>
  <c r="M6" i="18" s="1"/>
  <c r="V6" i="18"/>
  <c r="B7" i="18"/>
  <c r="L7" i="18"/>
  <c r="M7" i="18" s="1"/>
  <c r="B6" i="12"/>
  <c r="N48" i="10"/>
  <c r="N16" i="19" s="1"/>
  <c r="L8" i="18" l="1"/>
  <c r="M8" i="18" s="1"/>
  <c r="B8" i="18"/>
  <c r="B9" i="18" s="1"/>
  <c r="B10" i="18" s="1"/>
  <c r="B11" i="18" s="1"/>
  <c r="B12" i="18" s="1"/>
  <c r="B13" i="18" s="1"/>
  <c r="B14" i="18" s="1"/>
  <c r="B15" i="18" s="1"/>
  <c r="B16" i="18" s="1"/>
  <c r="B17" i="18" s="1"/>
  <c r="B18" i="18" s="1"/>
  <c r="B19" i="18" s="1"/>
  <c r="B20" i="18" s="1"/>
  <c r="B21" i="18" s="1"/>
  <c r="B22" i="18" s="1"/>
  <c r="B23" i="18" s="1"/>
  <c r="B24" i="18" s="1"/>
  <c r="B25" i="18" s="1"/>
  <c r="B26" i="18" s="1"/>
  <c r="B27" i="18" s="1"/>
  <c r="B28" i="18" s="1"/>
  <c r="B29" i="18" s="1"/>
  <c r="B30" i="18" s="1"/>
  <c r="B31" i="18" s="1"/>
  <c r="B32" i="18" s="1"/>
  <c r="B33" i="18" s="1"/>
  <c r="B34" i="18" s="1"/>
  <c r="B35" i="18" s="1"/>
  <c r="B36" i="18" s="1"/>
  <c r="B37" i="18" s="1"/>
  <c r="B38" i="18" s="1"/>
  <c r="B39" i="18" s="1"/>
  <c r="B40" i="18" s="1"/>
  <c r="B41" i="18" s="1"/>
  <c r="B42" i="18" s="1"/>
  <c r="B43" i="18" s="1"/>
  <c r="B44" i="18" s="1"/>
  <c r="B45" i="18" s="1"/>
  <c r="B46" i="18" s="1"/>
  <c r="B47" i="18" s="1"/>
  <c r="B48" i="18" s="1"/>
  <c r="B49" i="18" s="1"/>
  <c r="B50" i="18" s="1"/>
  <c r="B51" i="18" s="1"/>
  <c r="B52" i="18" s="1"/>
  <c r="B53" i="18" s="1"/>
  <c r="B54" i="18" s="1"/>
  <c r="B55" i="18" s="1"/>
  <c r="B56" i="18" s="1"/>
  <c r="B57" i="18" s="1"/>
  <c r="B58" i="18" s="1"/>
  <c r="B59" i="18" s="1"/>
  <c r="B60" i="18" s="1"/>
  <c r="B61" i="18" s="1"/>
  <c r="F7" i="18"/>
  <c r="F3" i="17" a="1"/>
  <c r="F3" i="17" s="1"/>
  <c r="G3" i="17" s="1"/>
  <c r="F8" i="18" l="1"/>
  <c r="F9" i="18" s="1"/>
  <c r="L9" i="18"/>
  <c r="M9" i="18" s="1"/>
  <c r="G12" i="17"/>
  <c r="G4" i="17"/>
  <c r="G11" i="17"/>
  <c r="G13" i="17"/>
  <c r="G5" i="17"/>
  <c r="G8" i="17"/>
  <c r="G7" i="17"/>
  <c r="G10" i="17"/>
  <c r="G9" i="17"/>
  <c r="G14" i="17"/>
  <c r="G6" i="17"/>
  <c r="E4" i="17"/>
  <c r="E5" i="17"/>
  <c r="E6" i="17"/>
  <c r="E7" i="17"/>
  <c r="E8" i="17"/>
  <c r="E9" i="17"/>
  <c r="E10" i="17"/>
  <c r="E11" i="17"/>
  <c r="E12" i="17"/>
  <c r="E13" i="17"/>
  <c r="E14" i="17"/>
  <c r="E15" i="17"/>
  <c r="E16" i="17"/>
  <c r="E17" i="17"/>
  <c r="E18" i="17"/>
  <c r="E19" i="17"/>
  <c r="E20" i="17"/>
  <c r="E21" i="17"/>
  <c r="E22" i="17"/>
  <c r="E23" i="17"/>
  <c r="E24" i="17"/>
  <c r="E25" i="17"/>
  <c r="E26" i="17"/>
  <c r="E27" i="17"/>
  <c r="E28" i="17"/>
  <c r="E29" i="17"/>
  <c r="E30" i="17"/>
  <c r="E31" i="17"/>
  <c r="E32" i="17"/>
  <c r="E33" i="17"/>
  <c r="E34" i="17"/>
  <c r="E35" i="17"/>
  <c r="E36" i="17"/>
  <c r="E37" i="17"/>
  <c r="E38" i="17"/>
  <c r="E39" i="17"/>
  <c r="E40" i="17"/>
  <c r="E41" i="17"/>
  <c r="E42" i="17"/>
  <c r="E43" i="17"/>
  <c r="E44" i="17"/>
  <c r="E45" i="17"/>
  <c r="E46" i="17"/>
  <c r="E47" i="17"/>
  <c r="E48" i="17"/>
  <c r="E49" i="17"/>
  <c r="E50" i="17"/>
  <c r="E51" i="17"/>
  <c r="E52" i="17"/>
  <c r="E53" i="17"/>
  <c r="E54" i="17"/>
  <c r="E55" i="17"/>
  <c r="E56" i="17"/>
  <c r="E57" i="17"/>
  <c r="E58" i="17"/>
  <c r="E59" i="17"/>
  <c r="E60" i="17"/>
  <c r="E61" i="17"/>
  <c r="E62" i="17"/>
  <c r="E63" i="17"/>
  <c r="E64" i="17"/>
  <c r="E65" i="17"/>
  <c r="E66" i="17"/>
  <c r="E67" i="17"/>
  <c r="E68" i="17"/>
  <c r="E69" i="17"/>
  <c r="E70" i="17"/>
  <c r="E71" i="17"/>
  <c r="E72" i="17"/>
  <c r="E73" i="17"/>
  <c r="E74" i="17"/>
  <c r="E75" i="17"/>
  <c r="E76" i="17"/>
  <c r="E77" i="17"/>
  <c r="E78" i="17"/>
  <c r="E79" i="17"/>
  <c r="E80" i="17"/>
  <c r="E81" i="17"/>
  <c r="E82" i="17"/>
  <c r="E83" i="17"/>
  <c r="E84" i="17"/>
  <c r="E85" i="17"/>
  <c r="E86" i="17"/>
  <c r="E87" i="17"/>
  <c r="E88" i="17"/>
  <c r="E89" i="17"/>
  <c r="E90" i="17"/>
  <c r="E91" i="17"/>
  <c r="E92" i="17"/>
  <c r="E93" i="17"/>
  <c r="E94" i="17"/>
  <c r="E95" i="17"/>
  <c r="E96" i="17"/>
  <c r="E97" i="17"/>
  <c r="E98" i="17"/>
  <c r="E99" i="17"/>
  <c r="E100" i="17"/>
  <c r="E101" i="17"/>
  <c r="E102" i="17"/>
  <c r="E103" i="17"/>
  <c r="E104" i="17"/>
  <c r="E105" i="17"/>
  <c r="E106" i="17"/>
  <c r="E107" i="17"/>
  <c r="E108" i="17"/>
  <c r="E109" i="17"/>
  <c r="E110" i="17"/>
  <c r="E111" i="17"/>
  <c r="E112" i="17"/>
  <c r="E113" i="17"/>
  <c r="E114" i="17"/>
  <c r="E115" i="17"/>
  <c r="E116" i="17"/>
  <c r="E117" i="17"/>
  <c r="E118" i="17"/>
  <c r="E119" i="17"/>
  <c r="E120" i="17"/>
  <c r="E121" i="17"/>
  <c r="E122" i="17"/>
  <c r="E123" i="17"/>
  <c r="E124" i="17"/>
  <c r="E125" i="17"/>
  <c r="E126" i="17"/>
  <c r="E127" i="17"/>
  <c r="E128" i="17"/>
  <c r="E129" i="17"/>
  <c r="E130" i="17"/>
  <c r="E131" i="17"/>
  <c r="E132" i="17"/>
  <c r="E133" i="17"/>
  <c r="E134" i="17"/>
  <c r="E135" i="17"/>
  <c r="E136" i="17"/>
  <c r="E137" i="17"/>
  <c r="E138" i="17"/>
  <c r="E139" i="17"/>
  <c r="E140" i="17"/>
  <c r="E141" i="17"/>
  <c r="E142" i="17"/>
  <c r="E143" i="17"/>
  <c r="E144" i="17"/>
  <c r="E145" i="17"/>
  <c r="E146" i="17"/>
  <c r="E147" i="17"/>
  <c r="E148" i="17"/>
  <c r="E149" i="17"/>
  <c r="E150" i="17"/>
  <c r="E151" i="17"/>
  <c r="E152" i="17"/>
  <c r="E153" i="17"/>
  <c r="E154" i="17"/>
  <c r="E155" i="17"/>
  <c r="E156" i="17"/>
  <c r="E157" i="17"/>
  <c r="E158" i="17"/>
  <c r="E159" i="17"/>
  <c r="E160" i="17"/>
  <c r="E161" i="17"/>
  <c r="E162" i="17"/>
  <c r="E163" i="17"/>
  <c r="E164" i="17"/>
  <c r="E165" i="17"/>
  <c r="E166" i="17"/>
  <c r="E167" i="17"/>
  <c r="E168" i="17"/>
  <c r="E169" i="17"/>
  <c r="E170" i="17"/>
  <c r="E171" i="17"/>
  <c r="E172" i="17"/>
  <c r="E173" i="17"/>
  <c r="E174" i="17"/>
  <c r="E175" i="17"/>
  <c r="E176" i="17"/>
  <c r="E177" i="17"/>
  <c r="E178" i="17"/>
  <c r="E179" i="17"/>
  <c r="E180" i="17"/>
  <c r="E181" i="17"/>
  <c r="E182" i="17"/>
  <c r="E183" i="17"/>
  <c r="E184" i="17"/>
  <c r="E185" i="17"/>
  <c r="E186" i="17"/>
  <c r="E187" i="17"/>
  <c r="E188" i="17"/>
  <c r="E189" i="17"/>
  <c r="E190" i="17"/>
  <c r="E191" i="17"/>
  <c r="E192" i="17"/>
  <c r="E193" i="17"/>
  <c r="E194" i="17"/>
  <c r="E195" i="17"/>
  <c r="E196" i="17"/>
  <c r="E197" i="17"/>
  <c r="E198" i="17"/>
  <c r="E199" i="17"/>
  <c r="E200" i="17"/>
  <c r="E201" i="17"/>
  <c r="E202" i="17"/>
  <c r="E203" i="17"/>
  <c r="E204" i="17"/>
  <c r="E205" i="17"/>
  <c r="E206" i="17"/>
  <c r="E207" i="17"/>
  <c r="E208" i="17"/>
  <c r="E209" i="17"/>
  <c r="E210" i="17"/>
  <c r="E211" i="17"/>
  <c r="E212" i="17"/>
  <c r="E213" i="17"/>
  <c r="E214" i="17"/>
  <c r="E215" i="17"/>
  <c r="E216" i="17"/>
  <c r="E217" i="17"/>
  <c r="E218" i="17"/>
  <c r="E219" i="17"/>
  <c r="E220" i="17"/>
  <c r="E221" i="17"/>
  <c r="E222" i="17"/>
  <c r="E223" i="17"/>
  <c r="E224" i="17"/>
  <c r="E225" i="17"/>
  <c r="E226" i="17"/>
  <c r="E227" i="17"/>
  <c r="E228" i="17"/>
  <c r="E229" i="17"/>
  <c r="E230" i="17"/>
  <c r="E231" i="17"/>
  <c r="E232" i="17"/>
  <c r="E233" i="17"/>
  <c r="E234" i="17"/>
  <c r="E235" i="17"/>
  <c r="E236" i="17"/>
  <c r="E3" i="17"/>
  <c r="O19" i="15"/>
  <c r="B3" i="17"/>
  <c r="C33" i="17" s="1"/>
  <c r="C19" i="15"/>
  <c r="D19" i="15"/>
  <c r="E19" i="15"/>
  <c r="F19" i="15"/>
  <c r="G19" i="15"/>
  <c r="H19" i="15"/>
  <c r="I19" i="15"/>
  <c r="J19" i="15"/>
  <c r="K19" i="15"/>
  <c r="L19" i="15"/>
  <c r="M19" i="15"/>
  <c r="B19" i="15"/>
  <c r="B3" i="15"/>
  <c r="C3" i="15" s="1"/>
  <c r="D3" i="15" s="1"/>
  <c r="E3" i="15" s="1"/>
  <c r="F3" i="15" s="1"/>
  <c r="G3" i="15" s="1"/>
  <c r="H3" i="15" s="1"/>
  <c r="I3" i="15" s="1"/>
  <c r="J3" i="15" s="1"/>
  <c r="K3" i="15" s="1"/>
  <c r="L3" i="15" s="1"/>
  <c r="M3" i="15" s="1"/>
  <c r="B7" i="13"/>
  <c r="B17" i="14"/>
  <c r="B23" i="14"/>
  <c r="L2" i="13"/>
  <c r="M2" i="13" s="1"/>
  <c r="L3" i="13"/>
  <c r="M3" i="13" s="1"/>
  <c r="L4" i="13"/>
  <c r="M4" i="13" s="1"/>
  <c r="L5" i="13"/>
  <c r="M5" i="13" s="1"/>
  <c r="L6" i="13"/>
  <c r="M6" i="13" s="1"/>
  <c r="B19" i="12"/>
  <c r="E17" i="12"/>
  <c r="B9" i="12"/>
  <c r="B12" i="12"/>
  <c r="C7" i="18" s="1"/>
  <c r="V7" i="18" s="1"/>
  <c r="N33" i="10"/>
  <c r="N31" i="10"/>
  <c r="N9" i="19" s="1"/>
  <c r="N32" i="10"/>
  <c r="N34" i="10"/>
  <c r="N35" i="10"/>
  <c r="N10" i="19" s="1"/>
  <c r="K7" i="13" l="1"/>
  <c r="O6" i="13"/>
  <c r="S6" i="13"/>
  <c r="Q6" i="13"/>
  <c r="O2" i="13"/>
  <c r="Q2" i="13"/>
  <c r="S2" i="13"/>
  <c r="H22" i="12"/>
  <c r="H20" i="12" s="1"/>
  <c r="K18" i="12"/>
  <c r="E22" i="12"/>
  <c r="E20" i="12" s="1"/>
  <c r="O5" i="13"/>
  <c r="Q5" i="13"/>
  <c r="S5" i="13"/>
  <c r="S4" i="13"/>
  <c r="Q4" i="13"/>
  <c r="O4" i="13"/>
  <c r="S3" i="13"/>
  <c r="Q3" i="13"/>
  <c r="O3" i="13"/>
  <c r="B21" i="15" a="1"/>
  <c r="B21" i="15" s="1"/>
  <c r="C31" i="17"/>
  <c r="C30" i="17"/>
  <c r="C8" i="18"/>
  <c r="V8" i="18" s="1"/>
  <c r="N6" i="18"/>
  <c r="N5" i="18"/>
  <c r="N4" i="18"/>
  <c r="N2" i="18"/>
  <c r="N7" i="18"/>
  <c r="N3" i="18"/>
  <c r="N8" i="18"/>
  <c r="P8" i="18" s="1"/>
  <c r="C17" i="17"/>
  <c r="C16" i="17"/>
  <c r="C9" i="17"/>
  <c r="C8" i="17"/>
  <c r="C47" i="17"/>
  <c r="C46" i="17"/>
  <c r="C39" i="17"/>
  <c r="C25" i="17"/>
  <c r="C24" i="17"/>
  <c r="C38" i="17"/>
  <c r="B8" i="13"/>
  <c r="B9" i="13" s="1"/>
  <c r="B10" i="13" s="1"/>
  <c r="B11" i="13" s="1"/>
  <c r="B12" i="13" s="1"/>
  <c r="B13" i="13" s="1"/>
  <c r="L7" i="13"/>
  <c r="M7" i="13" s="1"/>
  <c r="N9" i="18"/>
  <c r="C9" i="18"/>
  <c r="V9" i="18" s="1"/>
  <c r="L10" i="18"/>
  <c r="M10" i="18" s="1"/>
  <c r="N10" i="18" s="1"/>
  <c r="P10" i="18" s="1"/>
  <c r="F7" i="13"/>
  <c r="C26" i="17"/>
  <c r="C18" i="17"/>
  <c r="C10" i="17"/>
  <c r="C48" i="17"/>
  <c r="C40" i="17"/>
  <c r="C32" i="17"/>
  <c r="C23" i="17"/>
  <c r="C7" i="17"/>
  <c r="C37" i="17"/>
  <c r="C22" i="17"/>
  <c r="C6" i="17"/>
  <c r="C44" i="17"/>
  <c r="C29" i="17"/>
  <c r="C21" i="17"/>
  <c r="C5" i="17"/>
  <c r="C35" i="17"/>
  <c r="C15" i="17"/>
  <c r="C4" i="17"/>
  <c r="C14" i="17"/>
  <c r="C36" i="17"/>
  <c r="C43" i="17"/>
  <c r="C28" i="17"/>
  <c r="C20" i="17"/>
  <c r="C12" i="17"/>
  <c r="C42" i="17"/>
  <c r="C34" i="17"/>
  <c r="C45" i="17"/>
  <c r="C13" i="17"/>
  <c r="C27" i="17"/>
  <c r="C19" i="17"/>
  <c r="C11" i="17"/>
  <c r="C41" i="17"/>
  <c r="N14" i="15"/>
  <c r="N19" i="15"/>
  <c r="C7" i="13"/>
  <c r="B20" i="14"/>
  <c r="B24" i="14" s="1"/>
  <c r="K8" i="13" l="1"/>
  <c r="K9" i="13"/>
  <c r="K10" i="13"/>
  <c r="K11" i="13"/>
  <c r="K13" i="13"/>
  <c r="K12" i="13"/>
  <c r="U2" i="13"/>
  <c r="AB2" i="13" s="1"/>
  <c r="P5" i="13"/>
  <c r="K23" i="12"/>
  <c r="K19" i="12"/>
  <c r="N2" i="13"/>
  <c r="N4" i="13"/>
  <c r="N6" i="13"/>
  <c r="O7" i="13"/>
  <c r="N7" i="13"/>
  <c r="P7" i="13"/>
  <c r="S7" i="13"/>
  <c r="Q7" i="13"/>
  <c r="R7" i="13"/>
  <c r="N3" i="13"/>
  <c r="N5" i="13"/>
  <c r="P2" i="13"/>
  <c r="U6" i="13"/>
  <c r="AB6" i="13" s="1"/>
  <c r="P3" i="13"/>
  <c r="P4" i="13"/>
  <c r="P6" i="13"/>
  <c r="U4" i="13"/>
  <c r="AB4" i="13" s="1"/>
  <c r="U5" i="13"/>
  <c r="AB5" i="13" s="1"/>
  <c r="U3" i="13"/>
  <c r="AB3" i="13" s="1"/>
  <c r="O18" i="10"/>
  <c r="P18" i="10"/>
  <c r="B14" i="13"/>
  <c r="B15" i="13" s="1"/>
  <c r="B16" i="13" s="1"/>
  <c r="B17" i="13" s="1"/>
  <c r="B18" i="13" s="1"/>
  <c r="B19" i="13" s="1"/>
  <c r="B20" i="13" s="1"/>
  <c r="B21" i="13" s="1"/>
  <c r="B22" i="13" s="1"/>
  <c r="B23" i="13" s="1"/>
  <c r="B24" i="13" s="1"/>
  <c r="B25" i="13" s="1"/>
  <c r="B26" i="13" s="1"/>
  <c r="U2" i="18"/>
  <c r="W2" i="18" s="1"/>
  <c r="P2" i="18"/>
  <c r="P5" i="18"/>
  <c r="U5" i="18"/>
  <c r="W5" i="18" s="1"/>
  <c r="U3" i="18"/>
  <c r="W3" i="18" s="1"/>
  <c r="P3" i="18"/>
  <c r="P7" i="18"/>
  <c r="U4" i="18"/>
  <c r="W4" i="18" s="1"/>
  <c r="P4" i="18"/>
  <c r="P6" i="18"/>
  <c r="U6" i="18"/>
  <c r="W6" i="18" s="1"/>
  <c r="L12" i="13"/>
  <c r="L13" i="13"/>
  <c r="M13" i="13" s="1"/>
  <c r="L9" i="13"/>
  <c r="M9" i="13" s="1"/>
  <c r="L8" i="13"/>
  <c r="M8" i="13" s="1"/>
  <c r="C8" i="13"/>
  <c r="F8" i="13"/>
  <c r="F9" i="13" s="1"/>
  <c r="L11" i="13"/>
  <c r="L10" i="13"/>
  <c r="M10" i="13" s="1"/>
  <c r="C10" i="18"/>
  <c r="P9" i="18"/>
  <c r="L11" i="18"/>
  <c r="M11" i="18" s="1"/>
  <c r="L12" i="18"/>
  <c r="M12" i="18" s="1"/>
  <c r="N12" i="18" s="1"/>
  <c r="P12" i="18" s="1"/>
  <c r="F10" i="18"/>
  <c r="B18" i="10" a="1"/>
  <c r="B4" i="17"/>
  <c r="B5" i="17" s="1"/>
  <c r="B6" i="17" s="1"/>
  <c r="B7" i="17" s="1"/>
  <c r="B8" i="17" s="1"/>
  <c r="B9" i="17" s="1"/>
  <c r="B10" i="17" s="1"/>
  <c r="B11" i="17" s="1"/>
  <c r="B12" i="17" s="1"/>
  <c r="B13" i="17" s="1"/>
  <c r="B14" i="17" s="1"/>
  <c r="B25" i="14"/>
  <c r="B29" i="14" s="1"/>
  <c r="C9" i="13"/>
  <c r="K21" i="13" l="1"/>
  <c r="K17" i="13"/>
  <c r="O8" i="15"/>
  <c r="O12" i="19"/>
  <c r="L15" i="13"/>
  <c r="M15" i="13" s="1"/>
  <c r="K14" i="13"/>
  <c r="K15" i="13"/>
  <c r="P8" i="15"/>
  <c r="P12" i="19"/>
  <c r="K16" i="13"/>
  <c r="L16" i="13"/>
  <c r="M16" i="13" s="1"/>
  <c r="P16" i="13" s="1"/>
  <c r="K22" i="13"/>
  <c r="K23" i="13"/>
  <c r="K24" i="13"/>
  <c r="K19" i="13"/>
  <c r="K20" i="13"/>
  <c r="K26" i="13"/>
  <c r="K18" i="13"/>
  <c r="K25" i="13"/>
  <c r="L18" i="13"/>
  <c r="M18" i="13" s="1"/>
  <c r="P18" i="13" s="1"/>
  <c r="U7" i="13"/>
  <c r="AB7" i="13" s="1"/>
  <c r="L20" i="13"/>
  <c r="M20" i="13" s="1"/>
  <c r="P20" i="13" s="1"/>
  <c r="L19" i="13"/>
  <c r="M19" i="13" s="1"/>
  <c r="S19" i="13" s="1"/>
  <c r="L17" i="13"/>
  <c r="M17" i="13" s="1"/>
  <c r="R17" i="13" s="1"/>
  <c r="L14" i="13"/>
  <c r="M14" i="13" s="1"/>
  <c r="S14" i="13" s="1"/>
  <c r="T7" i="13"/>
  <c r="S9" i="13"/>
  <c r="R9" i="13"/>
  <c r="Q9" i="13"/>
  <c r="P9" i="13"/>
  <c r="N9" i="13"/>
  <c r="O9" i="13"/>
  <c r="Q8" i="13"/>
  <c r="O8" i="13"/>
  <c r="P8" i="13"/>
  <c r="N8" i="13"/>
  <c r="S8" i="13"/>
  <c r="R8" i="13"/>
  <c r="S10" i="13"/>
  <c r="R10" i="13"/>
  <c r="Q10" i="13"/>
  <c r="P10" i="13"/>
  <c r="N10" i="13"/>
  <c r="O10" i="13"/>
  <c r="O16" i="13"/>
  <c r="N16" i="13"/>
  <c r="Q15" i="13"/>
  <c r="R15" i="13"/>
  <c r="P15" i="13"/>
  <c r="O15" i="13"/>
  <c r="S15" i="13"/>
  <c r="N15" i="13"/>
  <c r="L25" i="13"/>
  <c r="M25" i="13" s="1"/>
  <c r="P13" i="13"/>
  <c r="N13" i="13"/>
  <c r="S13" i="13"/>
  <c r="R13" i="13"/>
  <c r="O13" i="13"/>
  <c r="Q13" i="13"/>
  <c r="L21" i="13"/>
  <c r="M21" i="13" s="1"/>
  <c r="R5" i="13"/>
  <c r="T5" i="13" s="1"/>
  <c r="R6" i="13"/>
  <c r="T6" i="13" s="1"/>
  <c r="R2" i="13"/>
  <c r="T2" i="13" s="1"/>
  <c r="R4" i="13"/>
  <c r="T4" i="13" s="1"/>
  <c r="R3" i="13"/>
  <c r="T3" i="13" s="1"/>
  <c r="J12" i="19"/>
  <c r="F12" i="19"/>
  <c r="G12" i="19"/>
  <c r="C12" i="19"/>
  <c r="K12" i="19"/>
  <c r="E12" i="19"/>
  <c r="M12" i="19"/>
  <c r="H12" i="19"/>
  <c r="D12" i="19"/>
  <c r="L12" i="19"/>
  <c r="I12" i="19"/>
  <c r="M11" i="13"/>
  <c r="L22" i="13"/>
  <c r="M22" i="13" s="1"/>
  <c r="M12" i="13"/>
  <c r="L24" i="13"/>
  <c r="M24" i="13" s="1"/>
  <c r="L23" i="13"/>
  <c r="B27" i="13"/>
  <c r="B28" i="13" s="1"/>
  <c r="B29" i="13" s="1"/>
  <c r="B30" i="13" s="1"/>
  <c r="B31" i="13" s="1"/>
  <c r="B32" i="13" s="1"/>
  <c r="B33" i="13" s="1"/>
  <c r="B34" i="13" s="1"/>
  <c r="B35" i="13" s="1"/>
  <c r="B36" i="13" s="1"/>
  <c r="B37" i="13" s="1"/>
  <c r="B38" i="13" s="1"/>
  <c r="B39" i="13" s="1"/>
  <c r="B40" i="13" s="1"/>
  <c r="B41" i="13" s="1"/>
  <c r="B42" i="13" s="1"/>
  <c r="B43" i="13" s="1"/>
  <c r="B44" i="13" s="1"/>
  <c r="B45" i="13" s="1"/>
  <c r="B46" i="13" s="1"/>
  <c r="B47" i="13" s="1"/>
  <c r="B48" i="13" s="1"/>
  <c r="B49" i="13" s="1"/>
  <c r="B50" i="13" s="1"/>
  <c r="B51" i="13" s="1"/>
  <c r="B52" i="13" s="1"/>
  <c r="B53" i="13" s="1"/>
  <c r="B54" i="13" s="1"/>
  <c r="B55" i="13" s="1"/>
  <c r="B56" i="13" s="1"/>
  <c r="B57" i="13" s="1"/>
  <c r="B58" i="13" s="1"/>
  <c r="B59" i="13" s="1"/>
  <c r="B60" i="13" s="1"/>
  <c r="B61" i="13" s="1"/>
  <c r="L26" i="13"/>
  <c r="W13" i="13"/>
  <c r="W25" i="13"/>
  <c r="N11" i="18"/>
  <c r="C11" i="18"/>
  <c r="V11" i="18" s="1"/>
  <c r="V10" i="18"/>
  <c r="F11" i="18"/>
  <c r="F12" i="18" s="1"/>
  <c r="B15" i="17"/>
  <c r="B16" i="17" s="1"/>
  <c r="B17" i="17" s="1"/>
  <c r="B18" i="17" s="1"/>
  <c r="B19" i="17" s="1"/>
  <c r="B20" i="17" s="1"/>
  <c r="B21" i="17" s="1"/>
  <c r="B22" i="17" s="1"/>
  <c r="B23" i="17" s="1"/>
  <c r="B24" i="17" s="1"/>
  <c r="B25" i="17" s="1"/>
  <c r="B26" i="17" s="1"/>
  <c r="D24" i="9"/>
  <c r="B18" i="10"/>
  <c r="M8" i="15"/>
  <c r="I8" i="15"/>
  <c r="D8" i="15"/>
  <c r="L8" i="15"/>
  <c r="K8" i="15"/>
  <c r="E8" i="15"/>
  <c r="J8" i="15"/>
  <c r="H8" i="15"/>
  <c r="F8" i="15"/>
  <c r="G8" i="15"/>
  <c r="C8" i="15"/>
  <c r="F10" i="13"/>
  <c r="B31" i="14"/>
  <c r="B10" i="12"/>
  <c r="C10" i="13"/>
  <c r="Q16" i="13" l="1"/>
  <c r="K27" i="13"/>
  <c r="O18" i="13"/>
  <c r="K34" i="13"/>
  <c r="R16" i="13"/>
  <c r="T16" i="13" s="1"/>
  <c r="S16" i="13"/>
  <c r="U16" i="13" s="1"/>
  <c r="K29" i="13"/>
  <c r="R18" i="13"/>
  <c r="K31" i="13"/>
  <c r="K32" i="13"/>
  <c r="S18" i="13"/>
  <c r="K33" i="13"/>
  <c r="K28" i="13"/>
  <c r="K35" i="13"/>
  <c r="K30" i="13"/>
  <c r="K36" i="13"/>
  <c r="K37" i="13"/>
  <c r="V7" i="13"/>
  <c r="P14" i="13"/>
  <c r="O14" i="13"/>
  <c r="R14" i="13"/>
  <c r="Q20" i="13"/>
  <c r="O19" i="13"/>
  <c r="N20" i="13"/>
  <c r="O20" i="13"/>
  <c r="R20" i="13"/>
  <c r="Q17" i="13"/>
  <c r="S17" i="13"/>
  <c r="Q19" i="13"/>
  <c r="S20" i="13"/>
  <c r="P19" i="13"/>
  <c r="N18" i="13"/>
  <c r="T18" i="13" s="1"/>
  <c r="N19" i="13"/>
  <c r="P17" i="13"/>
  <c r="N17" i="13"/>
  <c r="R19" i="13"/>
  <c r="Q18" i="13"/>
  <c r="Q14" i="13"/>
  <c r="O17" i="13"/>
  <c r="T9" i="13"/>
  <c r="N14" i="13"/>
  <c r="U9" i="13"/>
  <c r="AB9" i="13" s="1"/>
  <c r="T13" i="13"/>
  <c r="T10" i="13"/>
  <c r="V2" i="13"/>
  <c r="AA2" i="13"/>
  <c r="AC2" i="13" s="1"/>
  <c r="AA6" i="13"/>
  <c r="AC6" i="13" s="1"/>
  <c r="V6" i="13"/>
  <c r="AA5" i="13"/>
  <c r="AC5" i="13" s="1"/>
  <c r="V5" i="13"/>
  <c r="AA3" i="13"/>
  <c r="AC3" i="13" s="1"/>
  <c r="V3" i="13"/>
  <c r="H39" i="13"/>
  <c r="N11" i="13"/>
  <c r="S11" i="13"/>
  <c r="R11" i="13"/>
  <c r="Q11" i="13"/>
  <c r="P11" i="13"/>
  <c r="O11" i="13"/>
  <c r="Q21" i="13"/>
  <c r="R21" i="13"/>
  <c r="O21" i="13"/>
  <c r="N21" i="13"/>
  <c r="S21" i="13"/>
  <c r="P21" i="13"/>
  <c r="P25" i="13"/>
  <c r="S25" i="13"/>
  <c r="R25" i="13"/>
  <c r="O25" i="13"/>
  <c r="N25" i="13"/>
  <c r="Q25" i="13"/>
  <c r="U10" i="13"/>
  <c r="T8" i="13"/>
  <c r="Q22" i="13"/>
  <c r="S22" i="13"/>
  <c r="R22" i="13"/>
  <c r="P22" i="13"/>
  <c r="O22" i="13"/>
  <c r="N22" i="13"/>
  <c r="U15" i="13"/>
  <c r="P24" i="13"/>
  <c r="Q24" i="13"/>
  <c r="S24" i="13"/>
  <c r="R24" i="13"/>
  <c r="O24" i="13"/>
  <c r="N24" i="13"/>
  <c r="U13" i="13"/>
  <c r="U8" i="13"/>
  <c r="O12" i="13"/>
  <c r="S12" i="13"/>
  <c r="R12" i="13"/>
  <c r="Q12" i="13"/>
  <c r="P12" i="13"/>
  <c r="N12" i="13"/>
  <c r="AA4" i="13"/>
  <c r="AC4" i="13" s="1"/>
  <c r="V4" i="13"/>
  <c r="T15" i="13"/>
  <c r="B8" i="15"/>
  <c r="N8" i="15" s="1"/>
  <c r="B12" i="19"/>
  <c r="B27" i="17"/>
  <c r="B28" i="17" s="1"/>
  <c r="B29" i="17" s="1"/>
  <c r="B30" i="17" s="1"/>
  <c r="B31" i="17" s="1"/>
  <c r="B32" i="17" s="1"/>
  <c r="B33" i="17" s="1"/>
  <c r="B34" i="17" s="1"/>
  <c r="B35" i="17" s="1"/>
  <c r="B36" i="17" s="1"/>
  <c r="B37" i="17" s="1"/>
  <c r="B38" i="17" s="1"/>
  <c r="B39" i="17" s="1"/>
  <c r="B40" i="17" s="1"/>
  <c r="B41" i="17" s="1"/>
  <c r="B42" i="17" s="1"/>
  <c r="B43" i="17" s="1"/>
  <c r="B44" i="17" s="1"/>
  <c r="B45" i="17" s="1"/>
  <c r="B46" i="17" s="1"/>
  <c r="B47" i="17" s="1"/>
  <c r="B48" i="17" s="1"/>
  <c r="I24" i="9"/>
  <c r="M23" i="13"/>
  <c r="L33" i="13"/>
  <c r="M26" i="13"/>
  <c r="L30" i="13"/>
  <c r="L27" i="13"/>
  <c r="L46" i="13"/>
  <c r="L41" i="13"/>
  <c r="L31" i="13"/>
  <c r="L34" i="13"/>
  <c r="M34" i="13" s="1"/>
  <c r="L29" i="13"/>
  <c r="L36" i="13"/>
  <c r="L32" i="13"/>
  <c r="L54" i="13"/>
  <c r="L45" i="13"/>
  <c r="L35" i="13"/>
  <c r="M35" i="13" s="1"/>
  <c r="L58" i="13"/>
  <c r="M58" i="13" s="1"/>
  <c r="L59" i="13"/>
  <c r="L38" i="13"/>
  <c r="L56" i="13"/>
  <c r="L43" i="13"/>
  <c r="L42" i="13"/>
  <c r="L39" i="13"/>
  <c r="L44" i="13"/>
  <c r="L57" i="13"/>
  <c r="H58" i="18"/>
  <c r="H14" i="18"/>
  <c r="H36" i="18"/>
  <c r="H19" i="18"/>
  <c r="H45" i="18"/>
  <c r="H52" i="18"/>
  <c r="H25" i="18"/>
  <c r="H6" i="18"/>
  <c r="H30" i="18"/>
  <c r="H25" i="13"/>
  <c r="I7" i="9" s="1"/>
  <c r="D7" i="18"/>
  <c r="U7" i="18" s="1"/>
  <c r="W7" i="18" s="1"/>
  <c r="D8" i="18"/>
  <c r="U8" i="18" s="1"/>
  <c r="W8" i="18" s="1"/>
  <c r="D9" i="18"/>
  <c r="U9" i="18" s="1"/>
  <c r="W9" i="18" s="1"/>
  <c r="D10" i="18"/>
  <c r="U10" i="18" s="1"/>
  <c r="W10" i="18" s="1"/>
  <c r="L40" i="13"/>
  <c r="L61" i="13"/>
  <c r="M61" i="13" s="1"/>
  <c r="L55" i="13"/>
  <c r="M55" i="13" s="1"/>
  <c r="L47" i="13"/>
  <c r="M47" i="13" s="1"/>
  <c r="D11" i="18"/>
  <c r="U11" i="18" s="1"/>
  <c r="W11" i="18" s="1"/>
  <c r="L37" i="13"/>
  <c r="L28" i="13"/>
  <c r="M28" i="13" s="1"/>
  <c r="L52" i="13"/>
  <c r="M52" i="13" s="1"/>
  <c r="L48" i="13"/>
  <c r="M48" i="13" s="1"/>
  <c r="L60" i="13"/>
  <c r="M60" i="13" s="1"/>
  <c r="L50" i="13"/>
  <c r="M50" i="13" s="1"/>
  <c r="L51" i="13"/>
  <c r="M51" i="13" s="1"/>
  <c r="L53" i="13"/>
  <c r="M53" i="13" s="1"/>
  <c r="L49" i="13"/>
  <c r="M49" i="13" s="1"/>
  <c r="D12" i="18"/>
  <c r="U12" i="18" s="1"/>
  <c r="C12" i="18"/>
  <c r="V12" i="18" s="1"/>
  <c r="L14" i="18"/>
  <c r="M14" i="18" s="1"/>
  <c r="L13" i="18"/>
  <c r="M13" i="18" s="1"/>
  <c r="F13" i="18"/>
  <c r="P11" i="18"/>
  <c r="B32" i="14"/>
  <c r="B33" i="14" s="1"/>
  <c r="B34" i="14" s="1"/>
  <c r="F11" i="13"/>
  <c r="C11" i="13"/>
  <c r="H6" i="13"/>
  <c r="F15" i="15" s="1"/>
  <c r="H30" i="13"/>
  <c r="H36" i="13"/>
  <c r="H45" i="13"/>
  <c r="D10" i="13"/>
  <c r="H14" i="13"/>
  <c r="D11" i="13"/>
  <c r="D8" i="13"/>
  <c r="H52" i="13"/>
  <c r="D9" i="13"/>
  <c r="H58" i="13"/>
  <c r="D7" i="13"/>
  <c r="AA7" i="13" s="1"/>
  <c r="T20" i="13" l="1"/>
  <c r="U14" i="13"/>
  <c r="U18" i="13"/>
  <c r="T14" i="13"/>
  <c r="U19" i="13"/>
  <c r="U20" i="13"/>
  <c r="T17" i="13"/>
  <c r="T19" i="13"/>
  <c r="U17" i="13"/>
  <c r="AA9" i="13"/>
  <c r="AC9" i="13" s="1"/>
  <c r="V9" i="13"/>
  <c r="T22" i="13"/>
  <c r="V8" i="13"/>
  <c r="V10" i="13"/>
  <c r="AB10" i="13"/>
  <c r="U25" i="13"/>
  <c r="S49" i="13"/>
  <c r="R49" i="13"/>
  <c r="O49" i="13"/>
  <c r="N49" i="13"/>
  <c r="Q49" i="13"/>
  <c r="P49" i="13"/>
  <c r="T12" i="13"/>
  <c r="P35" i="13"/>
  <c r="S35" i="13"/>
  <c r="R35" i="13"/>
  <c r="O35" i="13"/>
  <c r="N35" i="13"/>
  <c r="Q35" i="13"/>
  <c r="P28" i="13"/>
  <c r="S28" i="13"/>
  <c r="R28" i="13"/>
  <c r="O28" i="13"/>
  <c r="N28" i="13"/>
  <c r="Q28" i="13"/>
  <c r="Q53" i="13"/>
  <c r="R53" i="13"/>
  <c r="O53" i="13"/>
  <c r="N53" i="13"/>
  <c r="P53" i="13"/>
  <c r="S53" i="13"/>
  <c r="P51" i="13"/>
  <c r="S51" i="13"/>
  <c r="R51" i="13"/>
  <c r="O51" i="13"/>
  <c r="N51" i="13"/>
  <c r="Q51" i="13"/>
  <c r="Q47" i="13"/>
  <c r="P47" i="13"/>
  <c r="N47" i="13"/>
  <c r="O47" i="13"/>
  <c r="S47" i="13"/>
  <c r="R47" i="13"/>
  <c r="Q55" i="13"/>
  <c r="R55" i="13"/>
  <c r="O55" i="13"/>
  <c r="P55" i="13"/>
  <c r="S55" i="13"/>
  <c r="N55" i="13"/>
  <c r="T24" i="13"/>
  <c r="U22" i="13"/>
  <c r="U11" i="13"/>
  <c r="P60" i="13"/>
  <c r="S60" i="13"/>
  <c r="R60" i="13"/>
  <c r="O60" i="13"/>
  <c r="N60" i="13"/>
  <c r="Q60" i="13"/>
  <c r="Q61" i="13"/>
  <c r="P61" i="13"/>
  <c r="S61" i="13"/>
  <c r="R61" i="13"/>
  <c r="O61" i="13"/>
  <c r="N61" i="13"/>
  <c r="P34" i="13"/>
  <c r="S34" i="13"/>
  <c r="R34" i="13"/>
  <c r="O34" i="13"/>
  <c r="N34" i="13"/>
  <c r="Q34" i="13"/>
  <c r="Q23" i="13"/>
  <c r="S23" i="13"/>
  <c r="O23" i="13"/>
  <c r="N23" i="13"/>
  <c r="R23" i="13"/>
  <c r="P23" i="13"/>
  <c r="U12" i="13"/>
  <c r="U24" i="13"/>
  <c r="T11" i="13"/>
  <c r="AA11" i="13" s="1"/>
  <c r="P52" i="13"/>
  <c r="S52" i="13"/>
  <c r="R52" i="13"/>
  <c r="O52" i="13"/>
  <c r="N52" i="13"/>
  <c r="Q52" i="13"/>
  <c r="Q26" i="13"/>
  <c r="S26" i="13"/>
  <c r="R26" i="13"/>
  <c r="P26" i="13"/>
  <c r="N26" i="13"/>
  <c r="O26" i="13"/>
  <c r="P50" i="13"/>
  <c r="S50" i="13"/>
  <c r="R50" i="13"/>
  <c r="O50" i="13"/>
  <c r="N50" i="13"/>
  <c r="Q50" i="13"/>
  <c r="Q48" i="13"/>
  <c r="P48" i="13"/>
  <c r="N48" i="13"/>
  <c r="R48" i="13"/>
  <c r="S48" i="13"/>
  <c r="O48" i="13"/>
  <c r="P58" i="13"/>
  <c r="S58" i="13"/>
  <c r="R58" i="13"/>
  <c r="O58" i="13"/>
  <c r="N58" i="13"/>
  <c r="Q58" i="13"/>
  <c r="AB8" i="13"/>
  <c r="T21" i="13"/>
  <c r="T25" i="13"/>
  <c r="U21" i="13"/>
  <c r="M45" i="13"/>
  <c r="M46" i="13"/>
  <c r="M37" i="13"/>
  <c r="M57" i="13"/>
  <c r="M38" i="13"/>
  <c r="M36" i="13"/>
  <c r="M27" i="13"/>
  <c r="M32" i="13"/>
  <c r="M44" i="13"/>
  <c r="M59" i="13"/>
  <c r="M30" i="13"/>
  <c r="M43" i="13"/>
  <c r="M31" i="13"/>
  <c r="M39" i="13"/>
  <c r="M29" i="13"/>
  <c r="M42" i="13"/>
  <c r="M33" i="13"/>
  <c r="M40" i="13"/>
  <c r="M56" i="13"/>
  <c r="M54" i="13"/>
  <c r="M41" i="13"/>
  <c r="W61" i="13"/>
  <c r="W37" i="13"/>
  <c r="W49" i="13"/>
  <c r="AA8" i="13"/>
  <c r="P15" i="15"/>
  <c r="AA10" i="13"/>
  <c r="V13" i="13"/>
  <c r="W12" i="18"/>
  <c r="N13" i="18"/>
  <c r="Q13" i="18"/>
  <c r="R13" i="18" s="1"/>
  <c r="N14" i="18"/>
  <c r="O14" i="18"/>
  <c r="D13" i="18"/>
  <c r="C13" i="18"/>
  <c r="V13" i="18" s="1"/>
  <c r="I13" i="18"/>
  <c r="B35" i="14"/>
  <c r="B36" i="14" s="1"/>
  <c r="B37" i="14"/>
  <c r="O15" i="15"/>
  <c r="F12" i="13"/>
  <c r="AC7" i="13"/>
  <c r="D12" i="13"/>
  <c r="C12" i="13"/>
  <c r="AC10" i="13" l="1"/>
  <c r="U23" i="13"/>
  <c r="T55" i="13"/>
  <c r="T48" i="13"/>
  <c r="T58" i="13"/>
  <c r="U34" i="13"/>
  <c r="V11" i="13"/>
  <c r="T51" i="13"/>
  <c r="U53" i="13"/>
  <c r="U58" i="13"/>
  <c r="U26" i="13"/>
  <c r="AC8" i="13"/>
  <c r="T26" i="13"/>
  <c r="T35" i="13"/>
  <c r="T53" i="13"/>
  <c r="U28" i="13"/>
  <c r="Y13" i="13"/>
  <c r="Q45" i="13"/>
  <c r="S45" i="13"/>
  <c r="P45" i="13"/>
  <c r="R45" i="13"/>
  <c r="O45" i="13"/>
  <c r="N45" i="13"/>
  <c r="Q32" i="13"/>
  <c r="R32" i="13"/>
  <c r="O32" i="13"/>
  <c r="P32" i="13"/>
  <c r="N32" i="13"/>
  <c r="S32" i="13"/>
  <c r="T23" i="13"/>
  <c r="U51" i="13"/>
  <c r="U47" i="13"/>
  <c r="T49" i="13"/>
  <c r="AA12" i="13"/>
  <c r="S41" i="13"/>
  <c r="R41" i="13"/>
  <c r="O41" i="13"/>
  <c r="N41" i="13"/>
  <c r="Q41" i="13"/>
  <c r="P41" i="13"/>
  <c r="Q54" i="13"/>
  <c r="P54" i="13"/>
  <c r="N54" i="13"/>
  <c r="R54" i="13"/>
  <c r="O54" i="13"/>
  <c r="S54" i="13"/>
  <c r="P43" i="13"/>
  <c r="S43" i="13"/>
  <c r="R43" i="13"/>
  <c r="O43" i="13"/>
  <c r="N43" i="13"/>
  <c r="Q43" i="13"/>
  <c r="S57" i="13"/>
  <c r="R57" i="13"/>
  <c r="O57" i="13"/>
  <c r="N57" i="13"/>
  <c r="Q57" i="13"/>
  <c r="P57" i="13"/>
  <c r="U48" i="13"/>
  <c r="U50" i="13"/>
  <c r="U61" i="13"/>
  <c r="T60" i="13"/>
  <c r="S33" i="13"/>
  <c r="R33" i="13"/>
  <c r="O33" i="13"/>
  <c r="N33" i="13"/>
  <c r="Q33" i="13"/>
  <c r="P33" i="13"/>
  <c r="P42" i="13"/>
  <c r="S42" i="13"/>
  <c r="R42" i="13"/>
  <c r="O42" i="13"/>
  <c r="Q42" i="13"/>
  <c r="N42" i="13"/>
  <c r="P27" i="13"/>
  <c r="S27" i="13"/>
  <c r="R27" i="13"/>
  <c r="O27" i="13"/>
  <c r="N27" i="13"/>
  <c r="Q27" i="13"/>
  <c r="B11" i="12"/>
  <c r="E9" i="13" s="1"/>
  <c r="P36" i="13"/>
  <c r="S36" i="13"/>
  <c r="R36" i="13"/>
  <c r="O36" i="13"/>
  <c r="N36" i="13"/>
  <c r="Q36" i="13"/>
  <c r="U52" i="13"/>
  <c r="Q38" i="13"/>
  <c r="P38" i="13"/>
  <c r="R38" i="13"/>
  <c r="O38" i="13"/>
  <c r="S38" i="13"/>
  <c r="N38" i="13"/>
  <c r="T50" i="13"/>
  <c r="T61" i="13"/>
  <c r="T47" i="13"/>
  <c r="U49" i="13"/>
  <c r="AB11" i="13"/>
  <c r="AC11" i="13" s="1"/>
  <c r="Q56" i="13"/>
  <c r="R56" i="13"/>
  <c r="O56" i="13"/>
  <c r="P56" i="13"/>
  <c r="S56" i="13"/>
  <c r="N56" i="13"/>
  <c r="Q30" i="13"/>
  <c r="P30" i="13"/>
  <c r="N30" i="13"/>
  <c r="R30" i="13"/>
  <c r="O30" i="13"/>
  <c r="S30" i="13"/>
  <c r="Q37" i="13"/>
  <c r="R37" i="13"/>
  <c r="O37" i="13"/>
  <c r="N37" i="13"/>
  <c r="P37" i="13"/>
  <c r="S37" i="13"/>
  <c r="X13" i="13"/>
  <c r="U60" i="13"/>
  <c r="U55" i="13"/>
  <c r="P44" i="13"/>
  <c r="S44" i="13"/>
  <c r="R44" i="13"/>
  <c r="O44" i="13"/>
  <c r="N44" i="13"/>
  <c r="Q44" i="13"/>
  <c r="Q29" i="13"/>
  <c r="S29" i="13"/>
  <c r="P29" i="13"/>
  <c r="R29" i="13"/>
  <c r="O29" i="13"/>
  <c r="N29" i="13"/>
  <c r="T52" i="13"/>
  <c r="Q39" i="13"/>
  <c r="S39" i="13"/>
  <c r="O39" i="13"/>
  <c r="P39" i="13"/>
  <c r="R39" i="13"/>
  <c r="N39" i="13"/>
  <c r="T39" i="13" s="1"/>
  <c r="Q31" i="13"/>
  <c r="P31" i="13"/>
  <c r="N31" i="13"/>
  <c r="S31" i="13"/>
  <c r="R31" i="13"/>
  <c r="O31" i="13"/>
  <c r="U35" i="13"/>
  <c r="Q40" i="13"/>
  <c r="S40" i="13"/>
  <c r="R40" i="13"/>
  <c r="O40" i="13"/>
  <c r="P40" i="13"/>
  <c r="N40" i="13"/>
  <c r="P59" i="13"/>
  <c r="S59" i="13"/>
  <c r="R59" i="13"/>
  <c r="O59" i="13"/>
  <c r="N59" i="13"/>
  <c r="Q59" i="13"/>
  <c r="Q46" i="13"/>
  <c r="P46" i="13"/>
  <c r="S46" i="13"/>
  <c r="N46" i="13"/>
  <c r="R46" i="13"/>
  <c r="O46" i="13"/>
  <c r="V12" i="13"/>
  <c r="T34" i="13"/>
  <c r="T28" i="13"/>
  <c r="X25" i="13"/>
  <c r="P14" i="18"/>
  <c r="J13" i="18"/>
  <c r="D14" i="18"/>
  <c r="U14" i="18" s="1"/>
  <c r="C14" i="18"/>
  <c r="L15" i="18"/>
  <c r="M15" i="18" s="1"/>
  <c r="Y13" i="18"/>
  <c r="F14" i="18"/>
  <c r="P13" i="18"/>
  <c r="S13" i="18"/>
  <c r="U13" i="18"/>
  <c r="X13" i="18" s="1"/>
  <c r="B4" i="10" a="1"/>
  <c r="B4" i="10" s="1"/>
  <c r="N4" i="10" s="1"/>
  <c r="F13" i="13"/>
  <c r="O6" i="10"/>
  <c r="I13" i="13"/>
  <c r="AB12" i="13"/>
  <c r="C13" i="13"/>
  <c r="D13" i="13"/>
  <c r="E8" i="13" l="1"/>
  <c r="E11" i="13"/>
  <c r="E12" i="13"/>
  <c r="E14" i="18"/>
  <c r="AC12" i="13"/>
  <c r="E7" i="13"/>
  <c r="T29" i="13"/>
  <c r="U39" i="13"/>
  <c r="U45" i="13"/>
  <c r="T59" i="13"/>
  <c r="T40" i="13"/>
  <c r="B13" i="12"/>
  <c r="U33" i="13"/>
  <c r="T57" i="13"/>
  <c r="E13" i="13"/>
  <c r="U40" i="13"/>
  <c r="T38" i="13"/>
  <c r="T27" i="13"/>
  <c r="T45" i="13"/>
  <c r="U30" i="13"/>
  <c r="U57" i="13"/>
  <c r="U46" i="13"/>
  <c r="U38" i="13"/>
  <c r="U54" i="13"/>
  <c r="U29" i="13"/>
  <c r="T44" i="13"/>
  <c r="T37" i="13"/>
  <c r="U36" i="13"/>
  <c r="T32" i="13"/>
  <c r="T31" i="13"/>
  <c r="U27" i="13"/>
  <c r="T41" i="13"/>
  <c r="U59" i="13"/>
  <c r="U41" i="13"/>
  <c r="T46" i="13"/>
  <c r="U44" i="13"/>
  <c r="U37" i="13"/>
  <c r="T43" i="13"/>
  <c r="T54" i="13"/>
  <c r="U42" i="13"/>
  <c r="U56" i="13"/>
  <c r="T30" i="13"/>
  <c r="T36" i="13"/>
  <c r="AA13" i="13"/>
  <c r="B11" i="10" s="1" a="1"/>
  <c r="N59" i="10"/>
  <c r="U31" i="13"/>
  <c r="T56" i="13"/>
  <c r="E7" i="18"/>
  <c r="E8" i="18"/>
  <c r="E9" i="18"/>
  <c r="E10" i="18"/>
  <c r="E11" i="18"/>
  <c r="E12" i="18"/>
  <c r="E13" i="18"/>
  <c r="E10" i="13"/>
  <c r="T42" i="13"/>
  <c r="T33" i="13"/>
  <c r="U43" i="13"/>
  <c r="U32" i="13"/>
  <c r="W13" i="18"/>
  <c r="Z13" i="18" s="1"/>
  <c r="F15" i="18"/>
  <c r="V14" i="18"/>
  <c r="O15" i="18"/>
  <c r="N15" i="18"/>
  <c r="D15" i="18"/>
  <c r="E15" i="18"/>
  <c r="C15" i="18"/>
  <c r="L16" i="18"/>
  <c r="M16" i="18" s="1"/>
  <c r="F14" i="13"/>
  <c r="F15" i="13" s="1"/>
  <c r="D8" i="9"/>
  <c r="J13" i="13"/>
  <c r="B5" i="10" a="1"/>
  <c r="AB13" i="13"/>
  <c r="AE13" i="13" s="1"/>
  <c r="C14" i="13"/>
  <c r="D14" i="13"/>
  <c r="E14" i="13"/>
  <c r="AD13" i="13" l="1"/>
  <c r="X49" i="13"/>
  <c r="X61" i="13"/>
  <c r="X37" i="13"/>
  <c r="G4" i="19"/>
  <c r="H4" i="19"/>
  <c r="J4" i="19"/>
  <c r="I4" i="19"/>
  <c r="D4" i="19"/>
  <c r="L4" i="19"/>
  <c r="C4" i="19"/>
  <c r="K4" i="19"/>
  <c r="F4" i="19"/>
  <c r="E4" i="19"/>
  <c r="M4" i="19"/>
  <c r="B5" i="10"/>
  <c r="B36" i="10" s="1"/>
  <c r="C36" i="10"/>
  <c r="K36" i="10"/>
  <c r="D36" i="10"/>
  <c r="L36" i="10"/>
  <c r="H36" i="10"/>
  <c r="E36" i="10"/>
  <c r="M36" i="10"/>
  <c r="I36" i="10"/>
  <c r="F36" i="10"/>
  <c r="G36" i="10"/>
  <c r="J36" i="10"/>
  <c r="U15" i="18"/>
  <c r="AC13" i="13"/>
  <c r="AF13" i="13" s="1"/>
  <c r="J13" i="15"/>
  <c r="F13" i="15"/>
  <c r="L13" i="15"/>
  <c r="I13" i="15"/>
  <c r="G13" i="15"/>
  <c r="E13" i="15"/>
  <c r="D13" i="15"/>
  <c r="C13" i="15"/>
  <c r="H13" i="15"/>
  <c r="M13" i="15"/>
  <c r="K13" i="15"/>
  <c r="V14" i="13"/>
  <c r="E16" i="18"/>
  <c r="D16" i="18"/>
  <c r="C16" i="18"/>
  <c r="L17" i="18"/>
  <c r="M17" i="18" s="1"/>
  <c r="N16" i="18"/>
  <c r="O16" i="18"/>
  <c r="F16" i="18"/>
  <c r="F17" i="18" s="1"/>
  <c r="P15" i="18"/>
  <c r="W14" i="18"/>
  <c r="V15" i="18"/>
  <c r="B11" i="10"/>
  <c r="AA14" i="13"/>
  <c r="AB14" i="13"/>
  <c r="F16" i="13"/>
  <c r="C15" i="13"/>
  <c r="D15" i="13"/>
  <c r="E15" i="13"/>
  <c r="K12" i="15" l="1"/>
  <c r="K13" i="19"/>
  <c r="K6" i="19" s="1"/>
  <c r="I12" i="15"/>
  <c r="I13" i="19"/>
  <c r="I6" i="19" s="1"/>
  <c r="M12" i="15"/>
  <c r="M13" i="19"/>
  <c r="M6" i="19" s="1"/>
  <c r="E12" i="15"/>
  <c r="E13" i="19"/>
  <c r="E6" i="19" s="1"/>
  <c r="H12" i="15"/>
  <c r="H13" i="19"/>
  <c r="H6" i="19" s="1"/>
  <c r="L12" i="15"/>
  <c r="L13" i="19"/>
  <c r="L6" i="19" s="1"/>
  <c r="G12" i="15"/>
  <c r="G13" i="19"/>
  <c r="G6" i="19" s="1"/>
  <c r="F12" i="15"/>
  <c r="F13" i="19"/>
  <c r="F6" i="19" s="1"/>
  <c r="C12" i="15"/>
  <c r="C13" i="19"/>
  <c r="C6" i="19" s="1"/>
  <c r="B12" i="15"/>
  <c r="B13" i="19"/>
  <c r="B6" i="19" s="1"/>
  <c r="W15" i="18"/>
  <c r="J12" i="15"/>
  <c r="J13" i="19"/>
  <c r="J6" i="19" s="1"/>
  <c r="D12" i="15"/>
  <c r="D13" i="19"/>
  <c r="D6" i="19" s="1"/>
  <c r="N5" i="10"/>
  <c r="B13" i="15"/>
  <c r="B4" i="19"/>
  <c r="P16" i="18"/>
  <c r="V16" i="18"/>
  <c r="U16" i="18"/>
  <c r="N17" i="18"/>
  <c r="O17" i="18"/>
  <c r="F18" i="18"/>
  <c r="D17" i="18"/>
  <c r="C17" i="18"/>
  <c r="E17" i="18"/>
  <c r="L18" i="18"/>
  <c r="M18" i="18" s="1"/>
  <c r="AC14" i="13"/>
  <c r="V15" i="13"/>
  <c r="AB15" i="13"/>
  <c r="AA15" i="13"/>
  <c r="F17" i="13"/>
  <c r="C16" i="13"/>
  <c r="D16" i="13"/>
  <c r="E16" i="13"/>
  <c r="D38" i="9" l="1"/>
  <c r="AC15" i="13"/>
  <c r="U17" i="18"/>
  <c r="P17" i="18"/>
  <c r="W16" i="18"/>
  <c r="N18" i="18"/>
  <c r="O18" i="18"/>
  <c r="C18" i="18"/>
  <c r="D18" i="18"/>
  <c r="E18" i="18"/>
  <c r="L19" i="18"/>
  <c r="M19" i="18" s="1"/>
  <c r="V17" i="18"/>
  <c r="AA16" i="13"/>
  <c r="AB16" i="13"/>
  <c r="V16" i="13"/>
  <c r="F18" i="13"/>
  <c r="C17" i="13"/>
  <c r="D17" i="13"/>
  <c r="E17" i="13"/>
  <c r="U18" i="18" l="1"/>
  <c r="P18" i="18"/>
  <c r="AC16" i="13"/>
  <c r="V18" i="18"/>
  <c r="W18" i="18" s="1"/>
  <c r="D19" i="18"/>
  <c r="E19" i="18"/>
  <c r="C19" i="18"/>
  <c r="L20" i="18"/>
  <c r="M20" i="18" s="1"/>
  <c r="W17" i="18"/>
  <c r="F19" i="18"/>
  <c r="N19" i="18"/>
  <c r="O19" i="18"/>
  <c r="AB17" i="13"/>
  <c r="AA17" i="13"/>
  <c r="V17" i="13"/>
  <c r="F19" i="13"/>
  <c r="C18" i="13"/>
  <c r="D18" i="13"/>
  <c r="E18" i="13"/>
  <c r="V19" i="18" l="1"/>
  <c r="AC17" i="13"/>
  <c r="P19" i="18"/>
  <c r="N20" i="18"/>
  <c r="O20" i="18"/>
  <c r="F20" i="18"/>
  <c r="D20" i="18"/>
  <c r="C20" i="18"/>
  <c r="E20" i="18"/>
  <c r="L21" i="18"/>
  <c r="M21" i="18" s="1"/>
  <c r="U19" i="18"/>
  <c r="W19" i="18" s="1"/>
  <c r="AB18" i="13"/>
  <c r="AA18" i="13"/>
  <c r="F20" i="13"/>
  <c r="C19" i="13"/>
  <c r="D19" i="13"/>
  <c r="E19" i="13"/>
  <c r="V18" i="13"/>
  <c r="I43" i="9"/>
  <c r="C10" i="10"/>
  <c r="D10" i="10"/>
  <c r="E10" i="10"/>
  <c r="F10" i="10"/>
  <c r="G10" i="10"/>
  <c r="H10" i="10"/>
  <c r="I10" i="10"/>
  <c r="J10" i="10"/>
  <c r="K10" i="10"/>
  <c r="L10" i="10"/>
  <c r="M10" i="10"/>
  <c r="B10" i="10"/>
  <c r="B44" i="10"/>
  <c r="C44" i="10"/>
  <c r="D44" i="10"/>
  <c r="E44" i="10"/>
  <c r="F44" i="10"/>
  <c r="G44" i="10"/>
  <c r="H44" i="10"/>
  <c r="I44" i="10"/>
  <c r="J44" i="10"/>
  <c r="K44" i="10"/>
  <c r="L44" i="10"/>
  <c r="M44" i="10"/>
  <c r="N11" i="10"/>
  <c r="D43" i="9"/>
  <c r="N43" i="10"/>
  <c r="N42" i="10"/>
  <c r="N41" i="10"/>
  <c r="N40" i="10"/>
  <c r="N39" i="10"/>
  <c r="N36" i="10"/>
  <c r="N13" i="19" s="1"/>
  <c r="N38" i="10"/>
  <c r="N11" i="19" s="1"/>
  <c r="N37" i="10"/>
  <c r="N30" i="10"/>
  <c r="N8" i="19" s="1"/>
  <c r="N29" i="10"/>
  <c r="N28" i="10"/>
  <c r="N27" i="10"/>
  <c r="N26" i="10"/>
  <c r="N25" i="10"/>
  <c r="N24" i="10"/>
  <c r="N23" i="10"/>
  <c r="N22" i="10"/>
  <c r="N21" i="10"/>
  <c r="N20" i="10"/>
  <c r="N19" i="10"/>
  <c r="N18" i="10"/>
  <c r="N12" i="19" s="1"/>
  <c r="N17" i="10"/>
  <c r="N16" i="10"/>
  <c r="N15" i="10"/>
  <c r="N7" i="19" s="1"/>
  <c r="N14" i="10"/>
  <c r="B3" i="10"/>
  <c r="B40" i="7"/>
  <c r="B42" i="7"/>
  <c r="H2" i="12" l="1"/>
  <c r="L11" i="15"/>
  <c r="L3" i="19"/>
  <c r="M11" i="15"/>
  <c r="M3" i="19"/>
  <c r="J11" i="15"/>
  <c r="J3" i="19"/>
  <c r="H11" i="15"/>
  <c r="H3" i="19"/>
  <c r="E11" i="15"/>
  <c r="E3" i="19"/>
  <c r="K11" i="15"/>
  <c r="K3" i="19"/>
  <c r="G11" i="15"/>
  <c r="G3" i="19"/>
  <c r="D11" i="15"/>
  <c r="D3" i="19"/>
  <c r="N58" i="10"/>
  <c r="N4" i="19"/>
  <c r="C11" i="15"/>
  <c r="C3" i="19"/>
  <c r="I12" i="10"/>
  <c r="I46" i="10" s="1"/>
  <c r="I11" i="15"/>
  <c r="I3" i="19"/>
  <c r="C3" i="10"/>
  <c r="B1" i="19"/>
  <c r="B11" i="15"/>
  <c r="B3" i="19"/>
  <c r="F11" i="15"/>
  <c r="F3" i="19"/>
  <c r="P29" i="10"/>
  <c r="P14" i="19" s="1"/>
  <c r="O29" i="10"/>
  <c r="O14" i="19" s="1"/>
  <c r="N14" i="19"/>
  <c r="N6" i="19" s="1"/>
  <c r="U20" i="18"/>
  <c r="P20" i="18"/>
  <c r="V20" i="18"/>
  <c r="AC18" i="13"/>
  <c r="V19" i="13"/>
  <c r="C21" i="18"/>
  <c r="E21" i="18"/>
  <c r="D21" i="18"/>
  <c r="L22" i="18"/>
  <c r="M22" i="18" s="1"/>
  <c r="F21" i="18"/>
  <c r="N21" i="18"/>
  <c r="O21" i="18"/>
  <c r="M12" i="10"/>
  <c r="L12" i="10"/>
  <c r="D12" i="10"/>
  <c r="F12" i="10"/>
  <c r="K12" i="10"/>
  <c r="G12" i="10"/>
  <c r="B12" i="10"/>
  <c r="J12" i="10"/>
  <c r="H12" i="10"/>
  <c r="E12" i="10"/>
  <c r="AB19" i="13"/>
  <c r="AA19" i="13"/>
  <c r="F21" i="13"/>
  <c r="C20" i="13"/>
  <c r="D20" i="13"/>
  <c r="E20" i="13"/>
  <c r="N24" i="9"/>
  <c r="N10" i="10"/>
  <c r="B44" i="7"/>
  <c r="B43" i="7"/>
  <c r="C12" i="10"/>
  <c r="N44" i="10"/>
  <c r="L16" i="15" l="1"/>
  <c r="W20" i="18"/>
  <c r="F16" i="15"/>
  <c r="J16" i="15"/>
  <c r="H46" i="10"/>
  <c r="H15" i="19" s="1"/>
  <c r="H5" i="19"/>
  <c r="M47" i="10"/>
  <c r="M5" i="19"/>
  <c r="D3" i="10"/>
  <c r="C1" i="19"/>
  <c r="B47" i="10"/>
  <c r="B5" i="19"/>
  <c r="J47" i="10"/>
  <c r="J5" i="19"/>
  <c r="G47" i="10"/>
  <c r="G5" i="19"/>
  <c r="I47" i="10"/>
  <c r="I5" i="19"/>
  <c r="C46" i="10"/>
  <c r="C49" i="10" s="1"/>
  <c r="C17" i="19" s="1"/>
  <c r="C5" i="19"/>
  <c r="K47" i="10"/>
  <c r="K5" i="19"/>
  <c r="H16" i="15"/>
  <c r="D47" i="10"/>
  <c r="D5" i="19"/>
  <c r="D16" i="15"/>
  <c r="F47" i="10"/>
  <c r="F5" i="19"/>
  <c r="N12" i="10"/>
  <c r="N3" i="19"/>
  <c r="E47" i="10"/>
  <c r="E5" i="19"/>
  <c r="L47" i="10"/>
  <c r="L5" i="19"/>
  <c r="I49" i="10"/>
  <c r="I17" i="19" s="1"/>
  <c r="I15" i="19"/>
  <c r="AC19" i="13"/>
  <c r="H47" i="10"/>
  <c r="L46" i="10"/>
  <c r="M46" i="10"/>
  <c r="P21" i="18"/>
  <c r="U21" i="18"/>
  <c r="E22" i="18"/>
  <c r="C22" i="18"/>
  <c r="D22" i="18"/>
  <c r="L23" i="18"/>
  <c r="M23" i="18" s="1"/>
  <c r="O22" i="18"/>
  <c r="N22" i="18"/>
  <c r="V21" i="18"/>
  <c r="F22" i="18"/>
  <c r="E46" i="10"/>
  <c r="K46" i="10"/>
  <c r="B46" i="10"/>
  <c r="G46" i="10"/>
  <c r="J46" i="10"/>
  <c r="F46" i="10"/>
  <c r="D46" i="10"/>
  <c r="C47" i="10"/>
  <c r="AB20" i="13"/>
  <c r="I50" i="10"/>
  <c r="AA20" i="13"/>
  <c r="F22" i="13"/>
  <c r="C21" i="13"/>
  <c r="D21" i="13"/>
  <c r="E21" i="13"/>
  <c r="V20" i="13"/>
  <c r="I17" i="9"/>
  <c r="N17" i="9"/>
  <c r="H50" i="10" l="1"/>
  <c r="H49" i="10"/>
  <c r="H17" i="19" s="1"/>
  <c r="D39" i="9"/>
  <c r="D31" i="9" s="1"/>
  <c r="D50" i="9" s="1"/>
  <c r="C50" i="10"/>
  <c r="E3" i="10"/>
  <c r="D1" i="19"/>
  <c r="N47" i="10"/>
  <c r="N5" i="19"/>
  <c r="C15" i="19"/>
  <c r="N46" i="10"/>
  <c r="N15" i="19" s="1"/>
  <c r="E49" i="10"/>
  <c r="E17" i="19" s="1"/>
  <c r="E15" i="19"/>
  <c r="D49" i="10"/>
  <c r="D17" i="19" s="1"/>
  <c r="D15" i="19"/>
  <c r="F49" i="10"/>
  <c r="F17" i="19" s="1"/>
  <c r="F15" i="19"/>
  <c r="B49" i="10"/>
  <c r="B17" i="19" s="1"/>
  <c r="B15" i="19"/>
  <c r="L49" i="10"/>
  <c r="L17" i="19" s="1"/>
  <c r="L15" i="19"/>
  <c r="M49" i="10"/>
  <c r="M17" i="19" s="1"/>
  <c r="M15" i="19"/>
  <c r="J49" i="10"/>
  <c r="J17" i="19" s="1"/>
  <c r="J15" i="19"/>
  <c r="K49" i="10"/>
  <c r="K17" i="19" s="1"/>
  <c r="K15" i="19"/>
  <c r="G49" i="10"/>
  <c r="G17" i="19" s="1"/>
  <c r="G15" i="19"/>
  <c r="M50" i="10"/>
  <c r="L50" i="10"/>
  <c r="G50" i="10"/>
  <c r="E50" i="10"/>
  <c r="W21" i="18"/>
  <c r="N23" i="18"/>
  <c r="O23" i="18"/>
  <c r="P22" i="18"/>
  <c r="E23" i="18"/>
  <c r="D23" i="18"/>
  <c r="C23" i="18"/>
  <c r="L24" i="18"/>
  <c r="M24" i="18" s="1"/>
  <c r="U22" i="18"/>
  <c r="V22" i="18"/>
  <c r="F23" i="18"/>
  <c r="K50" i="10"/>
  <c r="D17" i="9"/>
  <c r="J50" i="10"/>
  <c r="B50" i="10"/>
  <c r="C6" i="15"/>
  <c r="C17" i="15" s="1"/>
  <c r="D50" i="10"/>
  <c r="F50" i="10"/>
  <c r="H6" i="15"/>
  <c r="H17" i="15" s="1"/>
  <c r="I6" i="15"/>
  <c r="I17" i="15" s="1"/>
  <c r="AA21" i="13"/>
  <c r="AB21" i="13"/>
  <c r="AC20" i="13"/>
  <c r="V21" i="13"/>
  <c r="F23" i="13"/>
  <c r="C22" i="13"/>
  <c r="D22" i="13"/>
  <c r="E22" i="13"/>
  <c r="E6" i="15" l="1"/>
  <c r="E17" i="15" s="1"/>
  <c r="L6" i="15"/>
  <c r="L17" i="15" s="1"/>
  <c r="L24" i="15" s="1"/>
  <c r="M6" i="15"/>
  <c r="M17" i="15" s="1"/>
  <c r="M24" i="15" s="1"/>
  <c r="N50" i="10"/>
  <c r="F3" i="10"/>
  <c r="E1" i="19"/>
  <c r="G6" i="15"/>
  <c r="G17" i="15" s="1"/>
  <c r="G24" i="15" s="1"/>
  <c r="J6" i="15"/>
  <c r="N49" i="10"/>
  <c r="D54" i="9" s="1"/>
  <c r="D56" i="9" s="1"/>
  <c r="I53" i="9" s="1"/>
  <c r="K6" i="15"/>
  <c r="W22" i="18"/>
  <c r="U23" i="18"/>
  <c r="P23" i="18"/>
  <c r="N24" i="18"/>
  <c r="O24" i="18"/>
  <c r="D24" i="18"/>
  <c r="C24" i="18"/>
  <c r="E24" i="18"/>
  <c r="L25" i="18"/>
  <c r="M25" i="18" s="1"/>
  <c r="F24" i="18"/>
  <c r="F25" i="18" s="1"/>
  <c r="V23" i="18"/>
  <c r="AC21" i="13"/>
  <c r="C24" i="15"/>
  <c r="H24" i="15"/>
  <c r="I24" i="15"/>
  <c r="E24" i="15"/>
  <c r="D6" i="15"/>
  <c r="D17" i="15" s="1"/>
  <c r="F6" i="15"/>
  <c r="F17" i="15" s="1"/>
  <c r="B6" i="15"/>
  <c r="B17" i="15" s="1"/>
  <c r="V22" i="13"/>
  <c r="AA22" i="13"/>
  <c r="AB22" i="13"/>
  <c r="F24" i="13"/>
  <c r="C23" i="13"/>
  <c r="D23" i="13"/>
  <c r="E23" i="13"/>
  <c r="G3" i="10" l="1"/>
  <c r="F1" i="19"/>
  <c r="K17" i="15"/>
  <c r="K24" i="15" s="1"/>
  <c r="J17" i="15"/>
  <c r="J24" i="15" s="1"/>
  <c r="N17" i="19"/>
  <c r="N56" i="10"/>
  <c r="W23" i="18"/>
  <c r="V24" i="18"/>
  <c r="U24" i="18"/>
  <c r="P24" i="18"/>
  <c r="F24" i="15"/>
  <c r="C25" i="18"/>
  <c r="D25" i="18"/>
  <c r="E25" i="18"/>
  <c r="L26" i="18"/>
  <c r="M26" i="18" s="1"/>
  <c r="I25" i="18"/>
  <c r="N25" i="18"/>
  <c r="S25" i="18" s="1"/>
  <c r="O25" i="18"/>
  <c r="Q25" i="18"/>
  <c r="R25" i="18" s="1"/>
  <c r="D24" i="15"/>
  <c r="N6" i="15"/>
  <c r="AA23" i="13"/>
  <c r="AB23" i="13"/>
  <c r="AC22" i="13"/>
  <c r="V23" i="13"/>
  <c r="F25" i="13"/>
  <c r="I8" i="9" s="1"/>
  <c r="C24" i="13"/>
  <c r="D24" i="13"/>
  <c r="E24" i="13"/>
  <c r="N17" i="15" l="1"/>
  <c r="N60" i="10" s="1"/>
  <c r="H3" i="10"/>
  <c r="G1" i="19"/>
  <c r="W24" i="18"/>
  <c r="O7" i="10"/>
  <c r="B24" i="15"/>
  <c r="B25" i="15" s="1"/>
  <c r="C4" i="15" s="1"/>
  <c r="C25" i="15" s="1"/>
  <c r="D4" i="15" s="1"/>
  <c r="D25" i="15" s="1"/>
  <c r="E4" i="15" s="1"/>
  <c r="E25" i="15" s="1"/>
  <c r="F4" i="15" s="1"/>
  <c r="F25" i="15" s="1"/>
  <c r="G4" i="15" s="1"/>
  <c r="G25" i="15" s="1"/>
  <c r="H4" i="15" s="1"/>
  <c r="H25" i="15" s="1"/>
  <c r="I4" i="15" s="1"/>
  <c r="I25" i="15" s="1"/>
  <c r="J4" i="15" s="1"/>
  <c r="J25" i="15" s="1"/>
  <c r="K4" i="15" s="1"/>
  <c r="K25" i="15" s="1"/>
  <c r="L4" i="15" s="1"/>
  <c r="L25" i="15" s="1"/>
  <c r="M4" i="15" s="1"/>
  <c r="M25" i="15" s="1"/>
  <c r="O4" i="15" s="1"/>
  <c r="N26" i="18"/>
  <c r="O26" i="18"/>
  <c r="E26" i="18"/>
  <c r="D26" i="18"/>
  <c r="C26" i="18"/>
  <c r="L27" i="18"/>
  <c r="M27" i="18" s="1"/>
  <c r="U25" i="18"/>
  <c r="X25" i="18" s="1"/>
  <c r="V25" i="18"/>
  <c r="J25" i="18"/>
  <c r="P25" i="18"/>
  <c r="F26" i="18"/>
  <c r="AC23" i="13"/>
  <c r="AA24" i="13"/>
  <c r="V24" i="13"/>
  <c r="Y25" i="13"/>
  <c r="AB24" i="13"/>
  <c r="F26" i="13"/>
  <c r="C25" i="13"/>
  <c r="D25" i="13"/>
  <c r="O59" i="10" s="1"/>
  <c r="E25" i="13"/>
  <c r="I25" i="13"/>
  <c r="O4" i="10" s="1"/>
  <c r="I3" i="10" l="1"/>
  <c r="H1" i="19"/>
  <c r="U26" i="18"/>
  <c r="P26" i="18"/>
  <c r="AA25" i="13"/>
  <c r="O13" i="15"/>
  <c r="D5" i="9"/>
  <c r="D4" i="9" s="1"/>
  <c r="D29" i="9" s="1"/>
  <c r="AC24" i="13"/>
  <c r="V26" i="18"/>
  <c r="F27" i="18"/>
  <c r="C27" i="18"/>
  <c r="D27" i="18"/>
  <c r="E27" i="18"/>
  <c r="L28" i="18"/>
  <c r="M28" i="18" s="1"/>
  <c r="W25" i="18"/>
  <c r="Z25" i="18" s="1"/>
  <c r="Y25" i="18"/>
  <c r="N27" i="18"/>
  <c r="O27" i="18"/>
  <c r="V25" i="13"/>
  <c r="AB25" i="13"/>
  <c r="J25" i="13"/>
  <c r="O5" i="10" s="1"/>
  <c r="F27" i="13"/>
  <c r="C26" i="13"/>
  <c r="D26" i="13"/>
  <c r="E26" i="13"/>
  <c r="O10" i="10" l="1"/>
  <c r="O36" i="10"/>
  <c r="O13" i="19" s="1"/>
  <c r="O6" i="19" s="1"/>
  <c r="J3" i="10"/>
  <c r="I1" i="19"/>
  <c r="D51" i="9"/>
  <c r="D52" i="9" s="1"/>
  <c r="N57" i="10"/>
  <c r="P27" i="18"/>
  <c r="U27" i="18"/>
  <c r="AD25" i="13"/>
  <c r="O11" i="10" s="1"/>
  <c r="V27" i="18"/>
  <c r="W26" i="18"/>
  <c r="C28" i="18"/>
  <c r="D28" i="18"/>
  <c r="E28" i="18"/>
  <c r="L29" i="18"/>
  <c r="M29" i="18" s="1"/>
  <c r="F28" i="18"/>
  <c r="N28" i="18"/>
  <c r="O28" i="18"/>
  <c r="AC25" i="13"/>
  <c r="AF25" i="13" s="1"/>
  <c r="AE25" i="13"/>
  <c r="AB26" i="13"/>
  <c r="AA26" i="13"/>
  <c r="V26" i="13"/>
  <c r="F28" i="13"/>
  <c r="C27" i="13"/>
  <c r="D27" i="13"/>
  <c r="E27" i="13"/>
  <c r="O58" i="10" l="1"/>
  <c r="O4" i="19"/>
  <c r="O11" i="15"/>
  <c r="O16" i="15" s="1"/>
  <c r="I39" i="9" s="1"/>
  <c r="O3" i="19"/>
  <c r="K3" i="10"/>
  <c r="J1" i="19"/>
  <c r="O12" i="15"/>
  <c r="I38" i="9" s="1"/>
  <c r="O44" i="10"/>
  <c r="W27" i="18"/>
  <c r="O12" i="10"/>
  <c r="V28" i="18"/>
  <c r="U28" i="18"/>
  <c r="P28" i="18"/>
  <c r="D29" i="18"/>
  <c r="E29" i="18"/>
  <c r="C29" i="18"/>
  <c r="L30" i="18"/>
  <c r="M30" i="18" s="1"/>
  <c r="F29" i="18"/>
  <c r="O29" i="18"/>
  <c r="N29" i="18"/>
  <c r="AC26" i="13"/>
  <c r="AB27" i="13"/>
  <c r="V27" i="13"/>
  <c r="AA27" i="13"/>
  <c r="F29" i="13"/>
  <c r="C28" i="13"/>
  <c r="D28" i="13"/>
  <c r="E28" i="13"/>
  <c r="O47" i="10" l="1"/>
  <c r="O5" i="19"/>
  <c r="I31" i="9"/>
  <c r="I50" i="9" s="1"/>
  <c r="L3" i="10"/>
  <c r="K1" i="19"/>
  <c r="O46" i="10"/>
  <c r="W28" i="18"/>
  <c r="AC27" i="13"/>
  <c r="V29" i="18"/>
  <c r="C30" i="18"/>
  <c r="D30" i="18"/>
  <c r="E30" i="18"/>
  <c r="L31" i="18"/>
  <c r="M31" i="18" s="1"/>
  <c r="N30" i="18"/>
  <c r="O30" i="18"/>
  <c r="P29" i="18"/>
  <c r="F30" i="18"/>
  <c r="U29" i="18"/>
  <c r="AB28" i="13"/>
  <c r="V29" i="13"/>
  <c r="AA28" i="13"/>
  <c r="F30" i="13"/>
  <c r="C29" i="13"/>
  <c r="D29" i="13"/>
  <c r="E29" i="13"/>
  <c r="V28" i="13"/>
  <c r="O48" i="10" l="1"/>
  <c r="O16" i="19" s="1"/>
  <c r="O15" i="19"/>
  <c r="M3" i="10"/>
  <c r="L1" i="19"/>
  <c r="O49" i="10"/>
  <c r="O17" i="19" s="1"/>
  <c r="P30" i="18"/>
  <c r="W29" i="18"/>
  <c r="AC28" i="13"/>
  <c r="AB29" i="13"/>
  <c r="U30" i="18"/>
  <c r="F31" i="18"/>
  <c r="V30" i="18"/>
  <c r="O31" i="18"/>
  <c r="N31" i="18"/>
  <c r="C31" i="18"/>
  <c r="E31" i="18"/>
  <c r="D31" i="18"/>
  <c r="L32" i="18"/>
  <c r="M32" i="18" s="1"/>
  <c r="AA29" i="13"/>
  <c r="F31" i="13"/>
  <c r="C30" i="13"/>
  <c r="D30" i="13"/>
  <c r="E30" i="13"/>
  <c r="B2" i="9" l="1"/>
  <c r="M1" i="19"/>
  <c r="I54" i="9"/>
  <c r="I56" i="9" s="1"/>
  <c r="O56" i="10" s="1"/>
  <c r="O50" i="10"/>
  <c r="O6" i="15"/>
  <c r="O17" i="15" s="1"/>
  <c r="N53" i="9"/>
  <c r="N43" i="9"/>
  <c r="W30" i="18"/>
  <c r="AC29" i="13"/>
  <c r="C32" i="18"/>
  <c r="E32" i="18"/>
  <c r="D32" i="18"/>
  <c r="L33" i="18"/>
  <c r="M33" i="18" s="1"/>
  <c r="V31" i="18"/>
  <c r="P31" i="18"/>
  <c r="F32" i="18"/>
  <c r="O32" i="18"/>
  <c r="N32" i="18"/>
  <c r="U31" i="18"/>
  <c r="AA30" i="13"/>
  <c r="V30" i="13"/>
  <c r="AB30" i="13"/>
  <c r="F32" i="13"/>
  <c r="C31" i="13"/>
  <c r="D31" i="13"/>
  <c r="E31" i="13"/>
  <c r="O24" i="15" l="1"/>
  <c r="O25" i="15" s="1"/>
  <c r="O60" i="10"/>
  <c r="U32" i="18"/>
  <c r="AC30" i="13"/>
  <c r="N33" i="18"/>
  <c r="O33" i="18"/>
  <c r="C33" i="18"/>
  <c r="D33" i="18"/>
  <c r="E33" i="18"/>
  <c r="L34" i="18"/>
  <c r="M34" i="18" s="1"/>
  <c r="W31" i="18"/>
  <c r="P32" i="18"/>
  <c r="F33" i="18"/>
  <c r="V32" i="18"/>
  <c r="AB31" i="13"/>
  <c r="P4" i="15"/>
  <c r="I5" i="9"/>
  <c r="I4" i="9" s="1"/>
  <c r="I29" i="9" s="1"/>
  <c r="AA31" i="13"/>
  <c r="V31" i="13"/>
  <c r="F33" i="13"/>
  <c r="C32" i="13"/>
  <c r="D32" i="13"/>
  <c r="E32" i="13"/>
  <c r="I51" i="9" l="1"/>
  <c r="I52" i="9" s="1"/>
  <c r="O57" i="10"/>
  <c r="W32" i="18"/>
  <c r="U33" i="18"/>
  <c r="P33" i="18"/>
  <c r="AC31" i="13"/>
  <c r="V33" i="18"/>
  <c r="F34" i="18"/>
  <c r="F35" i="18" s="1"/>
  <c r="O34" i="18"/>
  <c r="N34" i="18"/>
  <c r="D34" i="18"/>
  <c r="C34" i="18"/>
  <c r="E34" i="18"/>
  <c r="L35" i="18"/>
  <c r="M35" i="18" s="1"/>
  <c r="AA32" i="13"/>
  <c r="V32" i="13"/>
  <c r="AB32" i="13"/>
  <c r="F34" i="13"/>
  <c r="C33" i="13"/>
  <c r="D33" i="13"/>
  <c r="E33" i="13"/>
  <c r="W33" i="18" l="1"/>
  <c r="U34" i="18"/>
  <c r="V34" i="18"/>
  <c r="AB33" i="13"/>
  <c r="D35" i="18"/>
  <c r="E35" i="18"/>
  <c r="C35" i="18"/>
  <c r="L36" i="18"/>
  <c r="M36" i="18" s="1"/>
  <c r="N35" i="18"/>
  <c r="O35" i="18"/>
  <c r="P34" i="18"/>
  <c r="V33" i="13"/>
  <c r="AC32" i="13"/>
  <c r="AA33" i="13"/>
  <c r="F35" i="13"/>
  <c r="C34" i="13"/>
  <c r="D34" i="13"/>
  <c r="E34" i="13"/>
  <c r="AC33" i="13" l="1"/>
  <c r="W34" i="18"/>
  <c r="P35" i="18"/>
  <c r="N36" i="18"/>
  <c r="O36" i="18"/>
  <c r="V35" i="18"/>
  <c r="U35" i="18"/>
  <c r="D36" i="18"/>
  <c r="E36" i="18"/>
  <c r="C36" i="18"/>
  <c r="L37" i="18"/>
  <c r="M37" i="18" s="1"/>
  <c r="F36" i="18"/>
  <c r="V34" i="13"/>
  <c r="AA34" i="13"/>
  <c r="AB34" i="13"/>
  <c r="F36" i="13"/>
  <c r="C35" i="13"/>
  <c r="D35" i="13"/>
  <c r="E35" i="13"/>
  <c r="U36" i="18" l="1"/>
  <c r="AC34" i="13"/>
  <c r="V36" i="18"/>
  <c r="P36" i="18"/>
  <c r="AB35" i="13"/>
  <c r="W36" i="18"/>
  <c r="W35" i="18"/>
  <c r="D37" i="18"/>
  <c r="C37" i="18"/>
  <c r="E37" i="18"/>
  <c r="L38" i="18"/>
  <c r="M38" i="18" s="1"/>
  <c r="I37" i="18"/>
  <c r="F37" i="18"/>
  <c r="F38" i="18" s="1"/>
  <c r="O37" i="18"/>
  <c r="N37" i="18"/>
  <c r="S37" i="18" s="1"/>
  <c r="Q37" i="18"/>
  <c r="R37" i="18" s="1"/>
  <c r="V35" i="13"/>
  <c r="AA35" i="13"/>
  <c r="F37" i="13"/>
  <c r="N8" i="9" s="1"/>
  <c r="C36" i="13"/>
  <c r="D36" i="13"/>
  <c r="E36" i="13"/>
  <c r="AC35" i="13" l="1"/>
  <c r="N38" i="18"/>
  <c r="O38" i="18"/>
  <c r="V37" i="18"/>
  <c r="J37" i="18"/>
  <c r="E38" i="18"/>
  <c r="C38" i="18"/>
  <c r="D38" i="18"/>
  <c r="L39" i="18"/>
  <c r="M39" i="18" s="1"/>
  <c r="U37" i="18"/>
  <c r="X37" i="18" s="1"/>
  <c r="P37" i="18"/>
  <c r="P7" i="10"/>
  <c r="P6" i="10"/>
  <c r="V36" i="13"/>
  <c r="AA36" i="13"/>
  <c r="Y37" i="13"/>
  <c r="AB36" i="13"/>
  <c r="F38" i="13"/>
  <c r="C37" i="13"/>
  <c r="D37" i="13"/>
  <c r="E37" i="13"/>
  <c r="I37" i="13"/>
  <c r="P4" i="10" s="1"/>
  <c r="P13" i="15" l="1"/>
  <c r="P59" i="10"/>
  <c r="U38" i="18"/>
  <c r="P38" i="18"/>
  <c r="W37" i="18"/>
  <c r="Z37" i="18" s="1"/>
  <c r="Y37" i="18"/>
  <c r="C39" i="18"/>
  <c r="D39" i="18"/>
  <c r="E39" i="18"/>
  <c r="L40" i="18"/>
  <c r="M40" i="18" s="1"/>
  <c r="O39" i="18"/>
  <c r="N39" i="18"/>
  <c r="V38" i="18"/>
  <c r="F39" i="18"/>
  <c r="AC36" i="13"/>
  <c r="AA37" i="13"/>
  <c r="AD37" i="13" s="1"/>
  <c r="P11" i="10" s="1"/>
  <c r="AB37" i="13"/>
  <c r="J37" i="13"/>
  <c r="P5" i="10" s="1"/>
  <c r="F39" i="13"/>
  <c r="C38" i="13"/>
  <c r="D38" i="13"/>
  <c r="E38" i="13"/>
  <c r="V37" i="13"/>
  <c r="P58" i="10" l="1"/>
  <c r="P4" i="19"/>
  <c r="P10" i="10"/>
  <c r="P36" i="10"/>
  <c r="P13" i="19" s="1"/>
  <c r="P6" i="19" s="1"/>
  <c r="U39" i="18"/>
  <c r="F40" i="18"/>
  <c r="F41" i="18" s="1"/>
  <c r="V39" i="18"/>
  <c r="N40" i="18"/>
  <c r="O40" i="18"/>
  <c r="W38" i="18"/>
  <c r="E40" i="18"/>
  <c r="C40" i="18"/>
  <c r="D40" i="18"/>
  <c r="L41" i="18"/>
  <c r="M41" i="18" s="1"/>
  <c r="P39" i="18"/>
  <c r="AC37" i="13"/>
  <c r="AF37" i="13" s="1"/>
  <c r="AE37" i="13"/>
  <c r="P12" i="10"/>
  <c r="P5" i="19" s="1"/>
  <c r="AA38" i="13"/>
  <c r="V38" i="13"/>
  <c r="AB38" i="13"/>
  <c r="F40" i="13"/>
  <c r="C39" i="13"/>
  <c r="D39" i="13"/>
  <c r="E39" i="13"/>
  <c r="P11" i="15" l="1"/>
  <c r="P16" i="15" s="1"/>
  <c r="N39" i="9" s="1"/>
  <c r="P3" i="19"/>
  <c r="P12" i="15"/>
  <c r="N38" i="9" s="1"/>
  <c r="N31" i="9" s="1"/>
  <c r="N50" i="9" s="1"/>
  <c r="P44" i="10"/>
  <c r="P46" i="10" s="1"/>
  <c r="P15" i="19" s="1"/>
  <c r="W39" i="18"/>
  <c r="P40" i="18"/>
  <c r="U40" i="18"/>
  <c r="N41" i="18"/>
  <c r="O41" i="18"/>
  <c r="V40" i="18"/>
  <c r="C41" i="18"/>
  <c r="D41" i="18"/>
  <c r="E41" i="18"/>
  <c r="L42" i="18"/>
  <c r="M42" i="18" s="1"/>
  <c r="P47" i="10"/>
  <c r="AC38" i="13"/>
  <c r="V39" i="13"/>
  <c r="AA39" i="13"/>
  <c r="AB39" i="13"/>
  <c r="F41" i="13"/>
  <c r="C40" i="13"/>
  <c r="D40" i="13"/>
  <c r="E40" i="13"/>
  <c r="P41" i="18" l="1"/>
  <c r="P48" i="10"/>
  <c r="C42" i="18"/>
  <c r="D42" i="18"/>
  <c r="E42" i="18"/>
  <c r="L43" i="18"/>
  <c r="M43" i="18" s="1"/>
  <c r="N42" i="18"/>
  <c r="O42" i="18"/>
  <c r="W40" i="18"/>
  <c r="U41" i="18"/>
  <c r="F42" i="18"/>
  <c r="F43" i="18" s="1"/>
  <c r="V41" i="18"/>
  <c r="AC39" i="13"/>
  <c r="AA40" i="13"/>
  <c r="AB40" i="13"/>
  <c r="F42" i="13"/>
  <c r="C41" i="13"/>
  <c r="D41" i="13"/>
  <c r="E41" i="13"/>
  <c r="V40" i="13"/>
  <c r="P49" i="10" l="1"/>
  <c r="P16" i="19"/>
  <c r="P42" i="18"/>
  <c r="N54" i="9"/>
  <c r="N56" i="9" s="1"/>
  <c r="P56" i="10" s="1"/>
  <c r="P6" i="15"/>
  <c r="P17" i="15" s="1"/>
  <c r="P60" i="10" s="1"/>
  <c r="W41" i="18"/>
  <c r="N43" i="18"/>
  <c r="O43" i="18"/>
  <c r="U42" i="18"/>
  <c r="D43" i="18"/>
  <c r="E43" i="18"/>
  <c r="F44" i="18"/>
  <c r="C43" i="18"/>
  <c r="L44" i="18"/>
  <c r="M44" i="18" s="1"/>
  <c r="V42" i="18"/>
  <c r="AC40" i="13"/>
  <c r="V41" i="13"/>
  <c r="AB41" i="13"/>
  <c r="AA41" i="13"/>
  <c r="F43" i="13"/>
  <c r="C42" i="13"/>
  <c r="D42" i="13"/>
  <c r="E42" i="13"/>
  <c r="P50" i="10" l="1"/>
  <c r="P17" i="19"/>
  <c r="U43" i="18"/>
  <c r="P43" i="18"/>
  <c r="P24" i="15"/>
  <c r="P25" i="15" s="1"/>
  <c r="N5" i="9" s="1"/>
  <c r="N4" i="9" s="1"/>
  <c r="N29" i="9" s="1"/>
  <c r="P14" i="15"/>
  <c r="V43" i="18"/>
  <c r="W43" i="18" s="1"/>
  <c r="W42" i="18"/>
  <c r="N44" i="18"/>
  <c r="O44" i="18"/>
  <c r="C44" i="18"/>
  <c r="D44" i="18"/>
  <c r="E44" i="18"/>
  <c r="L45" i="18"/>
  <c r="M45" i="18" s="1"/>
  <c r="AB42" i="13"/>
  <c r="AA42" i="13"/>
  <c r="AC41" i="13"/>
  <c r="V42" i="13"/>
  <c r="F44" i="13"/>
  <c r="C43" i="13"/>
  <c r="D43" i="13"/>
  <c r="E43" i="13"/>
  <c r="N51" i="9" l="1"/>
  <c r="N52" i="9" s="1"/>
  <c r="P57" i="10"/>
  <c r="AA43" i="13"/>
  <c r="P44" i="18"/>
  <c r="AC42" i="13"/>
  <c r="N45" i="18"/>
  <c r="O45" i="18"/>
  <c r="D45" i="18"/>
  <c r="E45" i="18"/>
  <c r="C45" i="18"/>
  <c r="L46" i="18"/>
  <c r="M46" i="18" s="1"/>
  <c r="V44" i="18"/>
  <c r="F45" i="18"/>
  <c r="U44" i="18"/>
  <c r="V43" i="13"/>
  <c r="AB43" i="13"/>
  <c r="AC43" i="13" s="1"/>
  <c r="F45" i="13"/>
  <c r="C44" i="13"/>
  <c r="D44" i="13"/>
  <c r="E44" i="13"/>
  <c r="U45" i="18" l="1"/>
  <c r="V45" i="18"/>
  <c r="V44" i="13"/>
  <c r="P45" i="18"/>
  <c r="W44" i="18"/>
  <c r="C46" i="18"/>
  <c r="E46" i="18"/>
  <c r="D46" i="18"/>
  <c r="L47" i="18"/>
  <c r="M47" i="18" s="1"/>
  <c r="O46" i="18"/>
  <c r="N46" i="18"/>
  <c r="F46" i="18"/>
  <c r="AA44" i="13"/>
  <c r="AB44" i="13"/>
  <c r="F46" i="13"/>
  <c r="C45" i="13"/>
  <c r="AB45" i="13" s="1"/>
  <c r="D45" i="13"/>
  <c r="E45" i="13"/>
  <c r="W45" i="18" l="1"/>
  <c r="V45" i="13"/>
  <c r="AC44" i="13"/>
  <c r="AA45" i="13"/>
  <c r="AC45" i="13" s="1"/>
  <c r="P46" i="18"/>
  <c r="U46" i="18"/>
  <c r="N47" i="18"/>
  <c r="O47" i="18"/>
  <c r="D47" i="18"/>
  <c r="E47" i="18"/>
  <c r="C47" i="18"/>
  <c r="L48" i="18"/>
  <c r="M48" i="18" s="1"/>
  <c r="V46" i="18"/>
  <c r="F47" i="18"/>
  <c r="F47" i="13"/>
  <c r="C46" i="13"/>
  <c r="D46" i="13"/>
  <c r="E46" i="13"/>
  <c r="U47" i="18" l="1"/>
  <c r="V46" i="13"/>
  <c r="P47" i="18"/>
  <c r="AA46" i="13"/>
  <c r="AB46" i="13"/>
  <c r="V47" i="18"/>
  <c r="W46" i="18"/>
  <c r="N48" i="18"/>
  <c r="O48" i="18"/>
  <c r="D48" i="18"/>
  <c r="C48" i="18"/>
  <c r="E48" i="18"/>
  <c r="L49" i="18"/>
  <c r="M49" i="18" s="1"/>
  <c r="F48" i="18"/>
  <c r="F49" i="18" s="1"/>
  <c r="F48" i="13"/>
  <c r="C47" i="13"/>
  <c r="D47" i="13"/>
  <c r="E47" i="13"/>
  <c r="W47" i="18" l="1"/>
  <c r="AC46" i="13"/>
  <c r="V48" i="18"/>
  <c r="U48" i="18"/>
  <c r="P48" i="18"/>
  <c r="E49" i="18"/>
  <c r="C49" i="18"/>
  <c r="D49" i="18"/>
  <c r="L50" i="18"/>
  <c r="M50" i="18" s="1"/>
  <c r="I49" i="18"/>
  <c r="N49" i="18"/>
  <c r="S49" i="18" s="1"/>
  <c r="O49" i="18"/>
  <c r="Q49" i="18"/>
  <c r="R49" i="18" s="1"/>
  <c r="V47" i="13"/>
  <c r="AB47" i="13"/>
  <c r="AA47" i="13"/>
  <c r="F49" i="13"/>
  <c r="C48" i="13"/>
  <c r="D48" i="13"/>
  <c r="E48" i="13"/>
  <c r="W48" i="18" l="1"/>
  <c r="AB48" i="13"/>
  <c r="O50" i="18"/>
  <c r="N50" i="18"/>
  <c r="U49" i="18"/>
  <c r="X49" i="18" s="1"/>
  <c r="V49" i="18"/>
  <c r="J49" i="18"/>
  <c r="E50" i="18"/>
  <c r="C50" i="18"/>
  <c r="D50" i="18"/>
  <c r="L51" i="18"/>
  <c r="M51" i="18" s="1"/>
  <c r="P49" i="18"/>
  <c r="F50" i="18"/>
  <c r="AA48" i="13"/>
  <c r="F50" i="13"/>
  <c r="C49" i="13"/>
  <c r="D49" i="13"/>
  <c r="E49" i="13"/>
  <c r="I49" i="13"/>
  <c r="Y49" i="13"/>
  <c r="V48" i="13"/>
  <c r="AC47" i="13"/>
  <c r="AC48" i="13" l="1"/>
  <c r="U50" i="18"/>
  <c r="F51" i="18"/>
  <c r="E51" i="18"/>
  <c r="C51" i="18"/>
  <c r="D51" i="18"/>
  <c r="L52" i="18"/>
  <c r="M52" i="18" s="1"/>
  <c r="W49" i="18"/>
  <c r="Z49" i="18" s="1"/>
  <c r="Y49" i="18"/>
  <c r="O51" i="18"/>
  <c r="N51" i="18"/>
  <c r="V50" i="18"/>
  <c r="P50" i="18"/>
  <c r="AB49" i="13"/>
  <c r="AE49" i="13" s="1"/>
  <c r="J49" i="13"/>
  <c r="AA49" i="13"/>
  <c r="AD49" i="13" s="1"/>
  <c r="V49" i="13"/>
  <c r="F51" i="13"/>
  <c r="C50" i="13"/>
  <c r="D50" i="13"/>
  <c r="E50" i="13"/>
  <c r="U51" i="18" l="1"/>
  <c r="V51" i="18"/>
  <c r="AC49" i="13"/>
  <c r="AF49" i="13" s="1"/>
  <c r="O52" i="18"/>
  <c r="N52" i="18"/>
  <c r="C52" i="18"/>
  <c r="E52" i="18"/>
  <c r="D52" i="18"/>
  <c r="L53" i="18"/>
  <c r="M53" i="18" s="1"/>
  <c r="W50" i="18"/>
  <c r="P51" i="18"/>
  <c r="F52" i="18"/>
  <c r="F53" i="18" s="1"/>
  <c r="AA50" i="13"/>
  <c r="AB50" i="13"/>
  <c r="F52" i="13"/>
  <c r="C51" i="13"/>
  <c r="D51" i="13"/>
  <c r="E51" i="13"/>
  <c r="V50" i="13"/>
  <c r="W51" i="18" l="1"/>
  <c r="U52" i="18"/>
  <c r="AB51" i="13"/>
  <c r="AC50" i="13"/>
  <c r="O53" i="18"/>
  <c r="N53" i="18"/>
  <c r="V52" i="18"/>
  <c r="C53" i="18"/>
  <c r="D53" i="18"/>
  <c r="E53" i="18"/>
  <c r="L54" i="18"/>
  <c r="M54" i="18" s="1"/>
  <c r="P52" i="18"/>
  <c r="F53" i="13"/>
  <c r="C52" i="13"/>
  <c r="D52" i="13"/>
  <c r="E52" i="13"/>
  <c r="AA51" i="13"/>
  <c r="V51" i="13"/>
  <c r="AC51" i="13" l="1"/>
  <c r="V53" i="18"/>
  <c r="W52" i="18"/>
  <c r="E54" i="18"/>
  <c r="C54" i="18"/>
  <c r="D54" i="18"/>
  <c r="L55" i="18"/>
  <c r="M55" i="18" s="1"/>
  <c r="N54" i="18"/>
  <c r="O54" i="18"/>
  <c r="F54" i="18"/>
  <c r="P53" i="18"/>
  <c r="U53" i="18"/>
  <c r="V52" i="13"/>
  <c r="AA52" i="13"/>
  <c r="AB52" i="13"/>
  <c r="F54" i="13"/>
  <c r="C53" i="13"/>
  <c r="D53" i="13"/>
  <c r="E53" i="13"/>
  <c r="W53" i="18" l="1"/>
  <c r="P54" i="18"/>
  <c r="V53" i="13"/>
  <c r="U54" i="18"/>
  <c r="V54" i="18"/>
  <c r="C55" i="18"/>
  <c r="D55" i="18"/>
  <c r="E55" i="18"/>
  <c r="L56" i="18"/>
  <c r="M56" i="18" s="1"/>
  <c r="O55" i="18"/>
  <c r="N55" i="18"/>
  <c r="F55" i="18"/>
  <c r="AC52" i="13"/>
  <c r="AA53" i="13"/>
  <c r="AB53" i="13"/>
  <c r="F55" i="13"/>
  <c r="C54" i="13"/>
  <c r="D54" i="13"/>
  <c r="E54" i="13"/>
  <c r="W54" i="18" l="1"/>
  <c r="AB54" i="13"/>
  <c r="F56" i="18"/>
  <c r="N56" i="18"/>
  <c r="O56" i="18"/>
  <c r="D56" i="18"/>
  <c r="E56" i="18"/>
  <c r="C56" i="18"/>
  <c r="L57" i="18"/>
  <c r="M57" i="18" s="1"/>
  <c r="U55" i="18"/>
  <c r="P55" i="18"/>
  <c r="V55" i="18"/>
  <c r="AC53" i="13"/>
  <c r="AA54" i="13"/>
  <c r="V54" i="13"/>
  <c r="F56" i="13"/>
  <c r="C55" i="13"/>
  <c r="D55" i="13"/>
  <c r="E55" i="13"/>
  <c r="AC54" i="13" l="1"/>
  <c r="U56" i="18"/>
  <c r="P56" i="18"/>
  <c r="V55" i="13"/>
  <c r="AB55" i="13"/>
  <c r="V56" i="18"/>
  <c r="W55" i="18"/>
  <c r="N57" i="18"/>
  <c r="O57" i="18"/>
  <c r="C57" i="18"/>
  <c r="D57" i="18"/>
  <c r="E57" i="18"/>
  <c r="L58" i="18"/>
  <c r="M58" i="18" s="1"/>
  <c r="F57" i="18"/>
  <c r="AA55" i="13"/>
  <c r="F57" i="13"/>
  <c r="C56" i="13"/>
  <c r="D56" i="13"/>
  <c r="E56" i="13"/>
  <c r="AC55" i="13" l="1"/>
  <c r="W56" i="18"/>
  <c r="U57" i="18"/>
  <c r="V57" i="18"/>
  <c r="P57" i="18"/>
  <c r="F58" i="18"/>
  <c r="N58" i="18"/>
  <c r="O58" i="18"/>
  <c r="D58" i="18"/>
  <c r="E58" i="18"/>
  <c r="C58" i="18"/>
  <c r="L59" i="18"/>
  <c r="M59" i="18" s="1"/>
  <c r="V56" i="13"/>
  <c r="AA56" i="13"/>
  <c r="AB56" i="13"/>
  <c r="F58" i="13"/>
  <c r="C57" i="13"/>
  <c r="D57" i="13"/>
  <c r="E57" i="13"/>
  <c r="U58" i="18" l="1"/>
  <c r="W57" i="18"/>
  <c r="AC56" i="13"/>
  <c r="P58" i="18"/>
  <c r="V57" i="13"/>
  <c r="AB57" i="13"/>
  <c r="C59" i="18"/>
  <c r="D59" i="18"/>
  <c r="E59" i="18"/>
  <c r="L60" i="18"/>
  <c r="M60" i="18" s="1"/>
  <c r="N59" i="18"/>
  <c r="O59" i="18"/>
  <c r="F59" i="18"/>
  <c r="F60" i="18" s="1"/>
  <c r="V58" i="18"/>
  <c r="AA57" i="13"/>
  <c r="F59" i="13"/>
  <c r="C58" i="13"/>
  <c r="AB58" i="13" s="1"/>
  <c r="D58" i="13"/>
  <c r="E58" i="13"/>
  <c r="AC57" i="13" l="1"/>
  <c r="W58" i="18"/>
  <c r="AA58" i="13"/>
  <c r="AC58" i="13" s="1"/>
  <c r="P59" i="18"/>
  <c r="N60" i="18"/>
  <c r="O60" i="18"/>
  <c r="D60" i="18"/>
  <c r="E60" i="18"/>
  <c r="C60" i="18"/>
  <c r="L61" i="18"/>
  <c r="M61" i="18" s="1"/>
  <c r="U59" i="18"/>
  <c r="V59" i="18"/>
  <c r="V58" i="13"/>
  <c r="F60" i="13"/>
  <c r="C59" i="13"/>
  <c r="D59" i="13"/>
  <c r="E59" i="13"/>
  <c r="AB59" i="13" l="1"/>
  <c r="V60" i="18"/>
  <c r="U60" i="18"/>
  <c r="P60" i="18"/>
  <c r="W59" i="18"/>
  <c r="D61" i="18"/>
  <c r="C61" i="18"/>
  <c r="E61" i="18"/>
  <c r="I61" i="18"/>
  <c r="O61" i="18"/>
  <c r="N61" i="18"/>
  <c r="S61" i="18" s="1"/>
  <c r="Q61" i="18"/>
  <c r="R61" i="18" s="1"/>
  <c r="F61" i="18"/>
  <c r="AA59" i="13"/>
  <c r="V59" i="13"/>
  <c r="F61" i="13"/>
  <c r="C60" i="13"/>
  <c r="D60" i="13"/>
  <c r="E60" i="13"/>
  <c r="AC59" i="13" l="1"/>
  <c r="W60" i="18"/>
  <c r="AB60" i="13"/>
  <c r="P61" i="18"/>
  <c r="V61" i="18"/>
  <c r="J61" i="18"/>
  <c r="U61" i="18"/>
  <c r="X61" i="18" s="1"/>
  <c r="AA60" i="13"/>
  <c r="V60" i="13"/>
  <c r="Y61" i="13"/>
  <c r="C61" i="13"/>
  <c r="J61" i="13" s="1"/>
  <c r="D61" i="13"/>
  <c r="E61" i="13"/>
  <c r="I61" i="13"/>
  <c r="AC60" i="13" l="1"/>
  <c r="AA61" i="13"/>
  <c r="AD61" i="13" s="1"/>
  <c r="W61" i="18"/>
  <c r="Z61" i="18" s="1"/>
  <c r="Y61" i="18"/>
  <c r="V61" i="13"/>
  <c r="AB61" i="13"/>
  <c r="AC61" i="13" l="1"/>
  <c r="AF61" i="13" s="1"/>
  <c r="AE61" i="1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tc={D62D4D39-A9E3-D242-8780-C69B1DBBB291}</author>
    <author>Linus Lehr</author>
  </authors>
  <commentList>
    <comment ref="N15" authorId="0" shapeId="0" xr:uid="{D62D4D39-A9E3-D242-8780-C69B1DBBB291}">
      <text>
        <t xml:space="preserve">[Threaded comment]
Your version of Excel allows you to read this threaded comment; however, any edits to it will get removed if the file is opened in a newer version of Excel. Learn more: https://go.microsoft.com/fwlink/?linkid=870924
Comment:
    Halbieren </t>
      </text>
    </comment>
    <comment ref="A18" authorId="1" shapeId="0" xr:uid="{8F062879-4399-4B4B-937B-135F32FD214C}">
      <text>
        <r>
          <rPr>
            <b/>
            <sz val="10"/>
            <color rgb="FF000000"/>
            <rFont val="Tahoma"/>
            <family val="2"/>
          </rPr>
          <t>Linus Lehr:</t>
        </r>
        <r>
          <rPr>
            <sz val="10"/>
            <color rgb="FF000000"/>
            <rFont val="Tahoma"/>
            <family val="2"/>
          </rPr>
          <t xml:space="preserve">
</t>
        </r>
        <r>
          <rPr>
            <sz val="10"/>
            <color rgb="FF000000"/>
            <rFont val="Tahoma"/>
            <family val="2"/>
          </rPr>
          <t xml:space="preserve">See additional financial accounts for the calc
</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Linus Lehr</author>
  </authors>
  <commentList>
    <comment ref="A12" authorId="0" shapeId="0" xr:uid="{DC027E7F-DE9E-C94B-A3EB-84AAC5C6ACBE}">
      <text>
        <r>
          <rPr>
            <b/>
            <sz val="10"/>
            <color rgb="FF000000"/>
            <rFont val="Tahoma"/>
            <family val="2"/>
          </rPr>
          <t>Linus Lehr:</t>
        </r>
        <r>
          <rPr>
            <sz val="10"/>
            <color rgb="FF000000"/>
            <rFont val="Tahoma"/>
            <family val="2"/>
          </rPr>
          <t xml:space="preserve">
</t>
        </r>
        <r>
          <rPr>
            <sz val="10"/>
            <color rgb="FF000000"/>
            <rFont val="Tahoma"/>
            <family val="2"/>
          </rPr>
          <t xml:space="preserve">See additional financial accounts for the calc
</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tc={53515BB3-1847-AA48-9F6C-8B20E14E5FFA}</author>
  </authors>
  <commentList>
    <comment ref="F15" authorId="0" shapeId="0" xr:uid="{53515BB3-1847-AA48-9F6C-8B20E14E5FFA}">
      <text>
        <t>[Threaded comment]
Your version of Excel allows you to read this threaded comment; however, any edits to it will get removed if the file is opened in a newer version of Excel. Learn more: https://go.microsoft.com/fwlink/?linkid=870924
Comment:
    @Stilz, Vincent kannst du dir mal den stand jetzt angucken? Ich glaube aktuell werden die Produktkosten doppelt berücksichtigt?
Reply:
    Habe ich mit Adjustment for COGS gefixed, aber es geht immer noch nicht auf?</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tc={4553D5FD-D79F-5C4A-B8CC-0B2D98691E4F}</author>
    <author>tc={78B767EB-52C5-0148-8B63-09CAB5062F5F}</author>
    <author>tc={403A1340-1329-6F41-8CE8-C7C8BE6199B9}</author>
  </authors>
  <commentList>
    <comment ref="F1" authorId="0" shapeId="0" xr:uid="{4553D5FD-D79F-5C4A-B8CC-0B2D98691E4F}">
      <text>
        <t>[Threaded comment]
Your version of Excel allows you to read this threaded comment; however, any edits to it will get removed if the file is opened in a newer version of Excel. Learn more: https://go.microsoft.com/fwlink/?linkid=870924
Comment:
    @Stilz, Vincent Die spalte sieht nicht ganz richtig aus</t>
      </text>
    </comment>
    <comment ref="Y13" authorId="1" shapeId="0" xr:uid="{78B767EB-52C5-0148-8B63-09CAB5062F5F}">
      <text>
        <t>[Threaded comment]
Your version of Excel allows you to read this threaded comment; however, any edits to it will get removed if the file is opened in a newer version of Excel. Learn more: https://go.microsoft.com/fwlink/?linkid=870924
Comment:
    @Stilz, Vincent genau um den Betrag geht die Summe nicht auf! Der wird entweder garnicht oder doppelt berücksichtigt</t>
      </text>
    </comment>
    <comment ref="X25" authorId="2" shapeId="0" xr:uid="{403A1340-1329-6F41-8CE8-C7C8BE6199B9}">
      <text>
        <t>[Threaded comment]
Your version of Excel allows you to read this threaded comment; however, any edits to it will get removed if the file is opened in a newer version of Excel. Learn more: https://go.microsoft.com/fwlink/?linkid=870924
Comment:
    Habe das von e17 zu e18 geändert</t>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tc={38A4D150-0100-794B-AC41-EB289319BF1F}</author>
    <author>tc={EEA744FA-D5B9-7540-9BD8-C7E116B98347}</author>
  </authors>
  <commentList>
    <comment ref="F1" authorId="0" shapeId="0" xr:uid="{38A4D150-0100-794B-AC41-EB289319BF1F}">
      <text>
        <t>[Threaded comment]
Your version of Excel allows you to read this threaded comment; however, any edits to it will get removed if the file is opened in a newer version of Excel. Learn more: https://go.microsoft.com/fwlink/?linkid=870924
Comment:
    @Stilz, Vincent Die spalte sieht nicht ganz richtig aus</t>
      </text>
    </comment>
    <comment ref="S13" authorId="1" shapeId="0" xr:uid="{EEA744FA-D5B9-7540-9BD8-C7E116B98347}">
      <text>
        <t>[Threaded comment]
Your version of Excel allows you to read this threaded comment; however, any edits to it will get removed if the file is opened in a newer version of Excel. Learn more: https://go.microsoft.com/fwlink/?linkid=870924
Comment:
    @Stilz, Vincent genau um den Betrag geht die Summe nicht auf! Der wird entweder garnicht oder doppelt berücksichtigt</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<sst xmlns="http://schemas.openxmlformats.org/spreadsheetml/2006/main" count="482" uniqueCount="327">
  <si>
    <t>How to use this template</t>
  </si>
  <si>
    <t>Save the template (XLT file) to your computer. Double-click on it to create a new plan, then follow these steps:</t>
  </si>
  <si>
    <t>Step 1</t>
  </si>
  <si>
    <t>Set a starting point for your projections</t>
  </si>
  <si>
    <t>Start date</t>
  </si>
  <si>
    <t>Step 2</t>
  </si>
  <si>
    <t>Set-up costs</t>
  </si>
  <si>
    <t>Use the set-up costs sheet to calculate the cost of setting up your business.</t>
  </si>
  <si>
    <t>Step 3</t>
  </si>
  <si>
    <t>Profit and loss forecast</t>
  </si>
  <si>
    <t>Forecast your month-by-month profit and loss for the first 12 months of operations.  Enter sales in the month when they're invoiced, rather than the month when they're paid.</t>
  </si>
  <si>
    <t>Step 4</t>
  </si>
  <si>
    <t>Cash flow forecast</t>
  </si>
  <si>
    <t>Forecast your month-by-month cash flow for the first 12 months of operations.  Enter sales revenue in the month when it's received, rather than the month when it's invoiced.</t>
  </si>
  <si>
    <t>Step 5</t>
  </si>
  <si>
    <t>Balance sheet forecast</t>
  </si>
  <si>
    <t>Forecast your balance sheet position at the end of the first 12 months of operation. The balance sheet draws on the figures you've entered in your profit and loss forecast.</t>
  </si>
  <si>
    <t>Step 6</t>
  </si>
  <si>
    <t>Break-even analysis</t>
  </si>
  <si>
    <t>Find out how many sales you need to make in the first 12 months to cover your fixed costs and break even.</t>
  </si>
  <si>
    <t>Tips</t>
  </si>
  <si>
    <t>■</t>
  </si>
  <si>
    <t>Enter figures in any white field. The yellow fields are calculated for you.</t>
  </si>
  <si>
    <t>Enter as much or as little information as you like. The more information you record, the better your analysis.</t>
  </si>
  <si>
    <t>By default, the sheets in this template are locked, so that the formulas cannot be changed. If you are a confident Excel user, you may wish to unlock a sheet and modify it.</t>
  </si>
  <si>
    <r>
      <t xml:space="preserve">Please send any feedback or questions to </t>
    </r>
    <r>
      <rPr>
        <b/>
        <sz val="9"/>
        <rFont val="Arial"/>
        <family val="2"/>
      </rPr>
      <t>cashflow@cba.com.au</t>
    </r>
  </si>
  <si>
    <t>Important information</t>
  </si>
  <si>
    <t>The figures shown in this Financial Forecast spreadsheet are intended as a guide only. It has been prepared without considering your objectives, financial situation or needs. Before acting on the calculations in this spreadsheet, you should consider its appropriateness to your circumstances. The Commonwealth Bank accepts no responsibility for any financial loss resulting from the use of this spreadsheet. We recommend you seek professional advice before acting on the information or calculations contained in it.</t>
  </si>
  <si>
    <t>Setting up the business</t>
  </si>
  <si>
    <t>Accountant's fees</t>
  </si>
  <si>
    <t>Solicitor's fees</t>
  </si>
  <si>
    <t>Business registration</t>
  </si>
  <si>
    <t>Domain name registration</t>
  </si>
  <si>
    <t>Insurance premiums</t>
  </si>
  <si>
    <t>Licences</t>
  </si>
  <si>
    <t>Workers compensation</t>
  </si>
  <si>
    <t>Setting up the premises</t>
  </si>
  <si>
    <t>Lease deposit and advance rent</t>
  </si>
  <si>
    <t>Fitout</t>
  </si>
  <si>
    <t>Utility bonds and connection</t>
  </si>
  <si>
    <t>Stationery and office supplies</t>
  </si>
  <si>
    <t>Plant and equipment</t>
  </si>
  <si>
    <t>Equipment</t>
  </si>
  <si>
    <t>Vehicles</t>
  </si>
  <si>
    <t>Telecommunications</t>
  </si>
  <si>
    <t>Computers and software</t>
  </si>
  <si>
    <t>Starting operations</t>
  </si>
  <si>
    <t>Advertising and promotion</t>
  </si>
  <si>
    <t>Raw materials and supplies</t>
  </si>
  <si>
    <t>Working capital</t>
  </si>
  <si>
    <t>Start-up capital</t>
  </si>
  <si>
    <t>Equity investment</t>
  </si>
  <si>
    <t>Borrowings</t>
  </si>
  <si>
    <t>Total</t>
  </si>
  <si>
    <t>The result</t>
  </si>
  <si>
    <t>Total set-up costs</t>
  </si>
  <si>
    <t>Surplus funds</t>
  </si>
  <si>
    <t>Borrowings required</t>
  </si>
  <si>
    <t>Capitalized R&amp;D Depreciation</t>
  </si>
  <si>
    <t>Loan Repayment</t>
  </si>
  <si>
    <t>7.05% for84 Months</t>
  </si>
  <si>
    <t>https://www.zinsen-berechnen.de/kreditrechner.php?paramid=ius63kdlb3</t>
  </si>
  <si>
    <t>Additional Financing</t>
  </si>
  <si>
    <t>Month</t>
  </si>
  <si>
    <t>Asset 1 Value</t>
  </si>
  <si>
    <t>Asset 1 depreciation</t>
  </si>
  <si>
    <t>Interest Payment</t>
  </si>
  <si>
    <t>Payment to principle</t>
  </si>
  <si>
    <t>YEAR 2 P&amp; L</t>
  </si>
  <si>
    <t>YEAR 3 P&amp;L</t>
  </si>
  <si>
    <t>Totals</t>
  </si>
  <si>
    <t>Rekapitaisierung jahr 2 mit VC @1MIO</t>
  </si>
  <si>
    <t># of devices sold</t>
  </si>
  <si>
    <t>Device Sales</t>
  </si>
  <si>
    <t># of subscriptions billed</t>
  </si>
  <si>
    <t>subscriptions revenue</t>
  </si>
  <si>
    <t>Sales</t>
  </si>
  <si>
    <t>Sales (invoiced)</t>
  </si>
  <si>
    <t>Cost of goods sold</t>
  </si>
  <si>
    <t>Gross profit</t>
  </si>
  <si>
    <t>Expenses</t>
  </si>
  <si>
    <t>Accounting fees</t>
  </si>
  <si>
    <t>Advertising</t>
  </si>
  <si>
    <t>Bank charges</t>
  </si>
  <si>
    <t>Bank interest</t>
  </si>
  <si>
    <t>Depreciation</t>
  </si>
  <si>
    <t>Electricity and gas</t>
  </si>
  <si>
    <t>Equipment hire/lease</t>
  </si>
  <si>
    <t xml:space="preserve">Insurance </t>
  </si>
  <si>
    <t>Legal fees</t>
  </si>
  <si>
    <t xml:space="preserve">Motor vehicle expenses </t>
  </si>
  <si>
    <t>Stationery</t>
  </si>
  <si>
    <t>Rent</t>
  </si>
  <si>
    <t>Repairs and maintenance</t>
  </si>
  <si>
    <t>Security</t>
  </si>
  <si>
    <t>Sundries</t>
  </si>
  <si>
    <t>Transport/courier costs</t>
  </si>
  <si>
    <t xml:space="preserve">Wages </t>
  </si>
  <si>
    <t>Payroll Taxes</t>
  </si>
  <si>
    <t>Business Setup</t>
  </si>
  <si>
    <t>Software, cloud services and website</t>
  </si>
  <si>
    <t>Research and Development</t>
  </si>
  <si>
    <t>Provisions for warranty</t>
  </si>
  <si>
    <t>Telecommunication for devices</t>
  </si>
  <si>
    <t>Capitalized R&amp;D</t>
  </si>
  <si>
    <t>Result</t>
  </si>
  <si>
    <t>Profit / Loss before Tax</t>
  </si>
  <si>
    <t>Gross profit margin</t>
  </si>
  <si>
    <t>Current Income Tax Expense</t>
  </si>
  <si>
    <t>Net Profit</t>
  </si>
  <si>
    <t>Net profit margin</t>
  </si>
  <si>
    <t>KPIs</t>
  </si>
  <si>
    <t>Year 1</t>
  </si>
  <si>
    <t>Year 2</t>
  </si>
  <si>
    <t>Year 3</t>
  </si>
  <si>
    <t>ROE</t>
  </si>
  <si>
    <t>ROA</t>
  </si>
  <si>
    <t># not good see line below for better</t>
  </si>
  <si>
    <t>Inventory Turnover</t>
  </si>
  <si>
    <t>Inventory Turnover physical only</t>
  </si>
  <si>
    <t>CFROI</t>
  </si>
  <si>
    <t>OCF</t>
  </si>
  <si>
    <t>MRR</t>
  </si>
  <si>
    <t>ARR</t>
  </si>
  <si>
    <t>CAC</t>
  </si>
  <si>
    <t>TOTAL</t>
  </si>
  <si>
    <t>Total Year 2</t>
  </si>
  <si>
    <t>Total Year 3</t>
  </si>
  <si>
    <t>EXPENSES</t>
  </si>
  <si>
    <t>Other admin. Expenses</t>
  </si>
  <si>
    <t>EBT</t>
  </si>
  <si>
    <t>Income Tax</t>
  </si>
  <si>
    <t>Cash flow forecast Year 2</t>
  </si>
  <si>
    <t>Cash flow forecast Year 3</t>
  </si>
  <si>
    <t>Starting cash position</t>
  </si>
  <si>
    <t>Cashflow from Operations</t>
  </si>
  <si>
    <t>Net profit</t>
  </si>
  <si>
    <t>Additions to Cash</t>
  </si>
  <si>
    <t>Depreciations</t>
  </si>
  <si>
    <t>Decrease in Accounts Receivable</t>
  </si>
  <si>
    <t>Increase in Accounts Payable</t>
  </si>
  <si>
    <t>VAT Incoming</t>
  </si>
  <si>
    <t>Adjustment for Provisions</t>
  </si>
  <si>
    <t>Adjustment for COGS</t>
  </si>
  <si>
    <t>Subtractions from Cash</t>
  </si>
  <si>
    <t>Increase in Inventory</t>
  </si>
  <si>
    <t>VAT Outgoing</t>
  </si>
  <si>
    <t>Net Cash from Operations</t>
  </si>
  <si>
    <t>Cashflow from Investing</t>
  </si>
  <si>
    <t>Capitalized R+D</t>
  </si>
  <si>
    <t>Cashflow from Financing</t>
  </si>
  <si>
    <t>Additional Investment</t>
  </si>
  <si>
    <t>Change during month</t>
  </si>
  <si>
    <t>Closing cash position</t>
  </si>
  <si>
    <t xml:space="preserve">Balance sheet forecast </t>
  </si>
  <si>
    <t>As at</t>
  </si>
  <si>
    <t>Assets</t>
  </si>
  <si>
    <t>Current assets</t>
  </si>
  <si>
    <t xml:space="preserve">Cash </t>
  </si>
  <si>
    <t xml:space="preserve">Petty cash </t>
  </si>
  <si>
    <t xml:space="preserve">Accounts receivable </t>
  </si>
  <si>
    <t xml:space="preserve">Stock </t>
  </si>
  <si>
    <t xml:space="preserve">Short-term investment </t>
  </si>
  <si>
    <t xml:space="preserve">Prepaid expenses </t>
  </si>
  <si>
    <t xml:space="preserve">Long-term investment </t>
  </si>
  <si>
    <t>Fixed assets</t>
  </si>
  <si>
    <t xml:space="preserve">Land </t>
  </si>
  <si>
    <t xml:space="preserve">Buildings </t>
  </si>
  <si>
    <t xml:space="preserve">Improvements </t>
  </si>
  <si>
    <t xml:space="preserve">Equipment </t>
  </si>
  <si>
    <t xml:space="preserve">Furniture </t>
  </si>
  <si>
    <t xml:space="preserve">Motor/vehicles </t>
  </si>
  <si>
    <t>Intangible Assets</t>
  </si>
  <si>
    <t>Total assets</t>
  </si>
  <si>
    <t>Liabilities</t>
  </si>
  <si>
    <t>Current liabilities</t>
  </si>
  <si>
    <t xml:space="preserve">Accounts payable </t>
  </si>
  <si>
    <t xml:space="preserve">Interest payable </t>
  </si>
  <si>
    <t>Taxes payable</t>
  </si>
  <si>
    <t xml:space="preserve">Income tax </t>
  </si>
  <si>
    <t xml:space="preserve">Sales tax </t>
  </si>
  <si>
    <t xml:space="preserve">Payroll accrual </t>
  </si>
  <si>
    <t>VAT Payable</t>
  </si>
  <si>
    <t>Long-term liabilities</t>
  </si>
  <si>
    <t>y&lt;</t>
  </si>
  <si>
    <t xml:space="preserve">Total liabilities </t>
  </si>
  <si>
    <t>Net assets</t>
  </si>
  <si>
    <t>Owner's equity</t>
  </si>
  <si>
    <t>Retained earnings</t>
  </si>
  <si>
    <t>Current year earnings</t>
  </si>
  <si>
    <t>Capital Increase</t>
  </si>
  <si>
    <t>Total equity (should equal net assets)</t>
  </si>
  <si>
    <t>Market Size</t>
  </si>
  <si>
    <t xml:space="preserve">Sales Forecast </t>
  </si>
  <si>
    <t>Logistical Cost</t>
  </si>
  <si>
    <t>SOM Size</t>
  </si>
  <si>
    <t>First Month Sales</t>
  </si>
  <si>
    <t>Cost per Unit</t>
  </si>
  <si>
    <t xml:space="preserve">Product Price </t>
  </si>
  <si>
    <t xml:space="preserve">Monthly Growth </t>
  </si>
  <si>
    <t>Cummulated Percentage of SOM that would buy at that price (based on survey)</t>
  </si>
  <si>
    <t>CAGR Smart Luggage</t>
  </si>
  <si>
    <t>Share of SOM captured in first 5 years</t>
  </si>
  <si>
    <t>Montly growth using CAGR</t>
  </si>
  <si>
    <t xml:space="preserve">Cummulated Sales to be achieved in first 5 years </t>
  </si>
  <si>
    <t>Growth with Seed Funding</t>
  </si>
  <si>
    <t>Costs</t>
  </si>
  <si>
    <t>Product Price</t>
  </si>
  <si>
    <t>Monthly Year 1</t>
  </si>
  <si>
    <t xml:space="preserve">Our total Cost </t>
  </si>
  <si>
    <t xml:space="preserve">Gross Product Margin </t>
  </si>
  <si>
    <t>Monthly Year 3</t>
  </si>
  <si>
    <t>Product Price excl. VAT</t>
  </si>
  <si>
    <t>Gross Product Margin %</t>
  </si>
  <si>
    <t>Data &amp; Subscription</t>
  </si>
  <si>
    <r>
      <rPr>
        <b/>
        <sz val="14"/>
        <color theme="1"/>
        <rFont val="Aptos Narrow (Body)"/>
      </rPr>
      <t>Private Subscription</t>
    </r>
    <r>
      <rPr>
        <sz val="10"/>
        <rFont val="Arial"/>
        <family val="2"/>
      </rPr>
      <t xml:space="preserve"> </t>
    </r>
  </si>
  <si>
    <t xml:space="preserve">Business Subscription </t>
  </si>
  <si>
    <t>Pay per Day</t>
  </si>
  <si>
    <t xml:space="preserve">Cost per SIM </t>
  </si>
  <si>
    <t>Subscription Price / Year (incl. VAT)</t>
  </si>
  <si>
    <t>Price per Activtaion (incl. VAT)</t>
  </si>
  <si>
    <t>Cost per MB</t>
  </si>
  <si>
    <t>Subscription Price / Month (incl. VAT)</t>
  </si>
  <si>
    <t>Price per Activation (excl. VAT)</t>
  </si>
  <si>
    <t>Data usage per Minute the Tag is activated (in MB)</t>
  </si>
  <si>
    <t>Subscription Price / Year (excl. VAT)</t>
  </si>
  <si>
    <t>Average Cost / Month / Tag</t>
  </si>
  <si>
    <t>Cost per Travel Day</t>
  </si>
  <si>
    <t>Subscription Price / Month (excl. VAT)</t>
  </si>
  <si>
    <t xml:space="preserve">Subscription Margin </t>
  </si>
  <si>
    <t xml:space="preserve">Active Days per Month </t>
  </si>
  <si>
    <t>Allowed Travel Days per Month</t>
  </si>
  <si>
    <t xml:space="preserve">Activation per Month </t>
  </si>
  <si>
    <t>Avergage Revenue per Month</t>
  </si>
  <si>
    <t>Average Cost per Month</t>
  </si>
  <si>
    <t>Warranty rate</t>
  </si>
  <si>
    <t>Subscriber Split</t>
  </si>
  <si>
    <t>Total Subscription Rate</t>
  </si>
  <si>
    <t>Private Subscription Rate (as Share of Total)</t>
  </si>
  <si>
    <t>Business Subscription Rate (as Share of Total)</t>
  </si>
  <si>
    <t>Pay per Day Rate (as Share of Total)</t>
  </si>
  <si>
    <t>Sales (Unit)</t>
  </si>
  <si>
    <t xml:space="preserve">Revenue </t>
  </si>
  <si>
    <t>COGS (€)</t>
  </si>
  <si>
    <t>Product Margin (€)</t>
  </si>
  <si>
    <t>EOM Stock (Units)</t>
  </si>
  <si>
    <t>Restocking Orders (Units)</t>
  </si>
  <si>
    <t>Cost per Order (€)</t>
  </si>
  <si>
    <t>Sales per year (Units)</t>
  </si>
  <si>
    <t>Product Revenue per Year</t>
  </si>
  <si>
    <t>Aggregated Sales per Month</t>
  </si>
  <si>
    <t>Total Sim</t>
  </si>
  <si>
    <t>Active SIM</t>
  </si>
  <si>
    <t>Cost Privat</t>
  </si>
  <si>
    <t>Revenue Privat</t>
  </si>
  <si>
    <t xml:space="preserve">Cost Business </t>
  </si>
  <si>
    <t>Revenue Business</t>
  </si>
  <si>
    <t>Cost Pay per Day</t>
  </si>
  <si>
    <t>Revenue Pay per Day</t>
  </si>
  <si>
    <t xml:space="preserve">Total SIM cost </t>
  </si>
  <si>
    <t>Total Subscribtion Revenue</t>
  </si>
  <si>
    <t>Total Subsription Margin</t>
  </si>
  <si>
    <t>Active SIM per Year</t>
  </si>
  <si>
    <t>Subscription Revenue per Year</t>
  </si>
  <si>
    <t>Total SIM Cost per Year</t>
  </si>
  <si>
    <t xml:space="preserve">Total COGS </t>
  </si>
  <si>
    <t>Total Revenue</t>
  </si>
  <si>
    <t>Gross Margin</t>
  </si>
  <si>
    <t>Total COGS per Year</t>
  </si>
  <si>
    <t>Total Revenue per Year</t>
  </si>
  <si>
    <t>Gross Margin per Year</t>
  </si>
  <si>
    <t>Subscription Revenue</t>
  </si>
  <si>
    <t>Subsription Margin</t>
  </si>
  <si>
    <t>Component</t>
  </si>
  <si>
    <t xml:space="preserve">Cost </t>
  </si>
  <si>
    <t>Link Source</t>
  </si>
  <si>
    <t>GPS Module</t>
  </si>
  <si>
    <t>Shenzhen hapchuang Technology Co.,Ltd</t>
  </si>
  <si>
    <t>Cellular Module</t>
  </si>
  <si>
    <t>Shenzhen Lorida Technology Co., Ltd.</t>
  </si>
  <si>
    <t>Antenna</t>
  </si>
  <si>
    <t>Guangzhou Huadu Datang Communication Antenna Factory</t>
  </si>
  <si>
    <t>CPU</t>
  </si>
  <si>
    <t>Shenzhen Chenpeng Trading Co., Ltd.</t>
  </si>
  <si>
    <t>Battery</t>
  </si>
  <si>
    <t>Shenzhen Enerforce Technology Co., Ltd.</t>
  </si>
  <si>
    <t>Screen</t>
  </si>
  <si>
    <t>Shenzhen Frida LCD Co., Ltd.</t>
  </si>
  <si>
    <t>NFC</t>
  </si>
  <si>
    <t>Guangzhou Youyue Electronic Technology Co., Ltd.</t>
  </si>
  <si>
    <t>Case</t>
  </si>
  <si>
    <t>Rommel Präzsisonsteile GmbH</t>
  </si>
  <si>
    <t>BTLE</t>
  </si>
  <si>
    <t>Shenzhen Minewsemi Co.,Ltd.</t>
  </si>
  <si>
    <t>Micro load cell sensor</t>
  </si>
  <si>
    <t>Changzhou Keling Power Technology Co., Ltd.</t>
  </si>
  <si>
    <t xml:space="preserve">SIM Card </t>
  </si>
  <si>
    <t>Onomondo Pro Plan</t>
  </si>
  <si>
    <t>SIM Card Slot</t>
  </si>
  <si>
    <t>ShenZhen XinNanTian Technology CO.,LTD</t>
  </si>
  <si>
    <t>Audio</t>
  </si>
  <si>
    <t>Guangzhou Yueneng Technology Co., Ltd.</t>
  </si>
  <si>
    <t>PCB</t>
  </si>
  <si>
    <t>Shenzhen Changkeshun Technology Co., Ltd.</t>
  </si>
  <si>
    <t>Lock Mechanism</t>
  </si>
  <si>
    <t>Misc</t>
  </si>
  <si>
    <t>Sling</t>
  </si>
  <si>
    <t>Dongguan Sovetl Special Rope &amp; Webbing Co., Ltd.</t>
  </si>
  <si>
    <t>Component Cost Total:</t>
  </si>
  <si>
    <t>Labour cost / hour:</t>
  </si>
  <si>
    <t>Statista. (2022). Manufacturing labor costs per hour: China, Vietnam, Mexico 2016-202. Available at: https://www.statista.com/statistics/744071/manufacturing-labor-costs-per-hour-china-vietnam-mexico/(Accessed: 12 October 2023).</t>
  </si>
  <si>
    <t>Hours per Product</t>
  </si>
  <si>
    <t>Syntegon Technology GmbH</t>
  </si>
  <si>
    <t xml:space="preserve">Labour Cost Total: </t>
  </si>
  <si>
    <t>Total OEM costbase</t>
  </si>
  <si>
    <t>OEM Margin: 3.5%</t>
  </si>
  <si>
    <t>Shipping cost:</t>
  </si>
  <si>
    <t>Not in the cost, goes seperatly into the P&amp;L</t>
  </si>
  <si>
    <t>Our Total Cost</t>
  </si>
  <si>
    <t>Our gross margin %</t>
  </si>
  <si>
    <t>Interim gross prodcut margin in €</t>
  </si>
  <si>
    <t>VAT 23%</t>
  </si>
  <si>
    <t>Price</t>
  </si>
  <si>
    <t>Final Price incl. VAT</t>
  </si>
  <si>
    <t>Final Price excl. VAT</t>
  </si>
  <si>
    <t>Final Gross Product Margin</t>
  </si>
  <si>
    <t>Final VAT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</si>
</sst>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8">
    <numFmt numFmtId="164" formatCode="_(* #,##0.00_);_(* \(#,##0.00\);_(* &quot;-&quot;??_);_(@_)"/>
    <numFmt numFmtId="165" formatCode="_(&quot;€&quot;* #,##0.00_);_(&quot;€&quot;* \(#,##0.00\);_(&quot;€&quot;* &quot;-&quot;??_);_(@_)"/>
    <numFmt numFmtId="166" formatCode="&quot;$&quot;#,##0;\-&quot;$&quot;#,##0"/>
    <numFmt numFmtId="167" formatCode="mmm"/>
    <numFmt numFmtId="168" formatCode="&quot;$&quot;#,##0.00"/>
    <numFmt numFmtId="169" formatCode="&quot;$&quot;#,##0"/>
    <numFmt numFmtId="170" formatCode="mmmm\ yyyy"/>
    <numFmt numFmtId="171" formatCode="#,##0.00\ &quot;€&quot;"/>
    <numFmt numFmtId="172" formatCode="_-[$€-2]\ * #,##0.00_-;\-[$€-2]\ * #,##0.00_-;_-[$€-2]\ * &quot;-&quot;??_-;_-@_-"/>
    <numFmt numFmtId="173" formatCode="_-[$€-2]\ * #,##0.0000_-;\-[$€-2]\ * #,##0.0000_-;_-[$€-2]\ * &quot;-&quot;??_-;_-@_-"/>
    <numFmt numFmtId="174" formatCode="_-[$€-2]\ * #,##0.0000_-;\-[$€-2]\ * #,##0.0000_-;_-[$€-2]\ * &quot;-&quot;????_-;_-@_-"/>
    <numFmt numFmtId="175" formatCode="_-* #,##0_-;\-* #,##0_-;_-* &quot;-&quot;??_-;_-@_-"/>
    <numFmt numFmtId="176" formatCode="0.000"/>
    <numFmt numFmtId="177" formatCode="_(* #,##0_);_(* \(#,##0\);_(* &quot;-&quot;??_);_(@_)"/>
    <numFmt numFmtId="178" formatCode="0.000%"/>
    <numFmt numFmtId="179" formatCode="0.0%"/>
    <numFmt numFmtId="180" formatCode="_-[$€-2]\ * #,##0.00000_-;\-[$€-2]\ * #,##0.00000_-;_-[$€-2]\ * &quot;-&quot;??_-;_-@_-"/>
    <numFmt numFmtId="181" formatCode="_-* #,##0.00\ _€_-;\-* #,##0.00\ _€_-;_-* &quot;-&quot;??\ _€_-;_-@_-"/>
  </numFmts>
  <fonts count="38" x14ac:knownFonts="1">
    <font>
      <sz val="10"/>
      <name val="Arial"/>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8"/>
      <name val="Arial"/>
      <family val="2"/>
    </font>
    <font>
      <b/>
      <sz val="10"/>
      <name val="Arial"/>
      <family val="2"/>
    </font>
    <font>
      <b/>
      <sz val="12"/>
      <name val="Arial"/>
      <family val="2"/>
    </font>
    <font>
      <b/>
      <sz val="8"/>
      <name val="Arial"/>
      <family val="2"/>
    </font>
    <font>
      <sz val="8"/>
      <name val="Arial"/>
      <family val="2"/>
    </font>
    <font>
      <sz val="10"/>
      <name val="Arial"/>
      <family val="2"/>
    </font>
    <font>
      <b/>
      <sz val="10"/>
      <color indexed="8"/>
      <name val="Arial"/>
      <family val="2"/>
    </font>
    <font>
      <sz val="8"/>
      <color indexed="44"/>
      <name val="Arial"/>
      <family val="2"/>
    </font>
    <font>
      <sz val="9"/>
      <name val="Arial"/>
      <family val="2"/>
    </font>
    <font>
      <b/>
      <sz val="9"/>
      <name val="Arial"/>
      <family val="2"/>
    </font>
    <font>
      <sz val="8"/>
      <color indexed="22"/>
      <name val="Arial"/>
      <family val="2"/>
    </font>
    <font>
      <b/>
      <sz val="8"/>
      <color indexed="12"/>
      <name val="Arial"/>
      <family val="2"/>
    </font>
    <font>
      <sz val="8"/>
      <name val="Arial"/>
      <family val="2"/>
    </font>
    <font>
      <sz val="10"/>
      <name val="Arial"/>
      <family val="2"/>
    </font>
    <font>
      <b/>
      <sz val="12"/>
      <color theme="1"/>
      <name val="Calibri"/>
      <family val="2"/>
      <scheme val="minor"/>
    </font>
    <font>
      <b/>
      <sz val="14"/>
      <color theme="1"/>
      <name val="Calibri"/>
      <family val="2"/>
      <scheme val="minor"/>
    </font>
    <font>
      <b/>
      <sz val="14"/>
      <color theme="1"/>
      <name val="Aptos Narrow (Body)"/>
    </font>
    <font>
      <u/>
      <sz val="10"/>
      <color theme="10"/>
      <name val="Arial"/>
      <family val="2"/>
    </font>
    <font>
      <sz val="11"/>
      <color rgb="FF000000"/>
      <name val="Times New Roman"/>
      <family val="1"/>
    </font>
    <font>
      <sz val="10"/>
      <color rgb="FF000000"/>
      <name val="Tahoma"/>
      <family val="2"/>
    </font>
    <font>
      <i/>
      <sz val="8"/>
      <name val="Arial"/>
      <family val="2"/>
    </font>
    <font>
      <u/>
      <sz val="8"/>
      <name val="Arial"/>
      <family val="2"/>
    </font>
    <font>
      <sz val="12"/>
      <color rgb="FF000000"/>
      <name val="Calibri"/>
      <family val="2"/>
    </font>
    <font>
      <b/>
      <sz val="10"/>
      <color rgb="FF000000"/>
      <name val="Tahoma"/>
      <family val="2"/>
    </font>
    <font>
      <b/>
      <sz val="12"/>
      <color rgb="FF000000"/>
      <name val="Calibri"/>
      <family val="2"/>
    </font>
    <font>
      <sz val="10"/>
      <name val="Arial"/>
      <family val="2"/>
    </font>
    <font>
      <u/>
      <sz val="10"/>
      <name val="Arial"/>
      <family val="2"/>
    </font>
    <font>
      <sz val="12"/>
      <color theme="1"/>
      <name val="Calibri"/>
      <family val="2"/>
    </font>
    <font>
      <b/>
      <sz val="12"/>
      <color theme="0"/>
      <name val="Calibri"/>
      <family val="2"/>
      <scheme val="minor"/>
    </font>
    <font>
      <sz val="10"/>
      <color theme="1"/>
      <name val="Arial"/>
      <family val="2"/>
    </font>
    <font>
      <b/>
      <sz val="10"/>
      <color theme="0"/>
      <name val="Arial"/>
      <family val="2"/>
    </font>
    <font>
      <sz val="12"/>
      <color theme="3"/>
      <name val="Calibri"/>
      <family val="2"/>
      <scheme val="minor"/>
    </font>
    <font>
      <b/>
      <sz val="10"/>
      <color theme="1"/>
      <name val="Arial"/>
      <family val="2"/>
    </font>
  </fonts>
  <fills count="25">
    <fill>
      <patternFill patternType="none"/>
    </fill>
    <fill>
      <patternFill patternType="gray125"/>
    </fill>
    <fill>
      <patternFill patternType="solid">
        <fgColor indexed="26"/>
        <bgColor indexed="64"/>
      </patternFill>
    </fill>
    <fill>
      <patternFill patternType="solid">
        <fgColor indexed="22"/>
        <bgColor indexed="64"/>
      </patternFill>
    </fill>
    <fill>
      <patternFill patternType="solid">
        <fgColor indexed="9"/>
        <bgColor indexed="64"/>
      </patternFill>
    </fill>
    <fill>
      <patternFill patternType="solid">
        <fgColor indexed="51"/>
        <bgColor indexed="64"/>
      </patternFill>
    </fill>
    <fill>
      <patternFill patternType="solid">
        <fgColor indexed="55"/>
        <bgColor indexed="64"/>
      </patternFill>
    </fill>
    <fill>
      <patternFill patternType="solid">
        <fgColor theme="2"/>
        <bgColor indexed="64"/>
      </patternFill>
    </fill>
    <fill>
      <patternFill patternType="solid">
        <fgColor rgb="FF95B4C0"/>
        <bgColor indexed="64"/>
      </patternFill>
    </fill>
    <fill>
      <patternFill patternType="solid">
        <fgColor rgb="FF2E7DCE"/>
        <bgColor indexed="64"/>
      </patternFill>
    </fill>
    <fill>
      <patternFill patternType="solid">
        <fgColor rgb="FF92D050"/>
        <bgColor indexed="64"/>
      </patternFill>
    </fill>
    <fill>
      <patternFill patternType="solid">
        <fgColor theme="2" tint="-9.9978637043366805E-2"/>
        <bgColor indexed="64"/>
      </patternFill>
    </fill>
    <fill>
      <patternFill patternType="solid">
        <fgColor rgb="FFFFFF00"/>
        <bgColor indexed="64"/>
      </patternFill>
    </fill>
    <fill>
      <patternFill patternType="solid">
        <fgColor rgb="FFB1E29F"/>
        <bgColor indexed="64"/>
      </patternFill>
    </fill>
    <fill>
      <patternFill patternType="solid">
        <fgColor rgb="FF91D150"/>
        <bgColor indexed="64"/>
      </patternFill>
    </fill>
    <fill>
      <patternFill patternType="solid">
        <fgColor rgb="FFDDD9C5"/>
        <bgColor indexed="64"/>
      </patternFill>
    </fill>
    <fill>
      <patternFill patternType="solid">
        <fgColor theme="3" tint="0.79998168889431442"/>
        <bgColor indexed="64"/>
      </patternFill>
    </fill>
    <fill>
      <patternFill patternType="solid">
        <fgColor theme="5" tint="0.79998168889431442"/>
        <bgColor indexed="64"/>
      </patternFill>
    </fill>
    <fill>
      <patternFill patternType="solid">
        <fgColor theme="9" tint="0.79998168889431442"/>
        <bgColor indexed="64"/>
      </patternFill>
    </fill>
    <fill>
      <patternFill patternType="solid">
        <fgColor rgb="FFFFFFCC"/>
        <bgColor rgb="FF000000"/>
      </patternFill>
    </fill>
    <fill>
      <patternFill patternType="solid">
        <fgColor theme="3"/>
        <bgColor indexed="64"/>
      </patternFill>
    </fill>
    <fill>
      <patternFill patternType="solid">
        <fgColor theme="8" tint="0.79998168889431442"/>
        <bgColor indexed="64"/>
      </patternFill>
    </fill>
    <fill>
      <patternFill patternType="solid">
        <fgColor rgb="FF00B0F0"/>
        <bgColor indexed="64"/>
      </patternFill>
    </fill>
    <fill>
      <patternFill patternType="solid">
        <fgColor theme="8" tint="0.79998168889431442"/>
        <bgColor theme="8" tint="0.79998168889431442"/>
      </patternFill>
    </fill>
    <fill>
      <patternFill patternType="solid">
        <fgColor theme="8" tint="0.59999389629810485"/>
        <bgColor theme="8" tint="0.59999389629810485"/>
      </patternFill>
    </fill>
  </fills>
  <borders count="51">
    <border>
      <left/>
      <right/>
      <top/>
      <bottom/>
      <diagonal/>
    </border>
    <border>
      <left/>
      <right/>
      <top style="thin">
        <color indexed="22"/>
      </top>
      <bottom/>
      <diagonal/>
    </border>
    <border>
      <left style="thin">
        <color indexed="55"/>
      </left>
      <right/>
      <top style="thin">
        <color indexed="22"/>
      </top>
      <bottom style="thin">
        <color indexed="22"/>
      </bottom>
      <diagonal/>
    </border>
    <border>
      <left style="medium">
        <color indexed="55"/>
      </left>
      <right/>
      <top style="medium">
        <color indexed="55"/>
      </top>
      <bottom/>
      <diagonal/>
    </border>
    <border>
      <left/>
      <right/>
      <top style="medium">
        <color indexed="55"/>
      </top>
      <bottom/>
      <diagonal/>
    </border>
    <border>
      <left/>
      <right style="medium">
        <color indexed="55"/>
      </right>
      <top/>
      <bottom/>
      <diagonal/>
    </border>
    <border>
      <left/>
      <right style="medium">
        <color indexed="55"/>
      </right>
      <top style="medium">
        <color indexed="55"/>
      </top>
      <bottom/>
      <diagonal/>
    </border>
    <border>
      <left style="medium">
        <color indexed="55"/>
      </left>
      <right/>
      <top/>
      <bottom/>
      <diagonal/>
    </border>
    <border>
      <left style="medium">
        <color indexed="55"/>
      </left>
      <right/>
      <top style="thin">
        <color indexed="22"/>
      </top>
      <bottom style="thin">
        <color indexed="22"/>
      </bottom>
      <diagonal/>
    </border>
    <border>
      <left style="thin">
        <color indexed="55"/>
      </left>
      <right/>
      <top style="thin">
        <color indexed="22"/>
      </top>
      <bottom/>
      <diagonal/>
    </border>
    <border>
      <left style="thin">
        <color indexed="55"/>
      </left>
      <right style="thin">
        <color indexed="55"/>
      </right>
      <top style="thin">
        <color indexed="55"/>
      </top>
      <bottom style="thin">
        <color indexed="55"/>
      </bottom>
      <diagonal/>
    </border>
    <border>
      <left style="medium">
        <color indexed="55"/>
      </left>
      <right/>
      <top style="medium">
        <color indexed="8"/>
      </top>
      <bottom style="medium">
        <color indexed="55"/>
      </bottom>
      <diagonal/>
    </border>
    <border>
      <left/>
      <right/>
      <top style="medium">
        <color indexed="8"/>
      </top>
      <bottom style="medium">
        <color indexed="55"/>
      </bottom>
      <diagonal/>
    </border>
    <border>
      <left/>
      <right style="medium">
        <color indexed="55"/>
      </right>
      <top style="medium">
        <color indexed="8"/>
      </top>
      <bottom style="medium">
        <color indexed="55"/>
      </bottom>
      <diagonal/>
    </border>
    <border>
      <left style="thin">
        <color indexed="55"/>
      </left>
      <right/>
      <top style="thin">
        <color indexed="55"/>
      </top>
      <bottom style="thin">
        <color indexed="55"/>
      </bottom>
      <diagonal/>
    </border>
    <border>
      <left style="thin">
        <color indexed="55"/>
      </left>
      <right style="thin">
        <color indexed="55"/>
      </right>
      <top/>
      <bottom style="thin">
        <color indexed="55"/>
      </bottom>
      <diagonal/>
    </border>
    <border>
      <left style="thin">
        <color indexed="55"/>
      </left>
      <right/>
      <top style="thin">
        <color indexed="55"/>
      </top>
      <bottom/>
      <diagonal/>
    </border>
    <border>
      <left style="thin">
        <color indexed="55"/>
      </left>
      <right/>
      <top/>
      <bottom style="thin">
        <color indexed="55"/>
      </bottom>
      <diagonal/>
    </border>
    <border>
      <left/>
      <right/>
      <top/>
      <bottom style="thin">
        <color indexed="64"/>
      </bottom>
      <diagonal/>
    </border>
    <border>
      <left style="thin">
        <color indexed="64"/>
      </left>
      <right style="thin">
        <color indexed="64"/>
      </right>
      <top style="thin">
        <color indexed="64"/>
      </top>
      <bottom style="thin">
        <color indexed="64"/>
      </bottom>
      <diagonal/>
    </border>
    <border>
      <left style="thin">
        <color indexed="8"/>
      </left>
      <right style="thin">
        <color indexed="8"/>
      </right>
      <top style="thin">
        <color indexed="8"/>
      </top>
      <bottom style="thin">
        <color indexed="8"/>
      </bottom>
      <diagonal/>
    </border>
    <border>
      <left/>
      <right/>
      <top style="thin">
        <color indexed="55"/>
      </top>
      <bottom style="thin">
        <color indexed="55"/>
      </bottom>
      <diagonal/>
    </border>
    <border>
      <left/>
      <right/>
      <top style="thin">
        <color indexed="55"/>
      </top>
      <bottom/>
      <diagonal/>
    </border>
    <border>
      <left/>
      <right style="thin">
        <color indexed="55"/>
      </right>
      <top style="thin">
        <color indexed="55"/>
      </top>
      <bottom style="thin">
        <color indexed="55"/>
      </bottom>
      <diagonal/>
    </border>
    <border>
      <left/>
      <right/>
      <top/>
      <bottom style="thin">
        <color indexed="55"/>
      </bottom>
      <diagonal/>
    </border>
    <border>
      <left style="medium">
        <color indexed="55"/>
      </left>
      <right/>
      <top/>
      <bottom style="thin">
        <color indexed="22"/>
      </bottom>
      <diagonal/>
    </border>
    <border>
      <left/>
      <right/>
      <top style="thin">
        <color indexed="22"/>
      </top>
      <bottom style="thin">
        <color indexed="22"/>
      </bottom>
      <diagonal/>
    </border>
    <border>
      <left style="medium">
        <color indexed="55"/>
      </left>
      <right/>
      <top style="thin">
        <color indexed="22"/>
      </top>
      <bottom/>
      <diagonal/>
    </border>
    <border>
      <left style="thin">
        <color indexed="8"/>
      </left>
      <right/>
      <top style="thin">
        <color indexed="8"/>
      </top>
      <bottom style="thin">
        <color indexed="8"/>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55"/>
      </left>
      <right/>
      <top/>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
      <left/>
      <right/>
      <top style="medium">
        <color indexed="64"/>
      </top>
      <bottom/>
      <diagonal/>
    </border>
    <border>
      <left/>
      <right/>
      <top/>
      <bottom style="medium">
        <color indexed="64"/>
      </bottom>
      <diagonal/>
    </border>
    <border>
      <left style="medium">
        <color rgb="FF969696"/>
      </left>
      <right/>
      <top style="thin">
        <color rgb="FFC0C0C0"/>
      </top>
      <bottom style="thin">
        <color rgb="FFC0C0C0"/>
      </bottom>
      <diagonal/>
    </border>
    <border>
      <left/>
      <right/>
      <top/>
      <bottom style="double">
        <color indexed="64"/>
      </bottom>
      <diagonal/>
    </border>
    <border>
      <left style="thin">
        <color theme="8" tint="0.39997558519241921"/>
      </left>
      <right style="thin">
        <color theme="8" tint="0.39997558519241921"/>
      </right>
      <top style="thin">
        <color theme="8" tint="0.39997558519241921"/>
      </top>
      <bottom style="thin">
        <color theme="8" tint="0.39997558519241921"/>
      </bottom>
      <diagonal/>
    </border>
    <border>
      <left/>
      <right style="thin">
        <color theme="8" tint="0.39997558519241921"/>
      </right>
      <top style="thin">
        <color theme="8" tint="0.39997558519241921"/>
      </top>
      <bottom style="thin">
        <color theme="8" tint="0.39997558519241921"/>
      </bottom>
      <diagonal/>
    </border>
    <border>
      <left style="thin">
        <color theme="8" tint="0.39997558519241921"/>
      </left>
      <right/>
      <top style="thin">
        <color theme="8" tint="0.39997558519241921"/>
      </top>
      <bottom style="thin">
        <color theme="8" tint="0.39997558519241921"/>
      </bottom>
      <diagonal/>
    </border>
    <border>
      <left/>
      <right style="thin">
        <color theme="8" tint="0.39997558519241921"/>
      </right>
      <top/>
      <bottom style="thin">
        <color theme="8" tint="0.39997558519241921"/>
      </bottom>
      <diagonal/>
    </border>
    <border>
      <left style="thin">
        <color theme="8" tint="0.39997558519241921"/>
      </left>
      <right style="thin">
        <color theme="8" tint="0.39997558519241921"/>
      </right>
      <top/>
      <bottom style="thin">
        <color theme="8" tint="0.39997558519241921"/>
      </bottom>
      <diagonal/>
    </border>
    <border>
      <left style="thin">
        <color theme="8" tint="0.39997558519241921"/>
      </left>
      <right/>
      <top/>
      <bottom style="thin">
        <color theme="8" tint="0.39997558519241921"/>
      </bottom>
      <diagonal/>
    </border>
    <border>
      <left/>
      <right style="thin">
        <color theme="8" tint="0.39997558519241921"/>
      </right>
      <top style="thin">
        <color theme="8" tint="0.39997558519241921"/>
      </top>
      <bottom/>
      <diagonal/>
    </border>
    <border>
      <left style="thin">
        <color theme="8" tint="0.39997558519241921"/>
      </left>
      <right style="thin">
        <color theme="8" tint="0.39997558519241921"/>
      </right>
      <top style="thin">
        <color theme="8" tint="0.39997558519241921"/>
      </top>
      <bottom/>
      <diagonal/>
    </border>
    <border>
      <left style="thin">
        <color theme="8" tint="0.39997558519241921"/>
      </left>
      <right/>
      <top style="thin">
        <color theme="8" tint="0.39997558519241921"/>
      </top>
      <bottom/>
      <diagonal/>
    </border>
  </borders>
  <cellStyleXfs count="12">
    <xf numFmtId="0" fontId="0" fillId="0" borderId="0"/>
    <xf numFmtId="164" fontId="18" fillId="0" borderId="0" applyFont="0" applyFill="0" applyBorder="0" applyAlignment="0" applyProtection="0"/>
    <xf numFmtId="165" fontId="18" fillId="0" borderId="0" applyFont="0" applyFill="0" applyBorder="0" applyAlignment="0" applyProtection="0"/>
    <xf numFmtId="0" fontId="4" fillId="0" borderId="0"/>
    <xf numFmtId="165" fontId="4" fillId="0" borderId="0" applyFont="0" applyFill="0" applyBorder="0" applyAlignment="0" applyProtection="0"/>
    <xf numFmtId="9" fontId="4" fillId="0" borderId="0" applyFont="0" applyFill="0" applyBorder="0" applyAlignment="0" applyProtection="0"/>
    <xf numFmtId="164" fontId="4" fillId="0" borderId="0" applyFont="0" applyFill="0" applyBorder="0" applyAlignment="0" applyProtection="0"/>
    <xf numFmtId="0" fontId="10" fillId="0" borderId="0"/>
    <xf numFmtId="0" fontId="22" fillId="0" borderId="0" applyNumberFormat="0" applyFill="0" applyBorder="0" applyAlignment="0" applyProtection="0"/>
    <xf numFmtId="9" fontId="10" fillId="0" borderId="0" applyFont="0" applyFill="0" applyBorder="0" applyAlignment="0" applyProtection="0"/>
    <xf numFmtId="0" fontId="22" fillId="0" borderId="0" applyNumberFormat="0" applyFill="0" applyBorder="0" applyAlignment="0" applyProtection="0"/>
    <xf numFmtId="9" fontId="30" fillId="0" borderId="0" applyFont="0" applyFill="0" applyBorder="0" applyAlignment="0" applyProtection="0"/>
  </cellStyleXfs>
  <cellXfs count="378">
    <xf numFmtId="0" fontId="0" fillId="0" borderId="0" xfId="0"/>
    <xf numFmtId="0" fontId="7" fillId="2" borderId="3" xfId="0" applyFont="1" applyFill="1" applyBorder="1" applyAlignment="1">
      <alignment vertical="center"/>
    </xf>
    <xf numFmtId="0" fontId="0" fillId="2" borderId="5" xfId="0" applyFill="1" applyBorder="1"/>
    <xf numFmtId="0" fontId="0" fillId="3" borderId="0" xfId="0" applyFill="1"/>
    <xf numFmtId="0" fontId="9" fillId="3" borderId="0" xfId="0" applyFont="1" applyFill="1"/>
    <xf numFmtId="0" fontId="0" fillId="2" borderId="4" xfId="0" applyFill="1" applyBorder="1"/>
    <xf numFmtId="0" fontId="0" fillId="2" borderId="6" xfId="0" applyFill="1" applyBorder="1"/>
    <xf numFmtId="0" fontId="13" fillId="2" borderId="7" xfId="0" applyFont="1" applyFill="1" applyBorder="1"/>
    <xf numFmtId="0" fontId="13" fillId="2" borderId="0" xfId="0" applyFont="1" applyFill="1"/>
    <xf numFmtId="0" fontId="13" fillId="2" borderId="5" xfId="0" applyFont="1" applyFill="1" applyBorder="1"/>
    <xf numFmtId="0" fontId="14" fillId="2" borderId="7" xfId="0" applyFont="1" applyFill="1" applyBorder="1"/>
    <xf numFmtId="0" fontId="6" fillId="2" borderId="7" xfId="0" applyFont="1" applyFill="1" applyBorder="1"/>
    <xf numFmtId="0" fontId="10" fillId="3" borderId="0" xfId="0" applyFont="1" applyFill="1" applyAlignment="1">
      <alignment horizontal="center"/>
    </xf>
    <xf numFmtId="0" fontId="10" fillId="2" borderId="7" xfId="0" applyFont="1" applyFill="1" applyBorder="1" applyAlignment="1">
      <alignment horizontal="center"/>
    </xf>
    <xf numFmtId="0" fontId="11" fillId="2" borderId="8" xfId="0" applyFont="1" applyFill="1" applyBorder="1"/>
    <xf numFmtId="0" fontId="6" fillId="2" borderId="8" xfId="0" applyFont="1" applyFill="1" applyBorder="1"/>
    <xf numFmtId="167" fontId="6" fillId="5" borderId="10" xfId="0" applyNumberFormat="1" applyFont="1" applyFill="1" applyBorder="1" applyAlignment="1">
      <alignment horizontal="center"/>
    </xf>
    <xf numFmtId="0" fontId="7" fillId="2" borderId="7" xfId="0" applyFont="1" applyFill="1" applyBorder="1" applyAlignment="1">
      <alignment vertical="center"/>
    </xf>
    <xf numFmtId="0" fontId="13" fillId="4" borderId="11" xfId="0" applyFont="1" applyFill="1" applyBorder="1"/>
    <xf numFmtId="0" fontId="13" fillId="4" borderId="12" xfId="0" applyFont="1" applyFill="1" applyBorder="1"/>
    <xf numFmtId="0" fontId="13" fillId="4" borderId="13" xfId="0" applyFont="1" applyFill="1" applyBorder="1"/>
    <xf numFmtId="0" fontId="13" fillId="2" borderId="5" xfId="0" applyFont="1" applyFill="1" applyBorder="1" applyAlignment="1">
      <alignment vertical="top"/>
    </xf>
    <xf numFmtId="0" fontId="0" fillId="3" borderId="0" xfId="0" applyFill="1" applyAlignment="1">
      <alignment vertical="top"/>
    </xf>
    <xf numFmtId="0" fontId="6" fillId="2" borderId="10" xfId="0" applyFont="1" applyFill="1" applyBorder="1"/>
    <xf numFmtId="0" fontId="6" fillId="2" borderId="15" xfId="0" applyFont="1" applyFill="1" applyBorder="1"/>
    <xf numFmtId="0" fontId="7" fillId="2" borderId="0" xfId="0" applyFont="1" applyFill="1" applyAlignment="1">
      <alignment vertical="center"/>
    </xf>
    <xf numFmtId="166" fontId="6" fillId="2" borderId="0" xfId="0" applyNumberFormat="1" applyFont="1" applyFill="1" applyAlignment="1">
      <alignment horizontal="right"/>
    </xf>
    <xf numFmtId="166" fontId="8" fillId="2" borderId="10" xfId="0" applyNumberFormat="1" applyFont="1" applyFill="1" applyBorder="1" applyAlignment="1">
      <alignment horizontal="right"/>
    </xf>
    <xf numFmtId="0" fontId="6" fillId="2" borderId="17" xfId="0" applyFont="1" applyFill="1" applyBorder="1"/>
    <xf numFmtId="0" fontId="9" fillId="6" borderId="0" xfId="0" applyFont="1" applyFill="1"/>
    <xf numFmtId="166" fontId="9" fillId="6" borderId="0" xfId="0" applyNumberFormat="1" applyFont="1" applyFill="1" applyAlignment="1">
      <alignment horizontal="right"/>
    </xf>
    <xf numFmtId="0" fontId="6" fillId="2" borderId="0" xfId="0" applyFont="1" applyFill="1"/>
    <xf numFmtId="0" fontId="8" fillId="2" borderId="21" xfId="0" applyFont="1" applyFill="1" applyBorder="1" applyAlignment="1">
      <alignment horizontal="left"/>
    </xf>
    <xf numFmtId="0" fontId="6" fillId="2" borderId="21" xfId="0" applyFont="1" applyFill="1" applyBorder="1"/>
    <xf numFmtId="0" fontId="8" fillId="2" borderId="21" xfId="0" applyFont="1" applyFill="1" applyBorder="1"/>
    <xf numFmtId="0" fontId="5" fillId="4" borderId="19" xfId="0" applyFont="1" applyFill="1" applyBorder="1" applyProtection="1">
      <protection locked="0"/>
    </xf>
    <xf numFmtId="166" fontId="5" fillId="4" borderId="19" xfId="0" applyNumberFormat="1" applyFont="1" applyFill="1" applyBorder="1" applyAlignment="1" applyProtection="1">
      <alignment horizontal="right"/>
      <protection locked="0"/>
    </xf>
    <xf numFmtId="0" fontId="8" fillId="2" borderId="10" xfId="0" applyFont="1" applyFill="1" applyBorder="1"/>
    <xf numFmtId="9" fontId="8" fillId="2" borderId="10" xfId="0" applyNumberFormat="1" applyFont="1" applyFill="1" applyBorder="1"/>
    <xf numFmtId="0" fontId="5" fillId="0" borderId="28" xfId="0" applyFont="1" applyBorder="1" applyAlignment="1" applyProtection="1">
      <alignment horizontal="left"/>
      <protection locked="0"/>
    </xf>
    <xf numFmtId="0" fontId="6" fillId="7" borderId="7" xfId="0" applyFont="1" applyFill="1" applyBorder="1" applyAlignment="1">
      <alignment horizontal="left"/>
    </xf>
    <xf numFmtId="167" fontId="6" fillId="7" borderId="31" xfId="0" applyNumberFormat="1" applyFont="1" applyFill="1" applyBorder="1" applyAlignment="1">
      <alignment horizontal="center"/>
    </xf>
    <xf numFmtId="0" fontId="10" fillId="7" borderId="0" xfId="0" applyFont="1" applyFill="1" applyAlignment="1">
      <alignment horizontal="center"/>
    </xf>
    <xf numFmtId="0" fontId="10" fillId="7" borderId="7" xfId="0" applyFont="1" applyFill="1" applyBorder="1" applyAlignment="1">
      <alignment horizontal="center"/>
    </xf>
    <xf numFmtId="0" fontId="9" fillId="0" borderId="0" xfId="0" applyFont="1"/>
    <xf numFmtId="0" fontId="10" fillId="0" borderId="0" xfId="0" applyFont="1" applyAlignment="1">
      <alignment horizontal="center"/>
    </xf>
    <xf numFmtId="0" fontId="12" fillId="0" borderId="0" xfId="0" applyFont="1"/>
    <xf numFmtId="0" fontId="15" fillId="0" borderId="0" xfId="0" applyFont="1"/>
    <xf numFmtId="167" fontId="15" fillId="0" borderId="0" xfId="0" applyNumberFormat="1" applyFont="1"/>
    <xf numFmtId="169" fontId="15" fillId="0" borderId="0" xfId="0" applyNumberFormat="1" applyFont="1"/>
    <xf numFmtId="0" fontId="5" fillId="4" borderId="29" xfId="0" applyFont="1" applyFill="1" applyBorder="1" applyAlignment="1" applyProtection="1">
      <alignment horizontal="left" indent="1"/>
      <protection locked="0"/>
    </xf>
    <xf numFmtId="0" fontId="5" fillId="2" borderId="8" xfId="0" applyFont="1" applyFill="1" applyBorder="1" applyAlignment="1">
      <alignment horizontal="left"/>
    </xf>
    <xf numFmtId="171" fontId="8" fillId="2" borderId="10" xfId="0" applyNumberFormat="1" applyFont="1" applyFill="1" applyBorder="1"/>
    <xf numFmtId="0" fontId="4" fillId="0" borderId="0" xfId="3"/>
    <xf numFmtId="0" fontId="0" fillId="0" borderId="34" xfId="3" applyFont="1" applyBorder="1"/>
    <xf numFmtId="4" fontId="4" fillId="0" borderId="35" xfId="3" applyNumberFormat="1" applyBorder="1"/>
    <xf numFmtId="0" fontId="4" fillId="0" borderId="34" xfId="3" applyBorder="1"/>
    <xf numFmtId="0" fontId="4" fillId="0" borderId="35" xfId="3" applyBorder="1"/>
    <xf numFmtId="172" fontId="0" fillId="0" borderId="35" xfId="4" applyNumberFormat="1" applyFont="1" applyBorder="1"/>
    <xf numFmtId="0" fontId="4" fillId="0" borderId="36" xfId="3" applyBorder="1"/>
    <xf numFmtId="0" fontId="4" fillId="0" borderId="34" xfId="3" applyBorder="1" applyAlignment="1">
      <alignment horizontal="left" vertical="top" wrapText="1"/>
    </xf>
    <xf numFmtId="9" fontId="0" fillId="0" borderId="35" xfId="5" applyFont="1" applyBorder="1"/>
    <xf numFmtId="0" fontId="4" fillId="0" borderId="34" xfId="3" applyBorder="1" applyAlignment="1">
      <alignment wrapText="1"/>
    </xf>
    <xf numFmtId="0" fontId="4" fillId="0" borderId="36" xfId="3" applyBorder="1" applyAlignment="1">
      <alignment wrapText="1"/>
    </xf>
    <xf numFmtId="164" fontId="0" fillId="0" borderId="37" xfId="6" applyFont="1" applyBorder="1"/>
    <xf numFmtId="172" fontId="4" fillId="0" borderId="35" xfId="3" applyNumberFormat="1" applyBorder="1"/>
    <xf numFmtId="10" fontId="0" fillId="0" borderId="37" xfId="5" applyNumberFormat="1" applyFont="1" applyBorder="1"/>
    <xf numFmtId="174" fontId="4" fillId="0" borderId="37" xfId="3" applyNumberFormat="1" applyBorder="1"/>
    <xf numFmtId="0" fontId="6" fillId="0" borderId="0" xfId="3" applyFont="1"/>
    <xf numFmtId="0" fontId="6" fillId="0" borderId="0" xfId="3" applyFont="1" applyAlignment="1">
      <alignment horizontal="center"/>
    </xf>
    <xf numFmtId="0" fontId="19" fillId="0" borderId="0" xfId="3" applyFont="1"/>
    <xf numFmtId="175" fontId="0" fillId="8" borderId="0" xfId="6" applyNumberFormat="1" applyFont="1" applyFill="1"/>
    <xf numFmtId="165" fontId="0" fillId="8" borderId="0" xfId="4" applyFont="1" applyFill="1"/>
    <xf numFmtId="175" fontId="19" fillId="8" borderId="0" xfId="6" applyNumberFormat="1" applyFont="1" applyFill="1"/>
    <xf numFmtId="165" fontId="0" fillId="9" borderId="0" xfId="4" applyFont="1" applyFill="1"/>
    <xf numFmtId="175" fontId="0" fillId="9" borderId="0" xfId="6" applyNumberFormat="1" applyFont="1" applyFill="1"/>
    <xf numFmtId="172" fontId="4" fillId="0" borderId="0" xfId="3" applyNumberFormat="1"/>
    <xf numFmtId="175" fontId="19" fillId="9" borderId="0" xfId="6" applyNumberFormat="1" applyFont="1" applyFill="1"/>
    <xf numFmtId="165" fontId="0" fillId="10" borderId="0" xfId="4" applyFont="1" applyFill="1"/>
    <xf numFmtId="175" fontId="0" fillId="10" borderId="0" xfId="6" applyNumberFormat="1" applyFont="1" applyFill="1"/>
    <xf numFmtId="175" fontId="19" fillId="10" borderId="0" xfId="6" applyNumberFormat="1" applyFont="1" applyFill="1"/>
    <xf numFmtId="165" fontId="0" fillId="11" borderId="0" xfId="4" applyFont="1" applyFill="1"/>
    <xf numFmtId="175" fontId="0" fillId="11" borderId="0" xfId="6" applyNumberFormat="1" applyFont="1" applyFill="1"/>
    <xf numFmtId="175" fontId="19" fillId="11" borderId="0" xfId="6" applyNumberFormat="1" applyFont="1" applyFill="1"/>
    <xf numFmtId="3" fontId="4" fillId="0" borderId="0" xfId="3" applyNumberFormat="1"/>
    <xf numFmtId="165" fontId="0" fillId="0" borderId="0" xfId="4" applyFont="1"/>
    <xf numFmtId="165" fontId="4" fillId="0" borderId="0" xfId="3" applyNumberFormat="1"/>
    <xf numFmtId="1" fontId="4" fillId="0" borderId="0" xfId="3" applyNumberFormat="1"/>
    <xf numFmtId="0" fontId="0" fillId="0" borderId="0" xfId="7" applyFont="1"/>
    <xf numFmtId="0" fontId="19" fillId="0" borderId="0" xfId="7" applyFont="1"/>
    <xf numFmtId="0" fontId="6" fillId="0" borderId="0" xfId="7" applyFont="1"/>
    <xf numFmtId="2" fontId="0" fillId="0" borderId="0" xfId="7" applyNumberFormat="1" applyFont="1"/>
    <xf numFmtId="2" fontId="6" fillId="7" borderId="0" xfId="0" applyNumberFormat="1" applyFont="1" applyFill="1" applyAlignment="1">
      <alignment horizontal="center"/>
    </xf>
    <xf numFmtId="164" fontId="6" fillId="7" borderId="31" xfId="1" applyFont="1" applyFill="1" applyBorder="1" applyAlignment="1">
      <alignment horizontal="center"/>
    </xf>
    <xf numFmtId="1" fontId="6" fillId="7" borderId="0" xfId="0" applyNumberFormat="1" applyFont="1" applyFill="1" applyAlignment="1">
      <alignment horizontal="center"/>
    </xf>
    <xf numFmtId="1" fontId="6" fillId="7" borderId="31" xfId="1" applyNumberFormat="1" applyFont="1" applyFill="1" applyBorder="1" applyAlignment="1">
      <alignment horizontal="center"/>
    </xf>
    <xf numFmtId="165" fontId="6" fillId="7" borderId="7" xfId="2" applyFont="1" applyFill="1" applyBorder="1" applyAlignment="1">
      <alignment horizontal="left"/>
    </xf>
    <xf numFmtId="165" fontId="6" fillId="7" borderId="0" xfId="2" applyFont="1" applyFill="1" applyAlignment="1">
      <alignment horizontal="center"/>
    </xf>
    <xf numFmtId="165" fontId="6" fillId="7" borderId="31" xfId="2" applyFont="1" applyFill="1" applyBorder="1" applyAlignment="1">
      <alignment horizontal="center"/>
    </xf>
    <xf numFmtId="165" fontId="10" fillId="0" borderId="0" xfId="2" applyFont="1" applyAlignment="1">
      <alignment horizontal="center"/>
    </xf>
    <xf numFmtId="165" fontId="10" fillId="7" borderId="0" xfId="2" applyFont="1" applyFill="1" applyAlignment="1">
      <alignment horizontal="center"/>
    </xf>
    <xf numFmtId="164" fontId="6" fillId="7" borderId="7" xfId="1" applyFont="1" applyFill="1" applyBorder="1" applyAlignment="1">
      <alignment horizontal="left"/>
    </xf>
    <xf numFmtId="164" fontId="6" fillId="7" borderId="0" xfId="1" applyFont="1" applyFill="1" applyAlignment="1">
      <alignment horizontal="center"/>
    </xf>
    <xf numFmtId="164" fontId="10" fillId="0" borderId="0" xfId="1" applyFont="1" applyAlignment="1">
      <alignment horizontal="center"/>
    </xf>
    <xf numFmtId="164" fontId="10" fillId="7" borderId="0" xfId="1" applyFont="1" applyFill="1" applyAlignment="1">
      <alignment horizontal="center"/>
    </xf>
    <xf numFmtId="164" fontId="19" fillId="8" borderId="0" xfId="1" applyFont="1" applyFill="1"/>
    <xf numFmtId="172" fontId="19" fillId="8" borderId="0" xfId="3" applyNumberFormat="1" applyFont="1" applyFill="1"/>
    <xf numFmtId="164" fontId="19" fillId="9" borderId="0" xfId="1" applyFont="1" applyFill="1"/>
    <xf numFmtId="172" fontId="19" fillId="9" borderId="0" xfId="3" applyNumberFormat="1" applyFont="1" applyFill="1"/>
    <xf numFmtId="164" fontId="19" fillId="10" borderId="0" xfId="1" applyFont="1" applyFill="1"/>
    <xf numFmtId="172" fontId="19" fillId="10" borderId="0" xfId="3" applyNumberFormat="1" applyFont="1" applyFill="1"/>
    <xf numFmtId="164" fontId="19" fillId="11" borderId="0" xfId="1" applyFont="1" applyFill="1"/>
    <xf numFmtId="172" fontId="19" fillId="11" borderId="0" xfId="3" applyNumberFormat="1" applyFont="1" applyFill="1"/>
    <xf numFmtId="165" fontId="0" fillId="13" borderId="0" xfId="4" applyFont="1" applyFill="1"/>
    <xf numFmtId="175" fontId="0" fillId="13" borderId="0" xfId="6" applyNumberFormat="1" applyFont="1" applyFill="1"/>
    <xf numFmtId="175" fontId="19" fillId="13" borderId="0" xfId="6" applyNumberFormat="1" applyFont="1" applyFill="1"/>
    <xf numFmtId="164" fontId="19" fillId="13" borderId="0" xfId="1" applyFont="1" applyFill="1"/>
    <xf numFmtId="172" fontId="19" fillId="13" borderId="0" xfId="3" applyNumberFormat="1" applyFont="1" applyFill="1"/>
    <xf numFmtId="175" fontId="6" fillId="7" borderId="31" xfId="1" applyNumberFormat="1" applyFont="1" applyFill="1" applyBorder="1" applyAlignment="1">
      <alignment horizontal="center"/>
    </xf>
    <xf numFmtId="165" fontId="8" fillId="2" borderId="10" xfId="2" applyFont="1" applyFill="1" applyBorder="1"/>
    <xf numFmtId="0" fontId="10" fillId="0" borderId="0" xfId="0" applyFont="1"/>
    <xf numFmtId="0" fontId="27" fillId="7" borderId="0" xfId="0" applyFont="1" applyFill="1"/>
    <xf numFmtId="0" fontId="10" fillId="7" borderId="0" xfId="0" applyFont="1" applyFill="1"/>
    <xf numFmtId="165" fontId="6" fillId="2" borderId="8" xfId="2" applyFont="1" applyFill="1" applyBorder="1"/>
    <xf numFmtId="0" fontId="0" fillId="16" borderId="0" xfId="0" applyFill="1"/>
    <xf numFmtId="0" fontId="0" fillId="17" borderId="0" xfId="0" applyFill="1"/>
    <xf numFmtId="0" fontId="0" fillId="18" borderId="0" xfId="0" applyFill="1"/>
    <xf numFmtId="0" fontId="29" fillId="7" borderId="0" xfId="0" applyFont="1" applyFill="1"/>
    <xf numFmtId="0" fontId="6" fillId="7" borderId="0" xfId="0" applyFont="1" applyFill="1"/>
    <xf numFmtId="0" fontId="6" fillId="0" borderId="0" xfId="0" applyFont="1"/>
    <xf numFmtId="164" fontId="0" fillId="17" borderId="0" xfId="1" applyFont="1" applyFill="1" applyAlignment="1">
      <alignment horizontal="left"/>
    </xf>
    <xf numFmtId="164" fontId="10" fillId="0" borderId="0" xfId="1" applyFont="1"/>
    <xf numFmtId="164" fontId="0" fillId="18" borderId="0" xfId="1" applyFont="1" applyFill="1"/>
    <xf numFmtId="165" fontId="8" fillId="2" borderId="26" xfId="2" applyFont="1" applyFill="1" applyBorder="1"/>
    <xf numFmtId="165" fontId="8" fillId="2" borderId="2" xfId="2" applyFont="1" applyFill="1" applyBorder="1"/>
    <xf numFmtId="165" fontId="5" fillId="2" borderId="26" xfId="2" applyFont="1" applyFill="1" applyBorder="1"/>
    <xf numFmtId="165" fontId="8" fillId="2" borderId="9" xfId="2" applyFont="1" applyFill="1" applyBorder="1"/>
    <xf numFmtId="165" fontId="8" fillId="2" borderId="10" xfId="0" applyNumberFormat="1" applyFont="1" applyFill="1" applyBorder="1"/>
    <xf numFmtId="0" fontId="5" fillId="0" borderId="29" xfId="0" applyFont="1" applyBorder="1" applyAlignment="1" applyProtection="1">
      <alignment horizontal="left" indent="1"/>
      <protection locked="0"/>
    </xf>
    <xf numFmtId="172" fontId="19" fillId="12" borderId="0" xfId="3" applyNumberFormat="1" applyFont="1" applyFill="1"/>
    <xf numFmtId="167" fontId="6" fillId="5" borderId="0" xfId="0" applyNumberFormat="1" applyFont="1" applyFill="1" applyAlignment="1">
      <alignment horizontal="center"/>
    </xf>
    <xf numFmtId="0" fontId="11" fillId="2" borderId="0" xfId="0" applyFont="1" applyFill="1"/>
    <xf numFmtId="0" fontId="5" fillId="2" borderId="0" xfId="0" applyFont="1" applyFill="1"/>
    <xf numFmtId="0" fontId="25" fillId="2" borderId="0" xfId="0" applyFont="1" applyFill="1"/>
    <xf numFmtId="0" fontId="5" fillId="2" borderId="0" xfId="0" applyFont="1" applyFill="1" applyAlignment="1">
      <alignment horizontal="left" indent="1"/>
    </xf>
    <xf numFmtId="165" fontId="5" fillId="4" borderId="0" xfId="2" applyFont="1" applyFill="1" applyBorder="1" applyProtection="1">
      <protection locked="0"/>
    </xf>
    <xf numFmtId="0" fontId="26" fillId="2" borderId="0" xfId="0" applyFont="1" applyFill="1"/>
    <xf numFmtId="0" fontId="8" fillId="2" borderId="0" xfId="0" applyFont="1" applyFill="1"/>
    <xf numFmtId="165" fontId="8" fillId="2" borderId="0" xfId="2" applyFont="1" applyFill="1" applyBorder="1"/>
    <xf numFmtId="0" fontId="14" fillId="2" borderId="0" xfId="0" applyFont="1" applyFill="1"/>
    <xf numFmtId="14" fontId="13" fillId="4" borderId="10" xfId="0" applyNumberFormat="1" applyFont="1" applyFill="1" applyBorder="1" applyProtection="1">
      <protection locked="0"/>
    </xf>
    <xf numFmtId="0" fontId="13" fillId="2" borderId="7" xfId="0" applyFont="1" applyFill="1" applyBorder="1" applyAlignment="1">
      <alignment horizontal="center" vertical="top"/>
    </xf>
    <xf numFmtId="166" fontId="5" fillId="2" borderId="0" xfId="0" applyNumberFormat="1" applyFont="1" applyFill="1" applyAlignment="1">
      <alignment horizontal="right"/>
    </xf>
    <xf numFmtId="0" fontId="5" fillId="2" borderId="18" xfId="0" applyFont="1" applyFill="1" applyBorder="1"/>
    <xf numFmtId="0" fontId="5" fillId="2" borderId="14" xfId="0" applyFont="1" applyFill="1" applyBorder="1"/>
    <xf numFmtId="0" fontId="5" fillId="2" borderId="16" xfId="0" applyFont="1" applyFill="1" applyBorder="1"/>
    <xf numFmtId="166" fontId="5" fillId="2" borderId="15" xfId="0" applyNumberFormat="1" applyFont="1" applyFill="1" applyBorder="1" applyAlignment="1">
      <alignment horizontal="right"/>
    </xf>
    <xf numFmtId="0" fontId="5" fillId="2" borderId="10" xfId="0" applyFont="1" applyFill="1" applyBorder="1"/>
    <xf numFmtId="166" fontId="5" fillId="2" borderId="10" xfId="0" applyNumberFormat="1" applyFont="1" applyFill="1" applyBorder="1" applyAlignment="1">
      <alignment horizontal="right"/>
    </xf>
    <xf numFmtId="0" fontId="5" fillId="2" borderId="4" xfId="0" applyFont="1" applyFill="1" applyBorder="1"/>
    <xf numFmtId="0" fontId="5" fillId="0" borderId="0" xfId="0" applyFont="1"/>
    <xf numFmtId="0" fontId="5" fillId="2" borderId="0" xfId="0" applyFont="1" applyFill="1" applyAlignment="1">
      <alignment horizontal="center"/>
    </xf>
    <xf numFmtId="168" fontId="5" fillId="2" borderId="0" xfId="0" applyNumberFormat="1" applyFont="1" applyFill="1"/>
    <xf numFmtId="168" fontId="5" fillId="2" borderId="1" xfId="0" applyNumberFormat="1" applyFont="1" applyFill="1" applyBorder="1"/>
    <xf numFmtId="168" fontId="5" fillId="2" borderId="2" xfId="0" applyNumberFormat="1" applyFont="1" applyFill="1" applyBorder="1"/>
    <xf numFmtId="0" fontId="5" fillId="2" borderId="8" xfId="0" applyFont="1" applyFill="1" applyBorder="1"/>
    <xf numFmtId="168" fontId="5" fillId="4" borderId="20" xfId="0" applyNumberFormat="1" applyFont="1" applyFill="1" applyBorder="1" applyProtection="1">
      <protection locked="0"/>
    </xf>
    <xf numFmtId="165" fontId="5" fillId="4" borderId="20" xfId="2" applyFont="1" applyFill="1" applyBorder="1" applyProtection="1">
      <protection locked="0"/>
    </xf>
    <xf numFmtId="165" fontId="5" fillId="0" borderId="0" xfId="2" applyFont="1"/>
    <xf numFmtId="168" fontId="5" fillId="2" borderId="15" xfId="0" applyNumberFormat="1" applyFont="1" applyFill="1" applyBorder="1"/>
    <xf numFmtId="165" fontId="5" fillId="2" borderId="15" xfId="2" applyFont="1" applyFill="1" applyBorder="1"/>
    <xf numFmtId="171" fontId="5" fillId="4" borderId="20" xfId="0" applyNumberFormat="1" applyFont="1" applyFill="1" applyBorder="1" applyProtection="1">
      <protection locked="0"/>
    </xf>
    <xf numFmtId="0" fontId="5" fillId="2" borderId="27" xfId="0" applyFont="1" applyFill="1" applyBorder="1" applyAlignment="1">
      <alignment horizontal="left"/>
    </xf>
    <xf numFmtId="0" fontId="5" fillId="2" borderId="25" xfId="0" applyFont="1" applyFill="1" applyBorder="1"/>
    <xf numFmtId="168" fontId="5" fillId="2" borderId="10" xfId="0" applyNumberFormat="1" applyFont="1" applyFill="1" applyBorder="1"/>
    <xf numFmtId="9" fontId="5" fillId="2" borderId="10" xfId="0" applyNumberFormat="1" applyFont="1" applyFill="1" applyBorder="1"/>
    <xf numFmtId="165" fontId="5" fillId="2" borderId="10" xfId="2" applyFont="1" applyFill="1" applyBorder="1"/>
    <xf numFmtId="165" fontId="5" fillId="2" borderId="0" xfId="2" applyFont="1" applyFill="1" applyBorder="1"/>
    <xf numFmtId="165" fontId="5" fillId="0" borderId="0" xfId="2" applyFont="1" applyBorder="1"/>
    <xf numFmtId="165" fontId="5" fillId="0" borderId="0" xfId="2" applyFont="1" applyFill="1" applyBorder="1"/>
    <xf numFmtId="165" fontId="5" fillId="3" borderId="0" xfId="2" applyFont="1" applyFill="1" applyBorder="1"/>
    <xf numFmtId="0" fontId="5" fillId="6" borderId="0" xfId="0" applyFont="1" applyFill="1"/>
    <xf numFmtId="0" fontId="5" fillId="2" borderId="0" xfId="0" applyFont="1" applyFill="1" applyAlignment="1">
      <alignment horizontal="right"/>
    </xf>
    <xf numFmtId="170" fontId="5" fillId="2" borderId="0" xfId="0" applyNumberFormat="1" applyFont="1" applyFill="1" applyAlignment="1">
      <alignment horizontal="left"/>
    </xf>
    <xf numFmtId="0" fontId="5" fillId="2" borderId="21" xfId="0" applyFont="1" applyFill="1" applyBorder="1"/>
    <xf numFmtId="0" fontId="5" fillId="2" borderId="21" xfId="0" applyFont="1" applyFill="1" applyBorder="1" applyAlignment="1">
      <alignment horizontal="left" indent="1"/>
    </xf>
    <xf numFmtId="0" fontId="5" fillId="2" borderId="22" xfId="0" applyFont="1" applyFill="1" applyBorder="1" applyAlignment="1">
      <alignment horizontal="left" indent="1"/>
    </xf>
    <xf numFmtId="0" fontId="5" fillId="4" borderId="30" xfId="0" applyFont="1" applyFill="1" applyBorder="1" applyAlignment="1" applyProtection="1">
      <alignment horizontal="left" indent="1"/>
      <protection locked="0"/>
    </xf>
    <xf numFmtId="0" fontId="5" fillId="2" borderId="24" xfId="0" applyFont="1" applyFill="1" applyBorder="1"/>
    <xf numFmtId="0" fontId="5" fillId="0" borderId="30" xfId="0" applyFont="1" applyBorder="1" applyAlignment="1" applyProtection="1">
      <alignment horizontal="left" indent="1"/>
      <protection locked="0"/>
    </xf>
    <xf numFmtId="0" fontId="5" fillId="2" borderId="21" xfId="0" applyFont="1" applyFill="1" applyBorder="1" applyAlignment="1">
      <alignment horizontal="left"/>
    </xf>
    <xf numFmtId="0" fontId="3" fillId="0" borderId="0" xfId="3" applyFont="1"/>
    <xf numFmtId="0" fontId="19" fillId="8" borderId="0" xfId="3" applyFont="1" applyFill="1" applyAlignment="1">
      <alignment horizontal="center"/>
    </xf>
    <xf numFmtId="0" fontId="19" fillId="9" borderId="0" xfId="3" applyFont="1" applyFill="1" applyAlignment="1">
      <alignment horizontal="center"/>
    </xf>
    <xf numFmtId="0" fontId="19" fillId="13" borderId="0" xfId="3" applyFont="1" applyFill="1" applyAlignment="1">
      <alignment horizontal="center"/>
    </xf>
    <xf numFmtId="0" fontId="19" fillId="10" borderId="0" xfId="3" applyFont="1" applyFill="1" applyAlignment="1">
      <alignment horizontal="center"/>
    </xf>
    <xf numFmtId="0" fontId="19" fillId="11" borderId="0" xfId="3" applyFont="1" applyFill="1" applyAlignment="1">
      <alignment horizontal="center"/>
    </xf>
    <xf numFmtId="0" fontId="19" fillId="0" borderId="0" xfId="3" applyFont="1" applyAlignment="1">
      <alignment horizontal="center"/>
    </xf>
    <xf numFmtId="176" fontId="27" fillId="0" borderId="37" xfId="0" applyNumberFormat="1" applyFont="1" applyBorder="1"/>
    <xf numFmtId="176" fontId="4" fillId="0" borderId="35" xfId="3" applyNumberFormat="1" applyBorder="1"/>
    <xf numFmtId="176" fontId="27" fillId="0" borderId="35" xfId="0" applyNumberFormat="1" applyFont="1" applyBorder="1"/>
    <xf numFmtId="0" fontId="22" fillId="0" borderId="0" xfId="10"/>
    <xf numFmtId="165" fontId="0" fillId="17" borderId="0" xfId="2" applyFont="1" applyFill="1"/>
    <xf numFmtId="165" fontId="5" fillId="2" borderId="22" xfId="2" applyFont="1" applyFill="1" applyBorder="1" applyAlignment="1">
      <alignment horizontal="right"/>
    </xf>
    <xf numFmtId="165" fontId="5" fillId="4" borderId="19" xfId="2" applyFont="1" applyFill="1" applyBorder="1" applyAlignment="1" applyProtection="1">
      <alignment horizontal="right"/>
      <protection locked="0"/>
    </xf>
    <xf numFmtId="165" fontId="5" fillId="2" borderId="23" xfId="2" applyFont="1" applyFill="1" applyBorder="1" applyAlignment="1">
      <alignment horizontal="right"/>
    </xf>
    <xf numFmtId="165" fontId="5" fillId="2" borderId="24" xfId="2" applyFont="1" applyFill="1" applyBorder="1" applyAlignment="1">
      <alignment horizontal="right"/>
    </xf>
    <xf numFmtId="165" fontId="5" fillId="2" borderId="21" xfId="2" applyFont="1" applyFill="1" applyBorder="1" applyAlignment="1">
      <alignment horizontal="right"/>
    </xf>
    <xf numFmtId="165" fontId="16" fillId="2" borderId="22" xfId="2" applyFont="1" applyFill="1" applyBorder="1" applyAlignment="1">
      <alignment horizontal="center" vertical="center"/>
    </xf>
    <xf numFmtId="165" fontId="5" fillId="4" borderId="20" xfId="2" applyFont="1" applyFill="1" applyBorder="1" applyAlignment="1" applyProtection="1">
      <alignment horizontal="right"/>
      <protection locked="0"/>
    </xf>
    <xf numFmtId="165" fontId="6" fillId="2" borderId="0" xfId="2" applyFont="1" applyFill="1" applyAlignment="1">
      <alignment horizontal="right"/>
    </xf>
    <xf numFmtId="165" fontId="5" fillId="2" borderId="0" xfId="2" applyFont="1" applyFill="1"/>
    <xf numFmtId="165" fontId="5" fillId="0" borderId="19" xfId="2" quotePrefix="1" applyFont="1" applyBorder="1" applyAlignment="1" applyProtection="1">
      <alignment horizontal="right"/>
      <protection locked="0"/>
    </xf>
    <xf numFmtId="165" fontId="9" fillId="6" borderId="0" xfId="2" applyFont="1" applyFill="1" applyAlignment="1">
      <alignment horizontal="right"/>
    </xf>
    <xf numFmtId="165" fontId="8" fillId="2" borderId="0" xfId="2" applyFont="1" applyFill="1"/>
    <xf numFmtId="165" fontId="26" fillId="4" borderId="0" xfId="2" applyFont="1" applyFill="1" applyBorder="1" applyAlignment="1" applyProtection="1">
      <alignment horizontal="left"/>
      <protection locked="0"/>
    </xf>
    <xf numFmtId="165" fontId="26" fillId="2" borderId="0" xfId="2" applyFont="1" applyFill="1" applyBorder="1"/>
    <xf numFmtId="0" fontId="31" fillId="0" borderId="0" xfId="0" applyFont="1"/>
    <xf numFmtId="165" fontId="0" fillId="0" borderId="0" xfId="0" applyNumberFormat="1"/>
    <xf numFmtId="0" fontId="10" fillId="0" borderId="0" xfId="0" quotePrefix="1" applyFont="1"/>
    <xf numFmtId="0" fontId="4" fillId="0" borderId="37" xfId="3" applyBorder="1"/>
    <xf numFmtId="9" fontId="8" fillId="2" borderId="10" xfId="11" applyFont="1" applyFill="1" applyBorder="1"/>
    <xf numFmtId="165" fontId="26" fillId="4" borderId="0" xfId="2" applyFont="1" applyFill="1" applyAlignment="1" applyProtection="1">
      <alignment horizontal="left"/>
      <protection locked="0"/>
    </xf>
    <xf numFmtId="165" fontId="5" fillId="4" borderId="0" xfId="2" applyFont="1" applyFill="1" applyProtection="1">
      <protection locked="0"/>
    </xf>
    <xf numFmtId="165" fontId="5" fillId="0" borderId="0" xfId="2" applyFont="1" applyFill="1" applyBorder="1" applyProtection="1">
      <protection locked="0"/>
    </xf>
    <xf numFmtId="173" fontId="4" fillId="0" borderId="37" xfId="3" applyNumberFormat="1" applyBorder="1"/>
    <xf numFmtId="0" fontId="19" fillId="0" borderId="32" xfId="3" applyFont="1" applyBorder="1" applyAlignment="1">
      <alignment wrapText="1"/>
    </xf>
    <xf numFmtId="174" fontId="4" fillId="0" borderId="35" xfId="3" applyNumberFormat="1" applyBorder="1"/>
    <xf numFmtId="0" fontId="8" fillId="2" borderId="7" xfId="0" applyFont="1" applyFill="1" applyBorder="1"/>
    <xf numFmtId="0" fontId="5" fillId="19" borderId="40" xfId="0" applyFont="1" applyFill="1" applyBorder="1" applyAlignment="1">
      <alignment horizontal="left" indent="1"/>
    </xf>
    <xf numFmtId="0" fontId="8" fillId="2" borderId="8" xfId="0" applyFont="1" applyFill="1" applyBorder="1"/>
    <xf numFmtId="0" fontId="5" fillId="2" borderId="8" xfId="0" applyFont="1" applyFill="1" applyBorder="1" applyAlignment="1">
      <alignment horizontal="left" indent="1"/>
    </xf>
    <xf numFmtId="0" fontId="5" fillId="2" borderId="27" xfId="0" applyFont="1" applyFill="1" applyBorder="1" applyAlignment="1">
      <alignment horizontal="left" indent="1"/>
    </xf>
    <xf numFmtId="0" fontId="5" fillId="2" borderId="7" xfId="0" applyFont="1" applyFill="1" applyBorder="1" applyAlignment="1">
      <alignment horizontal="left" indent="1"/>
    </xf>
    <xf numFmtId="14" fontId="0" fillId="0" borderId="0" xfId="0" applyNumberFormat="1"/>
    <xf numFmtId="14" fontId="6" fillId="0" borderId="0" xfId="0" applyNumberFormat="1" applyFont="1"/>
    <xf numFmtId="0" fontId="8" fillId="2" borderId="7" xfId="0" applyFont="1" applyFill="1" applyBorder="1" applyAlignment="1">
      <alignment horizontal="left"/>
    </xf>
    <xf numFmtId="1" fontId="0" fillId="0" borderId="0" xfId="1" applyNumberFormat="1" applyFont="1" applyAlignment="1">
      <alignment horizontal="left"/>
    </xf>
    <xf numFmtId="1" fontId="6" fillId="0" borderId="0" xfId="1" applyNumberFormat="1" applyFont="1" applyAlignment="1">
      <alignment horizontal="left"/>
    </xf>
    <xf numFmtId="0" fontId="8" fillId="0" borderId="0" xfId="0" applyFont="1"/>
    <xf numFmtId="9" fontId="5" fillId="0" borderId="0" xfId="11" applyFont="1"/>
    <xf numFmtId="10" fontId="5" fillId="0" borderId="0" xfId="11" applyNumberFormat="1" applyFont="1"/>
    <xf numFmtId="178" fontId="5" fillId="0" borderId="0" xfId="11" applyNumberFormat="1" applyFont="1"/>
    <xf numFmtId="0" fontId="5" fillId="0" borderId="0" xfId="0" applyFont="1" applyAlignment="1">
      <alignment wrapText="1"/>
    </xf>
    <xf numFmtId="0" fontId="4" fillId="0" borderId="32" xfId="3" applyBorder="1"/>
    <xf numFmtId="0" fontId="4" fillId="0" borderId="33" xfId="3" applyBorder="1"/>
    <xf numFmtId="179" fontId="8" fillId="2" borderId="10" xfId="0" applyNumberFormat="1" applyFont="1" applyFill="1" applyBorder="1"/>
    <xf numFmtId="165" fontId="5" fillId="0" borderId="0" xfId="2" applyFont="1" applyFill="1"/>
    <xf numFmtId="0" fontId="2" fillId="0" borderId="36" xfId="3" applyFont="1" applyBorder="1"/>
    <xf numFmtId="165" fontId="4" fillId="0" borderId="37" xfId="3" applyNumberFormat="1" applyBorder="1"/>
    <xf numFmtId="171" fontId="5" fillId="0" borderId="20" xfId="0" applyNumberFormat="1" applyFont="1" applyBorder="1" applyProtection="1">
      <protection locked="0"/>
    </xf>
    <xf numFmtId="180" fontId="4" fillId="0" borderId="0" xfId="3" applyNumberFormat="1"/>
    <xf numFmtId="14" fontId="10" fillId="0" borderId="0" xfId="0" applyNumberFormat="1" applyFont="1"/>
    <xf numFmtId="0" fontId="2" fillId="0" borderId="0" xfId="3" applyFont="1"/>
    <xf numFmtId="0" fontId="0" fillId="2" borderId="0" xfId="0" applyFill="1" applyAlignment="1">
      <alignment horizontal="center"/>
    </xf>
    <xf numFmtId="9" fontId="4" fillId="0" borderId="0" xfId="3" applyNumberFormat="1"/>
    <xf numFmtId="9" fontId="4" fillId="0" borderId="35" xfId="3" applyNumberFormat="1" applyBorder="1"/>
    <xf numFmtId="9" fontId="4" fillId="0" borderId="39" xfId="3" applyNumberFormat="1" applyBorder="1"/>
    <xf numFmtId="9" fontId="4" fillId="0" borderId="37" xfId="3" applyNumberFormat="1" applyBorder="1"/>
    <xf numFmtId="0" fontId="2" fillId="0" borderId="35" xfId="3" applyFont="1" applyBorder="1"/>
    <xf numFmtId="0" fontId="2" fillId="0" borderId="34" xfId="3" applyFont="1" applyBorder="1" applyAlignment="1">
      <alignment wrapText="1"/>
    </xf>
    <xf numFmtId="172" fontId="2" fillId="0" borderId="35" xfId="3" applyNumberFormat="1" applyFont="1" applyBorder="1"/>
    <xf numFmtId="0" fontId="2" fillId="0" borderId="34" xfId="3" applyFont="1" applyBorder="1"/>
    <xf numFmtId="9" fontId="2" fillId="0" borderId="35" xfId="11" applyFont="1" applyBorder="1"/>
    <xf numFmtId="0" fontId="2" fillId="0" borderId="36" xfId="3" applyFont="1" applyBorder="1" applyAlignment="1">
      <alignment wrapText="1"/>
    </xf>
    <xf numFmtId="174" fontId="2" fillId="0" borderId="37" xfId="3" applyNumberFormat="1" applyFont="1" applyBorder="1"/>
    <xf numFmtId="10" fontId="2" fillId="0" borderId="35" xfId="11" applyNumberFormat="1" applyFont="1" applyBorder="1"/>
    <xf numFmtId="0" fontId="2" fillId="0" borderId="38" xfId="3" applyFont="1" applyBorder="1" applyAlignment="1">
      <alignment wrapText="1"/>
    </xf>
    <xf numFmtId="0" fontId="2" fillId="0" borderId="38" xfId="3" applyFont="1" applyBorder="1"/>
    <xf numFmtId="0" fontId="2" fillId="0" borderId="33" xfId="3" applyFont="1" applyBorder="1"/>
    <xf numFmtId="1" fontId="2" fillId="9" borderId="0" xfId="3" applyNumberFormat="1" applyFont="1" applyFill="1"/>
    <xf numFmtId="172" fontId="2" fillId="9" borderId="0" xfId="3" applyNumberFormat="1" applyFont="1" applyFill="1"/>
    <xf numFmtId="1" fontId="2" fillId="13" borderId="0" xfId="3" applyNumberFormat="1" applyFont="1" applyFill="1"/>
    <xf numFmtId="172" fontId="2" fillId="13" borderId="0" xfId="3" applyNumberFormat="1" applyFont="1" applyFill="1"/>
    <xf numFmtId="1" fontId="2" fillId="14" borderId="0" xfId="3" applyNumberFormat="1" applyFont="1" applyFill="1"/>
    <xf numFmtId="1" fontId="2" fillId="15" borderId="0" xfId="3" applyNumberFormat="1" applyFont="1" applyFill="1"/>
    <xf numFmtId="164" fontId="2" fillId="0" borderId="0" xfId="1" applyFont="1"/>
    <xf numFmtId="0" fontId="2" fillId="8" borderId="0" xfId="3" applyFont="1" applyFill="1"/>
    <xf numFmtId="175" fontId="2" fillId="8" borderId="0" xfId="3" applyNumberFormat="1" applyFont="1" applyFill="1"/>
    <xf numFmtId="172" fontId="2" fillId="8" borderId="0" xfId="3" applyNumberFormat="1" applyFont="1" applyFill="1"/>
    <xf numFmtId="1" fontId="2" fillId="8" borderId="0" xfId="3" applyNumberFormat="1" applyFont="1" applyFill="1"/>
    <xf numFmtId="3" fontId="2" fillId="8" borderId="0" xfId="3" applyNumberFormat="1" applyFont="1" applyFill="1"/>
    <xf numFmtId="165" fontId="2" fillId="8" borderId="0" xfId="3" applyNumberFormat="1" applyFont="1" applyFill="1"/>
    <xf numFmtId="3" fontId="2" fillId="9" borderId="0" xfId="3" applyNumberFormat="1" applyFont="1" applyFill="1"/>
    <xf numFmtId="165" fontId="2" fillId="9" borderId="0" xfId="3" applyNumberFormat="1" applyFont="1" applyFill="1"/>
    <xf numFmtId="0" fontId="2" fillId="9" borderId="0" xfId="3" applyFont="1" applyFill="1"/>
    <xf numFmtId="175" fontId="2" fillId="9" borderId="0" xfId="3" applyNumberFormat="1" applyFont="1" applyFill="1"/>
    <xf numFmtId="172" fontId="2" fillId="0" borderId="0" xfId="3" applyNumberFormat="1" applyFont="1"/>
    <xf numFmtId="3" fontId="2" fillId="13" borderId="0" xfId="3" applyNumberFormat="1" applyFont="1" applyFill="1"/>
    <xf numFmtId="165" fontId="2" fillId="13" borderId="0" xfId="3" applyNumberFormat="1" applyFont="1" applyFill="1"/>
    <xf numFmtId="0" fontId="2" fillId="13" borderId="0" xfId="3" applyFont="1" applyFill="1"/>
    <xf numFmtId="175" fontId="2" fillId="13" borderId="0" xfId="3" applyNumberFormat="1" applyFont="1" applyFill="1"/>
    <xf numFmtId="3" fontId="2" fillId="10" borderId="0" xfId="3" applyNumberFormat="1" applyFont="1" applyFill="1"/>
    <xf numFmtId="165" fontId="2" fillId="14" borderId="0" xfId="3" applyNumberFormat="1" applyFont="1" applyFill="1"/>
    <xf numFmtId="0" fontId="2" fillId="14" borderId="0" xfId="3" applyFont="1" applyFill="1"/>
    <xf numFmtId="175" fontId="2" fillId="10" borderId="0" xfId="3" applyNumberFormat="1" applyFont="1" applyFill="1"/>
    <xf numFmtId="172" fontId="2" fillId="10" borderId="0" xfId="3" applyNumberFormat="1" applyFont="1" applyFill="1"/>
    <xf numFmtId="3" fontId="2" fillId="11" borderId="0" xfId="3" applyNumberFormat="1" applyFont="1" applyFill="1"/>
    <xf numFmtId="165" fontId="2" fillId="15" borderId="0" xfId="3" applyNumberFormat="1" applyFont="1" applyFill="1"/>
    <xf numFmtId="0" fontId="2" fillId="15" borderId="0" xfId="3" applyFont="1" applyFill="1"/>
    <xf numFmtId="175" fontId="2" fillId="11" borderId="0" xfId="3" applyNumberFormat="1" applyFont="1" applyFill="1"/>
    <xf numFmtId="172" fontId="2" fillId="11" borderId="0" xfId="3" applyNumberFormat="1" applyFont="1" applyFill="1"/>
    <xf numFmtId="3" fontId="2" fillId="0" borderId="0" xfId="3" applyNumberFormat="1" applyFont="1"/>
    <xf numFmtId="165" fontId="2" fillId="0" borderId="0" xfId="3" applyNumberFormat="1" applyFont="1"/>
    <xf numFmtId="1" fontId="2" fillId="0" borderId="0" xfId="3" applyNumberFormat="1" applyFont="1"/>
    <xf numFmtId="181" fontId="4" fillId="0" borderId="0" xfId="3" applyNumberFormat="1"/>
    <xf numFmtId="0" fontId="10" fillId="2" borderId="0" xfId="0" applyFont="1" applyFill="1" applyAlignment="1">
      <alignment vertical="top" wrapText="1"/>
    </xf>
    <xf numFmtId="0" fontId="0" fillId="0" borderId="0" xfId="0"/>
    <xf numFmtId="0" fontId="13" fillId="2" borderId="0" xfId="0" applyFont="1" applyFill="1" applyAlignment="1">
      <alignment wrapText="1"/>
    </xf>
    <xf numFmtId="0" fontId="0" fillId="0" borderId="0" xfId="0" applyAlignment="1">
      <alignment wrapText="1"/>
    </xf>
    <xf numFmtId="0" fontId="13" fillId="2" borderId="0" xfId="0" applyFont="1" applyFill="1" applyAlignment="1">
      <alignment vertical="top" wrapText="1"/>
    </xf>
    <xf numFmtId="0" fontId="0" fillId="0" borderId="0" xfId="0" applyAlignment="1">
      <alignment vertical="top" wrapText="1"/>
    </xf>
    <xf numFmtId="0" fontId="14" fillId="2" borderId="7" xfId="0" applyFont="1" applyFill="1" applyBorder="1" applyAlignment="1">
      <alignment vertical="top"/>
    </xf>
    <xf numFmtId="0" fontId="0" fillId="0" borderId="0" xfId="0" applyAlignment="1">
      <alignment vertical="top"/>
    </xf>
    <xf numFmtId="0" fontId="19" fillId="0" borderId="32" xfId="3" applyFont="1" applyBorder="1" applyAlignment="1">
      <alignment horizontal="center"/>
    </xf>
    <xf numFmtId="0" fontId="19" fillId="0" borderId="33" xfId="3" applyFont="1" applyBorder="1" applyAlignment="1">
      <alignment horizontal="center"/>
    </xf>
    <xf numFmtId="0" fontId="20" fillId="0" borderId="32" xfId="3" applyFont="1" applyBorder="1" applyAlignment="1">
      <alignment horizontal="center"/>
    </xf>
    <xf numFmtId="0" fontId="20" fillId="0" borderId="33" xfId="3" applyFont="1" applyBorder="1" applyAlignment="1">
      <alignment horizontal="center"/>
    </xf>
    <xf numFmtId="0" fontId="32" fillId="0" borderId="32" xfId="3" applyFont="1" applyBorder="1" applyAlignment="1">
      <alignment horizontal="center"/>
    </xf>
    <xf numFmtId="0" fontId="4" fillId="0" borderId="33" xfId="3" applyBorder="1" applyAlignment="1">
      <alignment horizontal="center"/>
    </xf>
    <xf numFmtId="0" fontId="21" fillId="0" borderId="32" xfId="3" applyFont="1" applyBorder="1" applyAlignment="1">
      <alignment horizontal="center" vertical="top" wrapText="1"/>
    </xf>
    <xf numFmtId="0" fontId="21" fillId="0" borderId="33" xfId="3" applyFont="1" applyBorder="1" applyAlignment="1">
      <alignment horizontal="center" vertical="top" wrapText="1"/>
    </xf>
    <xf numFmtId="0" fontId="35" fillId="20" borderId="0" xfId="3" applyFont="1" applyFill="1" applyAlignment="1">
      <alignment horizontal="center"/>
    </xf>
    <xf numFmtId="0" fontId="35" fillId="20" borderId="0" xfId="3" applyFont="1" applyFill="1"/>
    <xf numFmtId="0" fontId="33" fillId="20" borderId="0" xfId="3" applyFont="1" applyFill="1"/>
    <xf numFmtId="0" fontId="36" fillId="20" borderId="0" xfId="3" applyFont="1" applyFill="1"/>
    <xf numFmtId="0" fontId="19" fillId="21" borderId="0" xfId="3" applyFont="1" applyFill="1" applyAlignment="1">
      <alignment horizontal="center"/>
    </xf>
    <xf numFmtId="0" fontId="4" fillId="21" borderId="0" xfId="3" applyFill="1"/>
    <xf numFmtId="175" fontId="0" fillId="21" borderId="0" xfId="6" applyNumberFormat="1" applyFont="1" applyFill="1"/>
    <xf numFmtId="175" fontId="4" fillId="21" borderId="0" xfId="3" applyNumberFormat="1" applyFill="1"/>
    <xf numFmtId="172" fontId="4" fillId="21" borderId="0" xfId="3" applyNumberFormat="1" applyFill="1"/>
    <xf numFmtId="172" fontId="19" fillId="21" borderId="0" xfId="3" applyNumberFormat="1" applyFont="1" applyFill="1"/>
    <xf numFmtId="1" fontId="4" fillId="21" borderId="0" xfId="3" applyNumberFormat="1" applyFill="1"/>
    <xf numFmtId="165" fontId="0" fillId="21" borderId="0" xfId="4" applyFont="1" applyFill="1"/>
    <xf numFmtId="3" fontId="4" fillId="21" borderId="0" xfId="3" applyNumberFormat="1" applyFill="1"/>
    <xf numFmtId="165" fontId="4" fillId="21" borderId="0" xfId="3" applyNumberFormat="1" applyFill="1"/>
    <xf numFmtId="0" fontId="19" fillId="22" borderId="41" xfId="3" applyFont="1" applyFill="1" applyBorder="1" applyAlignment="1">
      <alignment horizontal="center"/>
    </xf>
    <xf numFmtId="3" fontId="4" fillId="22" borderId="41" xfId="3" applyNumberFormat="1" applyFill="1" applyBorder="1"/>
    <xf numFmtId="165" fontId="0" fillId="22" borderId="41" xfId="4" applyFont="1" applyFill="1" applyBorder="1"/>
    <xf numFmtId="165" fontId="4" fillId="22" borderId="41" xfId="3" applyNumberFormat="1" applyFill="1" applyBorder="1"/>
    <xf numFmtId="1" fontId="4" fillId="22" borderId="41" xfId="3" applyNumberFormat="1" applyFill="1" applyBorder="1"/>
    <xf numFmtId="0" fontId="4" fillId="22" borderId="41" xfId="3" applyFill="1" applyBorder="1"/>
    <xf numFmtId="175" fontId="19" fillId="22" borderId="41" xfId="6" applyNumberFormat="1" applyFont="1" applyFill="1" applyBorder="1"/>
    <xf numFmtId="0" fontId="1" fillId="22" borderId="41" xfId="3" applyFont="1" applyFill="1" applyBorder="1"/>
    <xf numFmtId="175" fontId="0" fillId="22" borderId="41" xfId="6" applyNumberFormat="1" applyFont="1" applyFill="1" applyBorder="1"/>
    <xf numFmtId="175" fontId="4" fillId="22" borderId="41" xfId="3" applyNumberFormat="1" applyFill="1" applyBorder="1"/>
    <xf numFmtId="172" fontId="4" fillId="22" borderId="41" xfId="3" applyNumberFormat="1" applyFill="1" applyBorder="1"/>
    <xf numFmtId="177" fontId="19" fillId="22" borderId="41" xfId="1" applyNumberFormat="1" applyFont="1" applyFill="1" applyBorder="1"/>
    <xf numFmtId="172" fontId="19" fillId="22" borderId="41" xfId="3" applyNumberFormat="1" applyFont="1" applyFill="1" applyBorder="1"/>
    <xf numFmtId="1" fontId="1" fillId="21" borderId="0" xfId="3" applyNumberFormat="1" applyFont="1" applyFill="1"/>
    <xf numFmtId="172" fontId="1" fillId="21" borderId="0" xfId="3" applyNumberFormat="1" applyFont="1" applyFill="1"/>
    <xf numFmtId="177" fontId="19" fillId="21" borderId="0" xfId="1" applyNumberFormat="1" applyFont="1" applyFill="1"/>
    <xf numFmtId="1" fontId="1" fillId="22" borderId="41" xfId="3" applyNumberFormat="1" applyFont="1" applyFill="1" applyBorder="1"/>
    <xf numFmtId="172" fontId="1" fillId="22" borderId="41" xfId="3" applyNumberFormat="1" applyFont="1" applyFill="1" applyBorder="1"/>
    <xf numFmtId="2" fontId="34" fillId="24" borderId="42" xfId="7" applyNumberFormat="1" applyFont="1" applyFill="1" applyBorder="1"/>
    <xf numFmtId="2" fontId="34" fillId="23" borderId="42" xfId="7" applyNumberFormat="1" applyFont="1" applyFill="1" applyBorder="1"/>
    <xf numFmtId="2" fontId="19" fillId="24" borderId="42" xfId="7" applyNumberFormat="1" applyFont="1" applyFill="1" applyBorder="1"/>
    <xf numFmtId="2" fontId="19" fillId="23" borderId="42" xfId="7" applyNumberFormat="1" applyFont="1" applyFill="1" applyBorder="1"/>
    <xf numFmtId="2" fontId="34" fillId="12" borderId="42" xfId="7" applyNumberFormat="1" applyFont="1" applyFill="1" applyBorder="1"/>
    <xf numFmtId="0" fontId="19" fillId="23" borderId="43" xfId="7" applyFont="1" applyFill="1" applyBorder="1"/>
    <xf numFmtId="0" fontId="34" fillId="24" borderId="43" xfId="7" applyFont="1" applyFill="1" applyBorder="1"/>
    <xf numFmtId="0" fontId="34" fillId="23" borderId="43" xfId="7" applyFont="1" applyFill="1" applyBorder="1"/>
    <xf numFmtId="0" fontId="19" fillId="24" borderId="43" xfId="7" applyFont="1" applyFill="1" applyBorder="1"/>
    <xf numFmtId="0" fontId="34" fillId="12" borderId="43" xfId="7" applyFont="1" applyFill="1" applyBorder="1"/>
    <xf numFmtId="0" fontId="22" fillId="24" borderId="44" xfId="8" applyFill="1" applyBorder="1"/>
    <xf numFmtId="0" fontId="22" fillId="23" borderId="44" xfId="8" applyFill="1" applyBorder="1"/>
    <xf numFmtId="0" fontId="34" fillId="23" borderId="44" xfId="7" applyFont="1" applyFill="1" applyBorder="1"/>
    <xf numFmtId="0" fontId="34" fillId="24" borderId="44" xfId="7" applyFont="1" applyFill="1" applyBorder="1"/>
    <xf numFmtId="0" fontId="23" fillId="23" borderId="44" xfId="7" applyFont="1" applyFill="1" applyBorder="1" applyAlignment="1">
      <alignment horizontal="left" vertical="center" wrapText="1" readingOrder="1"/>
    </xf>
    <xf numFmtId="0" fontId="34" fillId="12" borderId="44" xfId="7" applyFont="1" applyFill="1" applyBorder="1"/>
    <xf numFmtId="2" fontId="34" fillId="23" borderId="44" xfId="7" applyNumberFormat="1" applyFont="1" applyFill="1" applyBorder="1"/>
    <xf numFmtId="10" fontId="34" fillId="24" borderId="44" xfId="9" applyNumberFormat="1" applyFont="1" applyFill="1" applyBorder="1"/>
    <xf numFmtId="0" fontId="19" fillId="23" borderId="45" xfId="7" applyFont="1" applyFill="1" applyBorder="1"/>
    <xf numFmtId="0" fontId="19" fillId="23" borderId="46" xfId="7" applyFont="1" applyFill="1" applyBorder="1"/>
    <xf numFmtId="0" fontId="37" fillId="23" borderId="47" xfId="7" applyFont="1" applyFill="1" applyBorder="1"/>
    <xf numFmtId="0" fontId="19" fillId="23" borderId="48" xfId="7" applyFont="1" applyFill="1" applyBorder="1"/>
    <xf numFmtId="2" fontId="19" fillId="23" borderId="49" xfId="7" applyNumberFormat="1" applyFont="1" applyFill="1" applyBorder="1"/>
    <xf numFmtId="0" fontId="34" fillId="23" borderId="50" xfId="7" applyFont="1" applyFill="1" applyBorder="1"/>
  </cellXfs>
  <cellStyles count="12">
    <cellStyle name="Comma" xfId="1" builtinId="3"/>
    <cellStyle name="Comma 2" xfId="6" xr:uid="{7A2CB482-E569-234C-A3A2-425BB6A63E95}"/>
    <cellStyle name="Currency" xfId="2" builtinId="4"/>
    <cellStyle name="Currency 2" xfId="4" xr:uid="{C537AEB4-5A72-F84E-8799-7929A138DA76}"/>
    <cellStyle name="Hyperlink" xfId="10" builtinId="8"/>
    <cellStyle name="Hyperlink 2" xfId="8" xr:uid="{C0D1C09B-CC51-C74D-B26E-C72AA1B77672}"/>
    <cellStyle name="Normal" xfId="0" builtinId="0"/>
    <cellStyle name="Normal 2" xfId="3" xr:uid="{50B95B3E-2D56-6647-B0A7-5357BE114A82}"/>
    <cellStyle name="Normal 2 2" xfId="7" xr:uid="{4B8B8387-953B-2746-BB54-4451714F8F9E}"/>
    <cellStyle name="Percent" xfId="11" builtinId="5"/>
    <cellStyle name="Percent 2" xfId="5" xr:uid="{E5756113-26D3-044E-A555-14694D7669D1}"/>
    <cellStyle name="Percent 2 2" xfId="9" xr:uid="{92DE4024-0399-6B4E-83B5-7F0795D15FF8}"/>
  </cellStyles>
  <dxfs count="12">
    <dxf>
      <font>
        <b val="0"/>
        <i val="0"/>
        <strike val="0"/>
        <condense val="0"/>
        <extend val="0"/>
        <outline val="0"/>
        <shadow val="0"/>
        <u val="none"/>
        <vertAlign val="baseline"/>
        <sz val="10"/>
        <color theme="1"/>
        <name val="Arial"/>
        <family val="2"/>
        <scheme val="none"/>
      </font>
      <fill>
        <patternFill patternType="solid">
          <fgColor theme="8" tint="0.79998168889431442"/>
          <bgColor theme="8" tint="0.79998168889431442"/>
        </patternFill>
      </fill>
      <border diagonalUp="0" diagonalDown="0">
        <left style="thin">
          <color theme="8" tint="0.39997558519241921"/>
        </left>
        <right/>
        <top style="thin">
          <color theme="8" tint="0.39997558519241921"/>
        </top>
        <bottom style="thin">
          <color theme="8" tint="0.39997558519241921"/>
        </bottom>
        <vertical/>
        <horizontal/>
      </border>
    </dxf>
    <dxf>
      <border outline="0">
        <top style="thin">
          <color theme="8" tint="0.39997558519241921"/>
        </top>
      </border>
    </dxf>
    <dxf>
      <border outline="0">
        <bottom style="thin">
          <color theme="8" tint="0.39997558519241921"/>
        </bottom>
      </border>
    </dxf>
    <dxf>
      <border outline="0">
        <left style="thin">
          <color theme="8" tint="0.39997558519241921"/>
        </left>
        <right style="thin">
          <color theme="8" tint="0.39997558519241921"/>
        </right>
        <top style="thin">
          <color theme="8" tint="0.39997558519241921"/>
        </top>
        <bottom style="thin">
          <color theme="8" tint="0.39997558519241921"/>
        </bottom>
      </border>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s>
  <tableStyles count="0" defaultTableStyle="TableStyleMedium9" defaultPivotStyle="PivotStyleLight16"/>
  <colors>
    <mruColors>
      <color rgb="FFDDD9C5"/>
      <color rgb="FF91D150"/>
      <color rgb="FFB1E29F"/>
      <color rgb="FF2E7DCE"/>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1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17" Type="http://schemas.openxmlformats.org/officeDocument/2006/relationships/calcChain" Target="calcChain.xml"/><Relationship Id="rId2" Type="http://schemas.openxmlformats.org/officeDocument/2006/relationships/worksheet" Target="worksheets/sheet2.xml"/><Relationship Id="rId16" Type="http://schemas.microsoft.com/office/2017/10/relationships/person" Target="persons/person.xml"/><Relationship Id="rId20" Type="http://schemas.openxmlformats.org/officeDocument/2006/relationships/customXml" Target="../customXml/item3.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eetMetadata" Target="metadata.xml"/><Relationship Id="rId10" Type="http://schemas.openxmlformats.org/officeDocument/2006/relationships/worksheet" Target="worksheets/sheet10.xml"/><Relationship Id="rId19" Type="http://schemas.openxmlformats.org/officeDocument/2006/relationships/customXml" Target="../customXml/item2.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xdr:from>
      <xdr:col>3</xdr:col>
      <xdr:colOff>685800</xdr:colOff>
      <xdr:row>22</xdr:row>
      <xdr:rowOff>38100</xdr:rowOff>
    </xdr:from>
    <xdr:to>
      <xdr:col>4</xdr:col>
      <xdr:colOff>330200</xdr:colOff>
      <xdr:row>22</xdr:row>
      <xdr:rowOff>774700</xdr:rowOff>
    </xdr:to>
    <xdr:pic>
      <xdr:nvPicPr>
        <xdr:cNvPr id="3125" name="Picture 7">
          <a:extLst>
            <a:ext uri="{FF2B5EF4-FFF2-40B4-BE49-F238E27FC236}">
              <a16:creationId xmlns:a16="http://schemas.microsoft.com/office/drawing/2014/main" id="{B1C32C0A-6BE9-F2B4-1EEA-7D9DF90F98A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492500" y="6134100"/>
          <a:ext cx="2895600" cy="736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persons/person.xml><?xml version="1.0" encoding="utf-8"?>
<personList xmlns="http://schemas.microsoft.com/office/spreadsheetml/2018/threadedcomments" xmlns:x="http://schemas.openxmlformats.org/spreadsheetml/2006/main">
  <person displayName="Stilz, Vincent" id="{1DB7E270-604A-A64E-B3D7-B8035EE77F9E}" userId="Vincent.Stilz@Student.Reutlingen-University.DE" providerId="PeoplePicker"/>
  <person displayName="Lehr, Linus Caspar" id="{543FA299-F54A-CC4E-B4E9-99B75B69DB8A}" userId="S::linus_caspar.lehr@student.reutlingen-university.de::53576e29-02d4-4d0a-81f8-38c61b68bb05" providerId="AD"/>
</personList>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6BE9392D-77F4-6C45-9E20-B8A04D44995B}" name="Table1" displayName="Table1" ref="A1:C37" totalsRowShown="0" headerRowBorderDxfId="2" tableBorderDxfId="3" totalsRowBorderDxfId="1">
  <autoFilter ref="A1:C37" xr:uid="{6BE9392D-77F4-6C45-9E20-B8A04D44995B}"/>
  <tableColumns count="3">
    <tableColumn id="1" xr3:uid="{DBE59F8A-E8D8-8741-99B9-F44234E87345}" name="Component"/>
    <tableColumn id="2" xr3:uid="{612FD1F2-1910-9A4A-863B-AFEB94D4A429}" name="Cost "/>
    <tableColumn id="3" xr3:uid="{9440C33B-AB6B-5141-9519-A9F066A59654}" name="Link Source" dataDxfId="0" dataCellStyle="Normal 2 2"/>
  </tableColumns>
  <tableStyleInfo name="TableStyleMedium9" showFirstColumn="0" showLastColumn="0" showRowStripes="1" showColumnStripes="0"/>
</table>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readedComments/threadedComment1.xml><?xml version="1.0" encoding="utf-8"?>
<ThreadedComments xmlns="http://schemas.microsoft.com/office/spreadsheetml/2018/threadedcomments" xmlns:x="http://schemas.openxmlformats.org/spreadsheetml/2006/main">
  <threadedComment ref="N15" dT="2024-03-20T13:24:43.18" personId="{543FA299-F54A-CC4E-B4E9-99B75B69DB8A}" id="{D62D4D39-A9E3-D242-8780-C69B1DBBB291}">
    <text xml:space="preserve">Halbieren </text>
  </threadedComment>
</ThreadedComments>
</file>

<file path=xl/threadedComments/threadedComment2.xml><?xml version="1.0" encoding="utf-8"?>
<ThreadedComments xmlns="http://schemas.microsoft.com/office/spreadsheetml/2018/threadedcomments" xmlns:x="http://schemas.openxmlformats.org/spreadsheetml/2006/main">
  <threadedComment ref="F15" dT="2024-03-19T14:55:01.08" personId="{543FA299-F54A-CC4E-B4E9-99B75B69DB8A}" id="{53515BB3-1847-AA48-9F6C-8B20E14E5FFA}">
    <text>@Stilz, Vincent kannst du dir mal den stand jetzt angucken? Ich glaube aktuell werden die Produktkosten doppelt berücksichtigt?</text>
    <mentions>
      <mention mentionpersonId="{1DB7E270-604A-A64E-B3D7-B8035EE77F9E}" mentionId="{C805EF60-8E57-DC4C-9989-209A708784CB}" startIndex="0" length="15"/>
    </mentions>
  </threadedComment>
  <threadedComment ref="F15" dT="2024-03-19T14:59:27.46" personId="{543FA299-F54A-CC4E-B4E9-99B75B69DB8A}" id="{A4D99F2B-825C-2648-BB89-070AF2A9E843}" parentId="{53515BB3-1847-AA48-9F6C-8B20E14E5FFA}">
    <text>Habe ich mit Adjustment for COGS gefixed, aber es geht immer noch nicht auf?</text>
  </threadedComment>
</ThreadedComments>
</file>

<file path=xl/threadedComments/threadedComment3.xml><?xml version="1.0" encoding="utf-8"?>
<ThreadedComments xmlns="http://schemas.microsoft.com/office/spreadsheetml/2018/threadedcomments" xmlns:x="http://schemas.openxmlformats.org/spreadsheetml/2006/main">
  <threadedComment ref="F1" dT="2024-03-18T19:53:12.28" personId="{543FA299-F54A-CC4E-B4E9-99B75B69DB8A}" id="{4553D5FD-D79F-5C4A-B8CC-0B2D98691E4F}">
    <text>@Stilz, Vincent Die spalte sieht nicht ganz richtig aus</text>
    <mentions>
      <mention mentionpersonId="{1DB7E270-604A-A64E-B3D7-B8035EE77F9E}" mentionId="{ECD6D2D0-3B42-F74E-90A2-5513BCBA59F6}" startIndex="0" length="15"/>
    </mentions>
  </threadedComment>
  <threadedComment ref="Y13" dT="2024-03-20T00:53:28.86" personId="{543FA299-F54A-CC4E-B4E9-99B75B69DB8A}" id="{78B767EB-52C5-0148-8B63-09CAB5062F5F}">
    <text>@Stilz, Vincent genau um den Betrag geht die Summe nicht auf! Der wird entweder garnicht oder doppelt berücksichtigt</text>
    <mentions>
      <mention mentionpersonId="{1DB7E270-604A-A64E-B3D7-B8035EE77F9E}" mentionId="{236956F0-8D68-AC4A-9930-CD84BE7DB8DB}" startIndex="0" length="15"/>
    </mentions>
  </threadedComment>
  <threadedComment ref="X25" dT="2024-03-21T11:22:11.10" personId="{543FA299-F54A-CC4E-B4E9-99B75B69DB8A}" id="{403A1340-1329-6F41-8CE8-C7C8BE6199B9}">
    <text>Habe das von e17 zu e18 geändert</text>
  </threadedComment>
</ThreadedComments>
</file>

<file path=xl/threadedComments/threadedComment4.xml><?xml version="1.0" encoding="utf-8"?>
<ThreadedComments xmlns="http://schemas.microsoft.com/office/spreadsheetml/2018/threadedcomments" xmlns:x="http://schemas.openxmlformats.org/spreadsheetml/2006/main">
  <threadedComment ref="F1" dT="2024-03-18T19:53:12.28" personId="{543FA299-F54A-CC4E-B4E9-99B75B69DB8A}" id="{38A4D150-0100-794B-AC41-EB289319BF1F}">
    <text>@Stilz, Vincent Die spalte sieht nicht ganz richtig aus</text>
    <mentions>
      <mention mentionpersonId="{1DB7E270-604A-A64E-B3D7-B8035EE77F9E}" mentionId="{57C8913E-412A-3549-81EC-A9CD3620134C}" startIndex="0" length="15"/>
    </mentions>
  </threadedComment>
  <threadedComment ref="S13" dT="2024-03-20T00:53:28.86" personId="{543FA299-F54A-CC4E-B4E9-99B75B69DB8A}" id="{EEA744FA-D5B9-7540-9BD8-C7E116B98347}">
    <text>@Stilz, Vincent genau um den Betrag geht die Summe nicht auf! Der wird entweder garnicht oder doppelt berücksichtigt</text>
    <mentions>
      <mention mentionpersonId="{1DB7E270-604A-A64E-B3D7-B8035EE77F9E}" mentionId="{4A1A036D-AAD0-0E40-9A3B-A4DD85095225}" startIndex="0" length="15"/>
    </mentions>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1" Type="http://schemas.openxmlformats.org/officeDocument/2006/relationships/hyperlink" Target="https://www.zinsen-berechnen.de/kreditrechner.php?paramid=ius63kdlb3" TargetMode="External"/></Relationships>
</file>

<file path=xl/worksheets/_rels/sheet4.xml.rels><?xml version="1.0" encoding="UTF-8" standalone="yes"?>
<Relationships xmlns="http://schemas.openxmlformats.org/package/2006/relationships"><Relationship Id="rId3" Type="http://schemas.microsoft.com/office/2017/10/relationships/threadedComment" Target="../threadedComments/threadedComment1.xml"/><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5.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2.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9.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10.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5.xml"/><Relationship Id="rId1" Type="http://schemas.openxmlformats.org/officeDocument/2006/relationships/vmlDrawing" Target="../drawings/vmlDrawing5.vml"/></Relationships>
</file>

<file path=xl/worksheets/_rels/sheet11.xml.rels><?xml version="1.0" encoding="UTF-8" standalone="yes"?>
<Relationships xmlns="http://schemas.openxmlformats.org/package/2006/relationships"><Relationship Id="rId8" Type="http://schemas.openxmlformats.org/officeDocument/2006/relationships/hyperlink" Target="https://www.alibaba.com/product-detail/PCB-Mounted-SMT-Push-Pull-Tray_1600806434725.html?s=p" TargetMode="External"/><Relationship Id="rId13" Type="http://schemas.openxmlformats.org/officeDocument/2006/relationships/hyperlink" Target="https://www.alibaba.com/product-detail/Aramid-Webbing-Black-High-Strength-Temperature_1600974509427.html?spm=a27aq.27095423.1978240560.13.7a1931c8NLabj0" TargetMode="External"/><Relationship Id="rId3" Type="http://schemas.openxmlformats.org/officeDocument/2006/relationships/hyperlink" Target="https://czkeling.en.alibaba.com/minisiteentrance.html?from=detail&amp;productId=1600931976361" TargetMode="External"/><Relationship Id="rId7" Type="http://schemas.openxmlformats.org/officeDocument/2006/relationships/hyperlink" Target="https://www.alibaba.com/product-detail/3-7V-7-4V-11-1V_1600791127945.html?spm=a2700.galleryofferlist.p_offer.d_title.8892747b1d3gKJ&amp;s=p" TargetMode="External"/><Relationship Id="rId12" Type="http://schemas.openxmlformats.org/officeDocument/2006/relationships/hyperlink" Target="https://www.alibaba.com/product-detail/23mm-90dB-DC-5V-12V-24V_1600284210703.html?spm=a2700.galleryofferlist.p_offer.d_title.4d033672FBiWTA&amp;s=p" TargetMode="External"/><Relationship Id="rId2" Type="http://schemas.openxmlformats.org/officeDocument/2006/relationships/hyperlink" Target="https://www.alibaba.com/product-detail/Low-Power-SMD-compon-GSM-GPRS_1600145550450.html?s=p" TargetMode="External"/><Relationship Id="rId16" Type="http://schemas.openxmlformats.org/officeDocument/2006/relationships/table" Target="../tables/table1.xml"/><Relationship Id="rId1" Type="http://schemas.openxmlformats.org/officeDocument/2006/relationships/hyperlink" Target="https://minewsemi.en.alibaba.com/minisiteentrance.html?from=detail&amp;productId=1600821627963" TargetMode="External"/><Relationship Id="rId6" Type="http://schemas.openxmlformats.org/officeDocument/2006/relationships/hyperlink" Target="https://www.alibaba.com/product-detail/Professional-6Dbi-High-Gain-GSM-GPRS_1600087162933.html" TargetMode="External"/><Relationship Id="rId11" Type="http://schemas.openxmlformats.org/officeDocument/2006/relationships/hyperlink" Target="https://www.alibaba.com/product-detail/High-Temperature-Resistance-ISO18000-6C-Chip_1600696770725.html?s=p" TargetMode="External"/><Relationship Id="rId5" Type="http://schemas.openxmlformats.org/officeDocument/2006/relationships/hyperlink" Target="https://www.alibaba.com/product-detail/STM32F031K6U6-IC-Chip-Microcontroller-IC-32_1600580606564.html?spm=a2700.galleryofferlist.p_offer.d_image.6cb06144IT4ger&amp;s=p" TargetMode="External"/><Relationship Id="rId15" Type="http://schemas.openxmlformats.org/officeDocument/2006/relationships/hyperlink" Target="https://rommel-net.com/de/" TargetMode="External"/><Relationship Id="rId10" Type="http://schemas.openxmlformats.org/officeDocument/2006/relationships/hyperlink" Target="https://rommel-net.com/de/" TargetMode="External"/><Relationship Id="rId4" Type="http://schemas.openxmlformats.org/officeDocument/2006/relationships/hyperlink" Target="https://www.alibaba.com/product-detail/Lorida-simcom-4G-LTE-CAT-1_1600904076090.html" TargetMode="External"/><Relationship Id="rId9" Type="http://schemas.openxmlformats.org/officeDocument/2006/relationships/hyperlink" Target="https://www.alibaba.com/product-detail/Shenzhen-14-Years-custom-pcba-assembly_1600341296173.html?spm=a2700.galleryofferlist.p_offer.d_title.13271c23YJBmSi&amp;s=p" TargetMode="External"/><Relationship Id="rId14" Type="http://schemas.openxmlformats.org/officeDocument/2006/relationships/hyperlink" Target="https://www.alibaba.com/product-detail/Custom-2-3-5-4-3_1600765295369.html?spm=a2700.galleryofferlist.p_offer.d_title.1db55d4fhsOfWK&amp;s=p"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23"/>
  <sheetViews>
    <sheetView zoomScale="136" workbookViewId="0"/>
  </sheetViews>
  <sheetFormatPr baseColWidth="10" defaultColWidth="11.5" defaultRowHeight="13" x14ac:dyDescent="0.15"/>
  <cols>
    <col min="1" max="1" width="6.6640625" style="3" customWidth="1"/>
    <col min="2" max="2" width="14.5" style="3" customWidth="1"/>
    <col min="3" max="3" width="15.6640625" style="3" customWidth="1"/>
    <col min="4" max="4" width="42.6640625" style="3" customWidth="1"/>
    <col min="5" max="5" width="5" style="3" customWidth="1"/>
    <col min="6" max="16384" width="11.5" style="3"/>
  </cols>
  <sheetData>
    <row r="1" spans="1:5" ht="23.25" customHeight="1" x14ac:dyDescent="0.15">
      <c r="A1" s="1" t="s">
        <v>0</v>
      </c>
      <c r="B1" s="5"/>
      <c r="C1" s="5"/>
      <c r="D1" s="5"/>
      <c r="E1" s="6"/>
    </row>
    <row r="2" spans="1:5" ht="30" customHeight="1" x14ac:dyDescent="0.15">
      <c r="A2" s="17"/>
      <c r="B2" s="306" t="s">
        <v>1</v>
      </c>
      <c r="C2" s="307"/>
      <c r="D2" s="307"/>
      <c r="E2" s="2"/>
    </row>
    <row r="3" spans="1:5" x14ac:dyDescent="0.15">
      <c r="A3" s="10" t="s">
        <v>2</v>
      </c>
      <c r="B3" s="149" t="s">
        <v>3</v>
      </c>
      <c r="C3" s="8"/>
      <c r="D3" s="8"/>
      <c r="E3" s="9"/>
    </row>
    <row r="4" spans="1:5" ht="14" customHeight="1" x14ac:dyDescent="0.15">
      <c r="A4" s="10"/>
      <c r="B4" s="8" t="s">
        <v>4</v>
      </c>
      <c r="C4" s="150">
        <v>45658</v>
      </c>
      <c r="D4" s="8"/>
      <c r="E4" s="9"/>
    </row>
    <row r="5" spans="1:5" ht="21" customHeight="1" x14ac:dyDescent="0.15">
      <c r="A5" s="10" t="s">
        <v>5</v>
      </c>
      <c r="B5" s="149" t="s">
        <v>6</v>
      </c>
      <c r="C5" s="8"/>
      <c r="D5" s="8"/>
      <c r="E5" s="9"/>
    </row>
    <row r="6" spans="1:5" ht="12" customHeight="1" x14ac:dyDescent="0.15">
      <c r="A6" s="10"/>
      <c r="B6" s="8" t="s">
        <v>7</v>
      </c>
      <c r="C6" s="8"/>
      <c r="D6" s="8"/>
      <c r="E6" s="9"/>
    </row>
    <row r="7" spans="1:5" ht="18" customHeight="1" x14ac:dyDescent="0.15">
      <c r="A7" s="10" t="s">
        <v>8</v>
      </c>
      <c r="B7" s="149" t="s">
        <v>9</v>
      </c>
      <c r="C7" s="8"/>
      <c r="D7" s="8"/>
      <c r="E7" s="9"/>
    </row>
    <row r="8" spans="1:5" ht="25.5" customHeight="1" x14ac:dyDescent="0.15">
      <c r="A8" s="10"/>
      <c r="B8" s="308" t="s">
        <v>10</v>
      </c>
      <c r="C8" s="308"/>
      <c r="D8" s="308"/>
      <c r="E8" s="9"/>
    </row>
    <row r="9" spans="1:5" ht="17.25" customHeight="1" x14ac:dyDescent="0.15">
      <c r="A9" s="10" t="s">
        <v>11</v>
      </c>
      <c r="B9" s="149" t="s">
        <v>12</v>
      </c>
      <c r="C9" s="8"/>
      <c r="D9" s="8"/>
      <c r="E9" s="9"/>
    </row>
    <row r="10" spans="1:5" ht="12" customHeight="1" x14ac:dyDescent="0.15">
      <c r="A10" s="10"/>
      <c r="B10" s="308" t="s">
        <v>13</v>
      </c>
      <c r="C10" s="309"/>
      <c r="D10" s="309"/>
      <c r="E10" s="9"/>
    </row>
    <row r="11" spans="1:5" ht="12.75" customHeight="1" x14ac:dyDescent="0.15">
      <c r="A11" s="10"/>
      <c r="B11" s="309"/>
      <c r="C11" s="309"/>
      <c r="D11" s="309"/>
      <c r="E11" s="9"/>
    </row>
    <row r="12" spans="1:5" ht="14.25" customHeight="1" x14ac:dyDescent="0.15">
      <c r="A12" s="10" t="s">
        <v>14</v>
      </c>
      <c r="B12" s="149" t="s">
        <v>15</v>
      </c>
      <c r="C12" s="8"/>
      <c r="D12" s="8"/>
      <c r="E12" s="9"/>
    </row>
    <row r="13" spans="1:5" ht="25.5" customHeight="1" x14ac:dyDescent="0.15">
      <c r="A13" s="7"/>
      <c r="B13" s="308" t="s">
        <v>16</v>
      </c>
      <c r="C13" s="308"/>
      <c r="D13" s="308"/>
      <c r="E13" s="9"/>
    </row>
    <row r="14" spans="1:5" ht="14.25" customHeight="1" x14ac:dyDescent="0.15">
      <c r="A14" s="10" t="s">
        <v>17</v>
      </c>
      <c r="B14" s="149" t="s">
        <v>18</v>
      </c>
      <c r="C14" s="8"/>
      <c r="D14" s="8"/>
      <c r="E14" s="9"/>
    </row>
    <row r="15" spans="1:5" ht="25.5" customHeight="1" x14ac:dyDescent="0.15">
      <c r="A15" s="7"/>
      <c r="B15" s="308" t="s">
        <v>19</v>
      </c>
      <c r="C15" s="308"/>
      <c r="D15" s="308"/>
      <c r="E15" s="9"/>
    </row>
    <row r="16" spans="1:5" ht="14.25" customHeight="1" x14ac:dyDescent="0.15">
      <c r="A16" s="11" t="s">
        <v>20</v>
      </c>
      <c r="B16" s="8"/>
      <c r="C16" s="8"/>
      <c r="D16" s="8"/>
      <c r="E16" s="9"/>
    </row>
    <row r="17" spans="1:5" ht="15" customHeight="1" x14ac:dyDescent="0.15">
      <c r="A17" s="151" t="s">
        <v>21</v>
      </c>
      <c r="B17" s="310" t="s">
        <v>22</v>
      </c>
      <c r="C17" s="310"/>
      <c r="D17" s="310"/>
      <c r="E17" s="9"/>
    </row>
    <row r="18" spans="1:5" ht="27" customHeight="1" x14ac:dyDescent="0.15">
      <c r="A18" s="151" t="s">
        <v>21</v>
      </c>
      <c r="B18" s="310" t="s">
        <v>23</v>
      </c>
      <c r="C18" s="310"/>
      <c r="D18" s="310"/>
      <c r="E18" s="9"/>
    </row>
    <row r="19" spans="1:5" ht="26.25" customHeight="1" x14ac:dyDescent="0.15">
      <c r="A19" s="151" t="s">
        <v>21</v>
      </c>
      <c r="B19" s="310" t="s">
        <v>24</v>
      </c>
      <c r="C19" s="310"/>
      <c r="D19" s="310"/>
      <c r="E19" s="9"/>
    </row>
    <row r="20" spans="1:5" ht="15" customHeight="1" x14ac:dyDescent="0.15">
      <c r="A20" s="151" t="s">
        <v>21</v>
      </c>
      <c r="B20" s="310" t="s">
        <v>25</v>
      </c>
      <c r="C20" s="310"/>
      <c r="D20" s="310"/>
      <c r="E20" s="9"/>
    </row>
    <row r="21" spans="1:5" s="22" customFormat="1" ht="17.25" customHeight="1" x14ac:dyDescent="0.15">
      <c r="A21" s="312" t="s">
        <v>26</v>
      </c>
      <c r="B21" s="313"/>
      <c r="C21" s="313"/>
      <c r="D21" s="313"/>
      <c r="E21" s="21"/>
    </row>
    <row r="22" spans="1:5" s="22" customFormat="1" ht="91.5" customHeight="1" thickBot="1" x14ac:dyDescent="0.2">
      <c r="A22" s="306" t="s">
        <v>27</v>
      </c>
      <c r="B22" s="311"/>
      <c r="C22" s="311"/>
      <c r="D22" s="311"/>
      <c r="E22" s="21"/>
    </row>
    <row r="23" spans="1:5" ht="63.75" customHeight="1" thickBot="1" x14ac:dyDescent="0.2">
      <c r="A23" s="18"/>
      <c r="B23" s="19"/>
      <c r="C23" s="19"/>
      <c r="D23" s="19"/>
      <c r="E23" s="20"/>
    </row>
  </sheetData>
  <sheetProtection selectLockedCells="1"/>
  <mergeCells count="11">
    <mergeCell ref="A22:D22"/>
    <mergeCell ref="B13:D13"/>
    <mergeCell ref="B18:D18"/>
    <mergeCell ref="B17:D17"/>
    <mergeCell ref="A21:D21"/>
    <mergeCell ref="B20:D20"/>
    <mergeCell ref="B2:D2"/>
    <mergeCell ref="B10:D11"/>
    <mergeCell ref="B19:D19"/>
    <mergeCell ref="B8:D8"/>
    <mergeCell ref="B15:D15"/>
  </mergeCells>
  <phoneticPr fontId="5" type="noConversion"/>
  <pageMargins left="0.75" right="0.75" top="1" bottom="1" header="0.5" footer="0.5"/>
  <pageSetup paperSize="8" orientation="landscape"/>
  <headerFooter alignWithMargins="0"/>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44"/>
  <sheetViews>
    <sheetView topLeftCell="A6" zoomScale="113" workbookViewId="0">
      <selection activeCell="B33" sqref="B31:B33"/>
    </sheetView>
  </sheetViews>
  <sheetFormatPr baseColWidth="10" defaultColWidth="11.5" defaultRowHeight="11" x14ac:dyDescent="0.15"/>
  <cols>
    <col min="1" max="1" width="32.83203125" style="29" customWidth="1"/>
    <col min="2" max="2" width="20.6640625" style="30" customWidth="1"/>
    <col min="3" max="16384" width="11.5" style="29"/>
  </cols>
  <sheetData>
    <row r="1" spans="1:2" ht="16" x14ac:dyDescent="0.15">
      <c r="A1" s="25" t="s">
        <v>6</v>
      </c>
      <c r="B1" s="26"/>
    </row>
    <row r="2" spans="1:2" ht="16.5" customHeight="1" x14ac:dyDescent="0.15">
      <c r="A2" s="142"/>
      <c r="B2" s="152"/>
    </row>
    <row r="3" spans="1:2" ht="24" customHeight="1" x14ac:dyDescent="0.15">
      <c r="A3" s="28" t="s">
        <v>28</v>
      </c>
      <c r="B3" s="153"/>
    </row>
    <row r="4" spans="1:2" x14ac:dyDescent="0.15">
      <c r="A4" s="154" t="s">
        <v>29</v>
      </c>
      <c r="B4" s="36">
        <v>0</v>
      </c>
    </row>
    <row r="5" spans="1:2" x14ac:dyDescent="0.15">
      <c r="A5" s="154" t="s">
        <v>30</v>
      </c>
      <c r="B5" s="36">
        <v>6000</v>
      </c>
    </row>
    <row r="6" spans="1:2" x14ac:dyDescent="0.15">
      <c r="A6" s="154" t="s">
        <v>31</v>
      </c>
      <c r="B6" s="36">
        <v>248</v>
      </c>
    </row>
    <row r="7" spans="1:2" x14ac:dyDescent="0.15">
      <c r="A7" s="154" t="s">
        <v>32</v>
      </c>
      <c r="B7" s="36">
        <v>0</v>
      </c>
    </row>
    <row r="8" spans="1:2" x14ac:dyDescent="0.15">
      <c r="A8" s="154" t="s">
        <v>33</v>
      </c>
      <c r="B8" s="36"/>
    </row>
    <row r="9" spans="1:2" x14ac:dyDescent="0.15">
      <c r="A9" s="154" t="s">
        <v>34</v>
      </c>
      <c r="B9" s="36"/>
    </row>
    <row r="10" spans="1:2" x14ac:dyDescent="0.15">
      <c r="A10" s="155" t="s">
        <v>35</v>
      </c>
      <c r="B10" s="36">
        <v>0</v>
      </c>
    </row>
    <row r="11" spans="1:2" x14ac:dyDescent="0.15">
      <c r="A11" s="35"/>
      <c r="B11" s="36"/>
    </row>
    <row r="12" spans="1:2" x14ac:dyDescent="0.15">
      <c r="A12" s="35"/>
      <c r="B12" s="36"/>
    </row>
    <row r="13" spans="1:2" x14ac:dyDescent="0.15">
      <c r="A13" s="35"/>
      <c r="B13" s="36"/>
    </row>
    <row r="14" spans="1:2" ht="24" customHeight="1" x14ac:dyDescent="0.15">
      <c r="A14" s="24" t="s">
        <v>36</v>
      </c>
      <c r="B14" s="156"/>
    </row>
    <row r="15" spans="1:2" x14ac:dyDescent="0.15">
      <c r="A15" s="157" t="s">
        <v>37</v>
      </c>
      <c r="B15" s="36">
        <v>0</v>
      </c>
    </row>
    <row r="16" spans="1:2" x14ac:dyDescent="0.15">
      <c r="A16" s="157" t="s">
        <v>38</v>
      </c>
      <c r="B16" s="36">
        <v>0</v>
      </c>
    </row>
    <row r="17" spans="1:2" x14ac:dyDescent="0.15">
      <c r="A17" s="157" t="s">
        <v>39</v>
      </c>
      <c r="B17" s="36">
        <v>0</v>
      </c>
    </row>
    <row r="18" spans="1:2" x14ac:dyDescent="0.15">
      <c r="A18" s="157" t="s">
        <v>40</v>
      </c>
      <c r="B18" s="36">
        <v>0</v>
      </c>
    </row>
    <row r="19" spans="1:2" x14ac:dyDescent="0.15">
      <c r="A19" s="35"/>
      <c r="B19" s="36"/>
    </row>
    <row r="20" spans="1:2" x14ac:dyDescent="0.15">
      <c r="A20" s="35"/>
      <c r="B20" s="36"/>
    </row>
    <row r="21" spans="1:2" x14ac:dyDescent="0.15">
      <c r="A21" s="35"/>
      <c r="B21" s="36"/>
    </row>
    <row r="22" spans="1:2" ht="24" customHeight="1" x14ac:dyDescent="0.15">
      <c r="A22" s="23" t="s">
        <v>41</v>
      </c>
      <c r="B22" s="158"/>
    </row>
    <row r="23" spans="1:2" x14ac:dyDescent="0.15">
      <c r="A23" s="157" t="s">
        <v>42</v>
      </c>
      <c r="B23" s="36">
        <v>500</v>
      </c>
    </row>
    <row r="24" spans="1:2" x14ac:dyDescent="0.15">
      <c r="A24" s="157" t="s">
        <v>43</v>
      </c>
      <c r="B24" s="36">
        <v>0</v>
      </c>
    </row>
    <row r="25" spans="1:2" x14ac:dyDescent="0.15">
      <c r="A25" s="157" t="s">
        <v>44</v>
      </c>
      <c r="B25" s="36">
        <v>0</v>
      </c>
    </row>
    <row r="26" spans="1:2" x14ac:dyDescent="0.15">
      <c r="A26" s="157" t="s">
        <v>45</v>
      </c>
      <c r="B26" s="36">
        <v>0</v>
      </c>
    </row>
    <row r="27" spans="1:2" x14ac:dyDescent="0.15">
      <c r="A27" s="35"/>
      <c r="B27" s="36"/>
    </row>
    <row r="28" spans="1:2" x14ac:dyDescent="0.15">
      <c r="A28" s="35"/>
      <c r="B28" s="36"/>
    </row>
    <row r="29" spans="1:2" x14ac:dyDescent="0.15">
      <c r="A29" s="35"/>
      <c r="B29" s="36"/>
    </row>
    <row r="30" spans="1:2" ht="24" customHeight="1" x14ac:dyDescent="0.15">
      <c r="A30" s="23" t="s">
        <v>46</v>
      </c>
      <c r="B30" s="158"/>
    </row>
    <row r="31" spans="1:2" x14ac:dyDescent="0.15">
      <c r="A31" s="157" t="s">
        <v>47</v>
      </c>
      <c r="B31" s="36">
        <v>0</v>
      </c>
    </row>
    <row r="32" spans="1:2" x14ac:dyDescent="0.15">
      <c r="A32" s="157" t="s">
        <v>48</v>
      </c>
      <c r="B32" s="36">
        <v>0</v>
      </c>
    </row>
    <row r="33" spans="1:2" x14ac:dyDescent="0.15">
      <c r="A33" s="157" t="s">
        <v>49</v>
      </c>
      <c r="B33" s="36">
        <v>0</v>
      </c>
    </row>
    <row r="34" spans="1:2" x14ac:dyDescent="0.15">
      <c r="A34" s="35"/>
      <c r="B34" s="36"/>
    </row>
    <row r="35" spans="1:2" x14ac:dyDescent="0.15">
      <c r="A35" s="35"/>
      <c r="B35" s="36"/>
    </row>
    <row r="36" spans="1:2" x14ac:dyDescent="0.15">
      <c r="A36" s="35"/>
      <c r="B36" s="36"/>
    </row>
    <row r="37" spans="1:2" ht="24" customHeight="1" x14ac:dyDescent="0.15">
      <c r="A37" s="23" t="s">
        <v>50</v>
      </c>
      <c r="B37" s="158"/>
    </row>
    <row r="38" spans="1:2" x14ac:dyDescent="0.15">
      <c r="A38" s="157" t="s">
        <v>51</v>
      </c>
      <c r="B38" s="36">
        <v>230000</v>
      </c>
    </row>
    <row r="39" spans="1:2" x14ac:dyDescent="0.15">
      <c r="A39" s="157" t="s">
        <v>52</v>
      </c>
      <c r="B39" s="36">
        <v>70000</v>
      </c>
    </row>
    <row r="40" spans="1:2" x14ac:dyDescent="0.15">
      <c r="A40" s="157" t="s">
        <v>53</v>
      </c>
      <c r="B40" s="27">
        <f>SUM(B38:B39)</f>
        <v>300000</v>
      </c>
    </row>
    <row r="41" spans="1:2" ht="24" customHeight="1" x14ac:dyDescent="0.15">
      <c r="A41" s="23" t="s">
        <v>54</v>
      </c>
      <c r="B41" s="158"/>
    </row>
    <row r="42" spans="1:2" ht="10.5" customHeight="1" x14ac:dyDescent="0.15">
      <c r="A42" s="157" t="s">
        <v>55</v>
      </c>
      <c r="B42" s="27">
        <f>SUM(B4:B36)</f>
        <v>6748</v>
      </c>
    </row>
    <row r="43" spans="1:2" x14ac:dyDescent="0.15">
      <c r="A43" s="157" t="s">
        <v>56</v>
      </c>
      <c r="B43" s="27">
        <f>IF((B40-B42)&gt;0,B40-B42,"0")</f>
        <v>293252</v>
      </c>
    </row>
    <row r="44" spans="1:2" x14ac:dyDescent="0.15">
      <c r="A44" s="157" t="s">
        <v>57</v>
      </c>
      <c r="B44" s="27" t="str">
        <f>IF((B42-B40)&gt;0,B42-B40,"0")</f>
        <v>0</v>
      </c>
    </row>
  </sheetData>
  <phoneticPr fontId="17" type="noConversion"/>
  <pageMargins left="0.7" right="0.7" top="0.75" bottom="0.75" header="0.3" footer="0.3"/>
  <pageSetup paperSize="9"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084580-032F-7E42-B9DE-BDFACF876E6D}">
  <dimension ref="A1:L236"/>
  <sheetViews>
    <sheetView workbookViewId="0">
      <selection activeCell="L15" sqref="L15"/>
    </sheetView>
  </sheetViews>
  <sheetFormatPr baseColWidth="10" defaultColWidth="11.5" defaultRowHeight="13" x14ac:dyDescent="0.15"/>
  <cols>
    <col min="1" max="1" width="25.5" bestFit="1" customWidth="1"/>
    <col min="2" max="2" width="12" bestFit="1" customWidth="1"/>
    <col min="3" max="3" width="17.1640625" bestFit="1" customWidth="1"/>
    <col min="5" max="5" width="14.83203125" bestFit="1" customWidth="1"/>
    <col min="6" max="6" width="21.6640625" bestFit="1" customWidth="1"/>
    <col min="7" max="7" width="30" customWidth="1"/>
    <col min="11" max="11" width="17" bestFit="1" customWidth="1"/>
    <col min="12" max="12" width="21.33203125" customWidth="1"/>
  </cols>
  <sheetData>
    <row r="1" spans="1:12" s="129" customFormat="1" ht="16" x14ac:dyDescent="0.2">
      <c r="A1" s="127" t="s">
        <v>58</v>
      </c>
      <c r="B1" s="128"/>
      <c r="C1" s="128"/>
      <c r="E1" s="129" t="s">
        <v>59</v>
      </c>
      <c r="F1" s="129" t="s">
        <v>60</v>
      </c>
      <c r="G1" s="201" t="s">
        <v>61</v>
      </c>
      <c r="K1" s="120" t="s">
        <v>62</v>
      </c>
    </row>
    <row r="2" spans="1:12" ht="16" x14ac:dyDescent="0.2">
      <c r="A2" s="121" t="s">
        <v>63</v>
      </c>
      <c r="B2" s="122" t="s">
        <v>64</v>
      </c>
      <c r="C2" s="122" t="s">
        <v>65</v>
      </c>
      <c r="D2" s="120"/>
      <c r="E2" s="120" t="s">
        <v>63</v>
      </c>
      <c r="F2" s="120" t="s">
        <v>66</v>
      </c>
      <c r="G2" s="120" t="s">
        <v>67</v>
      </c>
      <c r="K2" s="120" t="s">
        <v>63</v>
      </c>
    </row>
    <row r="3" spans="1:12" s="124" customFormat="1" x14ac:dyDescent="0.15">
      <c r="A3" s="124">
        <v>1</v>
      </c>
      <c r="B3" s="124">
        <f>-1*'Profit and loss forecast'!B38</f>
        <v>32000</v>
      </c>
      <c r="C3" s="124">
        <v>0</v>
      </c>
      <c r="E3" s="124">
        <f>A3</f>
        <v>1</v>
      </c>
      <c r="F3" s="124" cm="1">
        <f t="array" ref="F3:F14">TRANSPOSE('Profit and loss forecast'!B17:M17)</f>
        <v>411.25</v>
      </c>
      <c r="G3" s="124">
        <f>1058.2-F3</f>
        <v>646.95000000000005</v>
      </c>
      <c r="K3" s="124">
        <v>1</v>
      </c>
    </row>
    <row r="4" spans="1:12" s="124" customFormat="1" x14ac:dyDescent="0.15">
      <c r="A4" s="124">
        <v>2</v>
      </c>
      <c r="B4" s="124">
        <f>B3-C4</f>
        <v>31466.666666666668</v>
      </c>
      <c r="C4" s="124">
        <f>$B$3/5/12</f>
        <v>533.33333333333337</v>
      </c>
      <c r="E4" s="124">
        <f t="shared" ref="E4:E67" si="0">A4</f>
        <v>2</v>
      </c>
      <c r="F4" s="124">
        <v>407.45</v>
      </c>
      <c r="G4" s="124">
        <f t="shared" ref="G4:G14" si="1">1058.2-F4</f>
        <v>650.75</v>
      </c>
      <c r="K4" s="124">
        <v>2</v>
      </c>
    </row>
    <row r="5" spans="1:12" s="124" customFormat="1" x14ac:dyDescent="0.15">
      <c r="A5" s="124">
        <v>3</v>
      </c>
      <c r="B5" s="124">
        <f t="shared" ref="B5:B48" si="2">B4-C5</f>
        <v>30933.333333333336</v>
      </c>
      <c r="C5" s="124">
        <f t="shared" ref="C5:C48" si="3">$B$3/5/12</f>
        <v>533.33333333333337</v>
      </c>
      <c r="E5" s="124">
        <f t="shared" si="0"/>
        <v>3</v>
      </c>
      <c r="F5" s="124">
        <v>403.63</v>
      </c>
      <c r="G5" s="124">
        <f t="shared" si="1"/>
        <v>654.57000000000005</v>
      </c>
      <c r="K5" s="124">
        <v>3</v>
      </c>
    </row>
    <row r="6" spans="1:12" s="124" customFormat="1" x14ac:dyDescent="0.15">
      <c r="A6" s="124">
        <v>4</v>
      </c>
      <c r="B6" s="124">
        <f t="shared" si="2"/>
        <v>30400.000000000004</v>
      </c>
      <c r="C6" s="124">
        <f t="shared" si="3"/>
        <v>533.33333333333337</v>
      </c>
      <c r="E6" s="124">
        <f t="shared" si="0"/>
        <v>4</v>
      </c>
      <c r="F6" s="124">
        <v>399.78</v>
      </c>
      <c r="G6" s="124">
        <f t="shared" si="1"/>
        <v>658.42000000000007</v>
      </c>
      <c r="K6" s="124">
        <v>4</v>
      </c>
    </row>
    <row r="7" spans="1:12" s="124" customFormat="1" x14ac:dyDescent="0.15">
      <c r="A7" s="124">
        <v>5</v>
      </c>
      <c r="B7" s="124">
        <f t="shared" si="2"/>
        <v>29866.666666666672</v>
      </c>
      <c r="C7" s="124">
        <f t="shared" si="3"/>
        <v>533.33333333333337</v>
      </c>
      <c r="E7" s="124">
        <f t="shared" si="0"/>
        <v>5</v>
      </c>
      <c r="F7" s="124">
        <v>395.91</v>
      </c>
      <c r="G7" s="124">
        <f t="shared" si="1"/>
        <v>662.29</v>
      </c>
      <c r="K7" s="124">
        <v>5</v>
      </c>
    </row>
    <row r="8" spans="1:12" s="124" customFormat="1" x14ac:dyDescent="0.15">
      <c r="A8" s="124">
        <v>6</v>
      </c>
      <c r="B8" s="124">
        <f t="shared" si="2"/>
        <v>29333.333333333339</v>
      </c>
      <c r="C8" s="124">
        <f t="shared" si="3"/>
        <v>533.33333333333337</v>
      </c>
      <c r="E8" s="124">
        <f t="shared" si="0"/>
        <v>6</v>
      </c>
      <c r="F8" s="124">
        <v>392.02</v>
      </c>
      <c r="G8" s="124">
        <f t="shared" si="1"/>
        <v>666.18000000000006</v>
      </c>
      <c r="K8" s="124">
        <v>6</v>
      </c>
    </row>
    <row r="9" spans="1:12" s="124" customFormat="1" x14ac:dyDescent="0.15">
      <c r="A9" s="124">
        <v>7</v>
      </c>
      <c r="B9" s="124">
        <f t="shared" si="2"/>
        <v>28800.000000000007</v>
      </c>
      <c r="C9" s="124">
        <f t="shared" si="3"/>
        <v>533.33333333333337</v>
      </c>
      <c r="E9" s="124">
        <f t="shared" si="0"/>
        <v>7</v>
      </c>
      <c r="F9" s="124">
        <v>388.11</v>
      </c>
      <c r="G9" s="124">
        <f t="shared" si="1"/>
        <v>670.09</v>
      </c>
      <c r="K9" s="124">
        <v>7</v>
      </c>
    </row>
    <row r="10" spans="1:12" s="124" customFormat="1" x14ac:dyDescent="0.15">
      <c r="A10" s="124">
        <v>8</v>
      </c>
      <c r="B10" s="124">
        <f t="shared" si="2"/>
        <v>28266.666666666675</v>
      </c>
      <c r="C10" s="124">
        <f t="shared" si="3"/>
        <v>533.33333333333337</v>
      </c>
      <c r="E10" s="124">
        <f t="shared" si="0"/>
        <v>8</v>
      </c>
      <c r="F10" s="124">
        <v>384.17</v>
      </c>
      <c r="G10" s="124">
        <f t="shared" si="1"/>
        <v>674.03</v>
      </c>
      <c r="K10" s="124">
        <v>8</v>
      </c>
    </row>
    <row r="11" spans="1:12" s="124" customFormat="1" x14ac:dyDescent="0.15">
      <c r="A11" s="124">
        <v>9</v>
      </c>
      <c r="B11" s="124">
        <f t="shared" si="2"/>
        <v>27733.333333333343</v>
      </c>
      <c r="C11" s="124">
        <f t="shared" si="3"/>
        <v>533.33333333333337</v>
      </c>
      <c r="E11" s="124">
        <f t="shared" si="0"/>
        <v>9</v>
      </c>
      <c r="F11" s="124">
        <v>380.21</v>
      </c>
      <c r="G11" s="124">
        <f t="shared" si="1"/>
        <v>677.99</v>
      </c>
      <c r="K11" s="124">
        <v>9</v>
      </c>
    </row>
    <row r="12" spans="1:12" s="124" customFormat="1" x14ac:dyDescent="0.15">
      <c r="A12" s="124">
        <v>10</v>
      </c>
      <c r="B12" s="124">
        <f t="shared" si="2"/>
        <v>27200.000000000011</v>
      </c>
      <c r="C12" s="124">
        <f t="shared" si="3"/>
        <v>533.33333333333337</v>
      </c>
      <c r="E12" s="124">
        <f t="shared" si="0"/>
        <v>10</v>
      </c>
      <c r="F12" s="124">
        <v>376.23</v>
      </c>
      <c r="G12" s="124">
        <f t="shared" si="1"/>
        <v>681.97</v>
      </c>
      <c r="K12" s="124">
        <v>10</v>
      </c>
    </row>
    <row r="13" spans="1:12" s="124" customFormat="1" x14ac:dyDescent="0.15">
      <c r="A13" s="124">
        <v>11</v>
      </c>
      <c r="B13" s="124">
        <f t="shared" si="2"/>
        <v>26666.666666666679</v>
      </c>
      <c r="C13" s="124">
        <f t="shared" si="3"/>
        <v>533.33333333333337</v>
      </c>
      <c r="E13" s="124">
        <f t="shared" si="0"/>
        <v>11</v>
      </c>
      <c r="F13" s="124">
        <v>372.22</v>
      </c>
      <c r="G13" s="124">
        <f t="shared" si="1"/>
        <v>685.98</v>
      </c>
      <c r="K13" s="124">
        <v>11</v>
      </c>
    </row>
    <row r="14" spans="1:12" s="124" customFormat="1" x14ac:dyDescent="0.15">
      <c r="A14" s="124">
        <v>12</v>
      </c>
      <c r="B14" s="124">
        <f t="shared" si="2"/>
        <v>26133.333333333347</v>
      </c>
      <c r="C14" s="124">
        <f t="shared" si="3"/>
        <v>533.33333333333337</v>
      </c>
      <c r="E14" s="124">
        <f t="shared" si="0"/>
        <v>12</v>
      </c>
      <c r="F14" s="124">
        <v>368.19</v>
      </c>
      <c r="G14" s="124">
        <f t="shared" si="1"/>
        <v>690.01</v>
      </c>
      <c r="K14" s="124">
        <v>12</v>
      </c>
    </row>
    <row r="15" spans="1:12" s="125" customFormat="1" x14ac:dyDescent="0.15">
      <c r="A15" s="125">
        <v>13</v>
      </c>
      <c r="B15" s="125">
        <f t="shared" si="2"/>
        <v>25600.000000000015</v>
      </c>
      <c r="C15" s="125">
        <f t="shared" si="3"/>
        <v>533.33333333333337</v>
      </c>
      <c r="E15" s="125">
        <f t="shared" si="0"/>
        <v>13</v>
      </c>
      <c r="K15" s="125">
        <v>13</v>
      </c>
      <c r="L15" s="202">
        <v>1000000</v>
      </c>
    </row>
    <row r="16" spans="1:12" s="125" customFormat="1" x14ac:dyDescent="0.15">
      <c r="A16" s="125">
        <v>14</v>
      </c>
      <c r="B16" s="125">
        <f t="shared" si="2"/>
        <v>25066.666666666682</v>
      </c>
      <c r="C16" s="125">
        <f t="shared" si="3"/>
        <v>533.33333333333337</v>
      </c>
      <c r="E16" s="125">
        <f t="shared" si="0"/>
        <v>14</v>
      </c>
      <c r="K16" s="125">
        <v>14</v>
      </c>
    </row>
    <row r="17" spans="1:11" s="125" customFormat="1" x14ac:dyDescent="0.15">
      <c r="A17" s="125">
        <v>15</v>
      </c>
      <c r="B17" s="125">
        <f t="shared" si="2"/>
        <v>24533.33333333335</v>
      </c>
      <c r="C17" s="125">
        <f t="shared" si="3"/>
        <v>533.33333333333337</v>
      </c>
      <c r="E17" s="125">
        <f t="shared" si="0"/>
        <v>15</v>
      </c>
      <c r="K17" s="125">
        <v>15</v>
      </c>
    </row>
    <row r="18" spans="1:11" s="125" customFormat="1" x14ac:dyDescent="0.15">
      <c r="A18" s="125">
        <v>16</v>
      </c>
      <c r="B18" s="125">
        <f t="shared" si="2"/>
        <v>24000.000000000018</v>
      </c>
      <c r="C18" s="125">
        <f t="shared" si="3"/>
        <v>533.33333333333337</v>
      </c>
      <c r="E18" s="125">
        <f t="shared" si="0"/>
        <v>16</v>
      </c>
      <c r="K18" s="125">
        <v>16</v>
      </c>
    </row>
    <row r="19" spans="1:11" s="125" customFormat="1" x14ac:dyDescent="0.15">
      <c r="A19" s="125">
        <v>17</v>
      </c>
      <c r="B19" s="125">
        <f t="shared" si="2"/>
        <v>23466.666666666686</v>
      </c>
      <c r="C19" s="125">
        <f t="shared" si="3"/>
        <v>533.33333333333337</v>
      </c>
      <c r="E19" s="125">
        <f t="shared" si="0"/>
        <v>17</v>
      </c>
      <c r="K19" s="125">
        <v>17</v>
      </c>
    </row>
    <row r="20" spans="1:11" s="125" customFormat="1" x14ac:dyDescent="0.15">
      <c r="A20" s="125">
        <v>18</v>
      </c>
      <c r="B20" s="125">
        <f t="shared" si="2"/>
        <v>22933.333333333354</v>
      </c>
      <c r="C20" s="125">
        <f t="shared" si="3"/>
        <v>533.33333333333337</v>
      </c>
      <c r="E20" s="125">
        <f t="shared" si="0"/>
        <v>18</v>
      </c>
      <c r="K20" s="125">
        <v>18</v>
      </c>
    </row>
    <row r="21" spans="1:11" s="125" customFormat="1" x14ac:dyDescent="0.15">
      <c r="A21" s="125">
        <v>19</v>
      </c>
      <c r="B21" s="125">
        <f t="shared" si="2"/>
        <v>22400.000000000022</v>
      </c>
      <c r="C21" s="125">
        <f t="shared" si="3"/>
        <v>533.33333333333337</v>
      </c>
      <c r="E21" s="125">
        <f t="shared" si="0"/>
        <v>19</v>
      </c>
      <c r="K21" s="125">
        <v>19</v>
      </c>
    </row>
    <row r="22" spans="1:11" s="125" customFormat="1" x14ac:dyDescent="0.15">
      <c r="A22" s="125">
        <v>20</v>
      </c>
      <c r="B22" s="125">
        <f t="shared" si="2"/>
        <v>21866.66666666669</v>
      </c>
      <c r="C22" s="125">
        <f t="shared" si="3"/>
        <v>533.33333333333337</v>
      </c>
      <c r="E22" s="125">
        <f t="shared" si="0"/>
        <v>20</v>
      </c>
      <c r="K22" s="125">
        <v>20</v>
      </c>
    </row>
    <row r="23" spans="1:11" s="125" customFormat="1" x14ac:dyDescent="0.15">
      <c r="A23" s="125">
        <v>21</v>
      </c>
      <c r="B23" s="125">
        <f t="shared" si="2"/>
        <v>21333.333333333358</v>
      </c>
      <c r="C23" s="125">
        <f t="shared" si="3"/>
        <v>533.33333333333337</v>
      </c>
      <c r="E23" s="125">
        <f t="shared" si="0"/>
        <v>21</v>
      </c>
      <c r="K23" s="125">
        <v>21</v>
      </c>
    </row>
    <row r="24" spans="1:11" s="125" customFormat="1" x14ac:dyDescent="0.15">
      <c r="A24" s="125">
        <v>22</v>
      </c>
      <c r="B24" s="125">
        <f t="shared" si="2"/>
        <v>20800.000000000025</v>
      </c>
      <c r="C24" s="125">
        <f t="shared" si="3"/>
        <v>533.33333333333337</v>
      </c>
      <c r="E24" s="125">
        <f t="shared" si="0"/>
        <v>22</v>
      </c>
      <c r="K24" s="125">
        <v>22</v>
      </c>
    </row>
    <row r="25" spans="1:11" s="125" customFormat="1" x14ac:dyDescent="0.15">
      <c r="A25" s="125">
        <v>23</v>
      </c>
      <c r="B25" s="125">
        <f t="shared" si="2"/>
        <v>20266.666666666693</v>
      </c>
      <c r="C25" s="125">
        <f t="shared" si="3"/>
        <v>533.33333333333337</v>
      </c>
      <c r="E25" s="125">
        <f t="shared" si="0"/>
        <v>23</v>
      </c>
      <c r="K25" s="125">
        <v>23</v>
      </c>
    </row>
    <row r="26" spans="1:11" s="125" customFormat="1" x14ac:dyDescent="0.15">
      <c r="A26" s="125">
        <v>24</v>
      </c>
      <c r="B26" s="125">
        <f t="shared" si="2"/>
        <v>19733.333333333361</v>
      </c>
      <c r="C26" s="125">
        <f t="shared" si="3"/>
        <v>533.33333333333337</v>
      </c>
      <c r="E26" s="125">
        <f t="shared" si="0"/>
        <v>24</v>
      </c>
      <c r="F26" s="130">
        <v>4095.18</v>
      </c>
      <c r="G26" s="131">
        <v>8603.2099999999991</v>
      </c>
      <c r="K26" s="125">
        <v>24</v>
      </c>
    </row>
    <row r="27" spans="1:11" s="126" customFormat="1" x14ac:dyDescent="0.15">
      <c r="A27" s="126">
        <v>25</v>
      </c>
      <c r="B27" s="126">
        <f t="shared" si="2"/>
        <v>19200.000000000029</v>
      </c>
      <c r="C27" s="126">
        <f t="shared" si="3"/>
        <v>533.33333333333337</v>
      </c>
      <c r="E27" s="126">
        <f t="shared" si="0"/>
        <v>25</v>
      </c>
      <c r="K27" s="126">
        <v>25</v>
      </c>
    </row>
    <row r="28" spans="1:11" s="126" customFormat="1" x14ac:dyDescent="0.15">
      <c r="A28" s="126">
        <v>26</v>
      </c>
      <c r="B28" s="126">
        <f t="shared" si="2"/>
        <v>18666.666666666697</v>
      </c>
      <c r="C28" s="126">
        <f t="shared" si="3"/>
        <v>533.33333333333337</v>
      </c>
      <c r="E28" s="126">
        <f t="shared" si="0"/>
        <v>26</v>
      </c>
      <c r="K28" s="126">
        <v>26</v>
      </c>
    </row>
    <row r="29" spans="1:11" s="126" customFormat="1" x14ac:dyDescent="0.15">
      <c r="A29" s="126">
        <v>27</v>
      </c>
      <c r="B29" s="126">
        <f t="shared" si="2"/>
        <v>18133.333333333365</v>
      </c>
      <c r="C29" s="126">
        <f t="shared" si="3"/>
        <v>533.33333333333337</v>
      </c>
      <c r="E29" s="126">
        <f t="shared" si="0"/>
        <v>27</v>
      </c>
      <c r="K29" s="126">
        <v>27</v>
      </c>
    </row>
    <row r="30" spans="1:11" s="126" customFormat="1" x14ac:dyDescent="0.15">
      <c r="A30" s="126">
        <v>28</v>
      </c>
      <c r="B30" s="126">
        <f t="shared" si="2"/>
        <v>17600.000000000033</v>
      </c>
      <c r="C30" s="126">
        <f t="shared" si="3"/>
        <v>533.33333333333337</v>
      </c>
      <c r="E30" s="126">
        <f t="shared" si="0"/>
        <v>28</v>
      </c>
      <c r="K30" s="126">
        <v>28</v>
      </c>
    </row>
    <row r="31" spans="1:11" s="126" customFormat="1" x14ac:dyDescent="0.15">
      <c r="A31" s="126">
        <v>29</v>
      </c>
      <c r="B31" s="126">
        <f t="shared" si="2"/>
        <v>17066.666666666701</v>
      </c>
      <c r="C31" s="126">
        <f t="shared" si="3"/>
        <v>533.33333333333337</v>
      </c>
      <c r="E31" s="126">
        <f t="shared" si="0"/>
        <v>29</v>
      </c>
      <c r="K31" s="126">
        <v>29</v>
      </c>
    </row>
    <row r="32" spans="1:11" s="126" customFormat="1" x14ac:dyDescent="0.15">
      <c r="A32" s="126">
        <v>30</v>
      </c>
      <c r="B32" s="126">
        <f t="shared" si="2"/>
        <v>16533.333333333369</v>
      </c>
      <c r="C32" s="126">
        <f t="shared" si="3"/>
        <v>533.33333333333337</v>
      </c>
      <c r="E32" s="126">
        <f t="shared" si="0"/>
        <v>30</v>
      </c>
      <c r="K32" s="126">
        <v>30</v>
      </c>
    </row>
    <row r="33" spans="1:11" s="126" customFormat="1" x14ac:dyDescent="0.15">
      <c r="A33" s="126">
        <v>31</v>
      </c>
      <c r="B33" s="126">
        <f t="shared" si="2"/>
        <v>16000.000000000035</v>
      </c>
      <c r="C33" s="126">
        <f t="shared" si="3"/>
        <v>533.33333333333337</v>
      </c>
      <c r="E33" s="126">
        <f t="shared" si="0"/>
        <v>31</v>
      </c>
      <c r="K33" s="126">
        <v>31</v>
      </c>
    </row>
    <row r="34" spans="1:11" s="126" customFormat="1" x14ac:dyDescent="0.15">
      <c r="A34" s="126">
        <v>32</v>
      </c>
      <c r="B34" s="126">
        <f t="shared" si="2"/>
        <v>15466.666666666701</v>
      </c>
      <c r="C34" s="126">
        <f t="shared" si="3"/>
        <v>533.33333333333337</v>
      </c>
      <c r="E34" s="126">
        <f t="shared" si="0"/>
        <v>32</v>
      </c>
      <c r="K34" s="126">
        <v>32</v>
      </c>
    </row>
    <row r="35" spans="1:11" s="126" customFormat="1" x14ac:dyDescent="0.15">
      <c r="A35" s="126">
        <v>33</v>
      </c>
      <c r="B35" s="126">
        <f t="shared" si="2"/>
        <v>14933.333333333367</v>
      </c>
      <c r="C35" s="126">
        <f t="shared" si="3"/>
        <v>533.33333333333337</v>
      </c>
      <c r="E35" s="126">
        <f t="shared" si="0"/>
        <v>33</v>
      </c>
      <c r="K35" s="126">
        <v>33</v>
      </c>
    </row>
    <row r="36" spans="1:11" s="126" customFormat="1" x14ac:dyDescent="0.15">
      <c r="A36" s="126">
        <v>34</v>
      </c>
      <c r="B36" s="126">
        <f t="shared" si="2"/>
        <v>14400.000000000033</v>
      </c>
      <c r="C36" s="126">
        <f t="shared" si="3"/>
        <v>533.33333333333337</v>
      </c>
      <c r="E36" s="126">
        <f t="shared" si="0"/>
        <v>34</v>
      </c>
      <c r="K36" s="126">
        <v>34</v>
      </c>
    </row>
    <row r="37" spans="1:11" s="126" customFormat="1" x14ac:dyDescent="0.15">
      <c r="A37" s="126">
        <v>35</v>
      </c>
      <c r="B37" s="126">
        <f t="shared" si="2"/>
        <v>13866.666666666699</v>
      </c>
      <c r="C37" s="126">
        <f t="shared" si="3"/>
        <v>533.33333333333337</v>
      </c>
      <c r="E37" s="126">
        <f t="shared" si="0"/>
        <v>35</v>
      </c>
      <c r="K37" s="126">
        <v>35</v>
      </c>
    </row>
    <row r="38" spans="1:11" s="126" customFormat="1" x14ac:dyDescent="0.15">
      <c r="A38" s="126">
        <v>36</v>
      </c>
      <c r="B38" s="126">
        <f t="shared" si="2"/>
        <v>13333.333333333365</v>
      </c>
      <c r="C38" s="126">
        <f t="shared" si="3"/>
        <v>533.33333333333337</v>
      </c>
      <c r="E38" s="126">
        <f t="shared" si="0"/>
        <v>36</v>
      </c>
      <c r="F38" s="131">
        <v>3468.67</v>
      </c>
      <c r="G38" s="132">
        <v>9229.7199999999993</v>
      </c>
      <c r="K38" s="126">
        <v>36</v>
      </c>
    </row>
    <row r="39" spans="1:11" x14ac:dyDescent="0.15">
      <c r="A39">
        <v>37</v>
      </c>
      <c r="B39">
        <f t="shared" si="2"/>
        <v>12800.000000000031</v>
      </c>
      <c r="C39">
        <f t="shared" si="3"/>
        <v>533.33333333333337</v>
      </c>
      <c r="E39">
        <f t="shared" si="0"/>
        <v>37</v>
      </c>
      <c r="K39">
        <v>37</v>
      </c>
    </row>
    <row r="40" spans="1:11" x14ac:dyDescent="0.15">
      <c r="A40">
        <v>38</v>
      </c>
      <c r="B40">
        <f t="shared" si="2"/>
        <v>12266.666666666697</v>
      </c>
      <c r="C40">
        <f t="shared" si="3"/>
        <v>533.33333333333337</v>
      </c>
      <c r="E40">
        <f t="shared" si="0"/>
        <v>38</v>
      </c>
      <c r="K40">
        <v>38</v>
      </c>
    </row>
    <row r="41" spans="1:11" x14ac:dyDescent="0.15">
      <c r="A41">
        <v>39</v>
      </c>
      <c r="B41">
        <f t="shared" si="2"/>
        <v>11733.333333333363</v>
      </c>
      <c r="C41">
        <f t="shared" si="3"/>
        <v>533.33333333333337</v>
      </c>
      <c r="E41">
        <f t="shared" si="0"/>
        <v>39</v>
      </c>
      <c r="K41">
        <v>39</v>
      </c>
    </row>
    <row r="42" spans="1:11" x14ac:dyDescent="0.15">
      <c r="A42">
        <v>40</v>
      </c>
      <c r="B42">
        <f t="shared" si="2"/>
        <v>11200.000000000029</v>
      </c>
      <c r="C42">
        <f t="shared" si="3"/>
        <v>533.33333333333337</v>
      </c>
      <c r="E42">
        <f t="shared" si="0"/>
        <v>40</v>
      </c>
      <c r="K42">
        <v>40</v>
      </c>
    </row>
    <row r="43" spans="1:11" x14ac:dyDescent="0.15">
      <c r="A43">
        <v>41</v>
      </c>
      <c r="B43">
        <f t="shared" si="2"/>
        <v>10666.666666666695</v>
      </c>
      <c r="C43">
        <f t="shared" si="3"/>
        <v>533.33333333333337</v>
      </c>
      <c r="E43">
        <f t="shared" si="0"/>
        <v>41</v>
      </c>
      <c r="K43">
        <v>41</v>
      </c>
    </row>
    <row r="44" spans="1:11" x14ac:dyDescent="0.15">
      <c r="A44">
        <v>42</v>
      </c>
      <c r="B44">
        <f t="shared" si="2"/>
        <v>10133.333333333361</v>
      </c>
      <c r="C44">
        <f t="shared" si="3"/>
        <v>533.33333333333337</v>
      </c>
      <c r="E44">
        <f t="shared" si="0"/>
        <v>42</v>
      </c>
      <c r="K44">
        <v>42</v>
      </c>
    </row>
    <row r="45" spans="1:11" x14ac:dyDescent="0.15">
      <c r="A45">
        <v>43</v>
      </c>
      <c r="B45">
        <f t="shared" si="2"/>
        <v>9600.0000000000273</v>
      </c>
      <c r="C45">
        <f t="shared" si="3"/>
        <v>533.33333333333337</v>
      </c>
      <c r="E45">
        <f t="shared" si="0"/>
        <v>43</v>
      </c>
      <c r="K45">
        <v>43</v>
      </c>
    </row>
    <row r="46" spans="1:11" x14ac:dyDescent="0.15">
      <c r="A46">
        <v>44</v>
      </c>
      <c r="B46">
        <f t="shared" si="2"/>
        <v>9066.6666666666933</v>
      </c>
      <c r="C46">
        <f t="shared" si="3"/>
        <v>533.33333333333337</v>
      </c>
      <c r="E46">
        <f t="shared" si="0"/>
        <v>44</v>
      </c>
      <c r="K46">
        <v>44</v>
      </c>
    </row>
    <row r="47" spans="1:11" x14ac:dyDescent="0.15">
      <c r="A47">
        <v>45</v>
      </c>
      <c r="B47">
        <f t="shared" si="2"/>
        <v>8533.3333333333594</v>
      </c>
      <c r="C47">
        <f t="shared" si="3"/>
        <v>533.33333333333337</v>
      </c>
      <c r="E47">
        <f t="shared" si="0"/>
        <v>45</v>
      </c>
      <c r="K47">
        <v>45</v>
      </c>
    </row>
    <row r="48" spans="1:11" x14ac:dyDescent="0.15">
      <c r="A48">
        <v>46</v>
      </c>
      <c r="B48">
        <f t="shared" si="2"/>
        <v>8000.0000000000264</v>
      </c>
      <c r="C48">
        <f t="shared" si="3"/>
        <v>533.33333333333337</v>
      </c>
      <c r="E48">
        <f t="shared" si="0"/>
        <v>46</v>
      </c>
      <c r="K48">
        <v>46</v>
      </c>
    </row>
    <row r="49" spans="1:11" x14ac:dyDescent="0.15">
      <c r="A49">
        <v>47</v>
      </c>
      <c r="E49">
        <f t="shared" si="0"/>
        <v>47</v>
      </c>
      <c r="K49">
        <v>47</v>
      </c>
    </row>
    <row r="50" spans="1:11" x14ac:dyDescent="0.15">
      <c r="A50">
        <v>48</v>
      </c>
      <c r="E50">
        <f t="shared" si="0"/>
        <v>48</v>
      </c>
    </row>
    <row r="51" spans="1:11" x14ac:dyDescent="0.15">
      <c r="A51">
        <v>49</v>
      </c>
      <c r="E51">
        <f t="shared" si="0"/>
        <v>49</v>
      </c>
    </row>
    <row r="52" spans="1:11" x14ac:dyDescent="0.15">
      <c r="A52">
        <v>50</v>
      </c>
      <c r="E52">
        <f t="shared" si="0"/>
        <v>50</v>
      </c>
    </row>
    <row r="53" spans="1:11" x14ac:dyDescent="0.15">
      <c r="A53">
        <v>51</v>
      </c>
      <c r="E53">
        <f t="shared" si="0"/>
        <v>51</v>
      </c>
    </row>
    <row r="54" spans="1:11" x14ac:dyDescent="0.15">
      <c r="A54">
        <v>52</v>
      </c>
      <c r="E54">
        <f t="shared" si="0"/>
        <v>52</v>
      </c>
    </row>
    <row r="55" spans="1:11" x14ac:dyDescent="0.15">
      <c r="A55">
        <v>53</v>
      </c>
      <c r="E55">
        <f t="shared" si="0"/>
        <v>53</v>
      </c>
    </row>
    <row r="56" spans="1:11" x14ac:dyDescent="0.15">
      <c r="A56">
        <v>54</v>
      </c>
      <c r="E56">
        <f t="shared" si="0"/>
        <v>54</v>
      </c>
    </row>
    <row r="57" spans="1:11" x14ac:dyDescent="0.15">
      <c r="A57">
        <v>55</v>
      </c>
      <c r="E57">
        <f t="shared" si="0"/>
        <v>55</v>
      </c>
    </row>
    <row r="58" spans="1:11" x14ac:dyDescent="0.15">
      <c r="A58">
        <v>56</v>
      </c>
      <c r="E58">
        <f t="shared" si="0"/>
        <v>56</v>
      </c>
    </row>
    <row r="59" spans="1:11" x14ac:dyDescent="0.15">
      <c r="A59">
        <v>57</v>
      </c>
      <c r="E59">
        <f t="shared" si="0"/>
        <v>57</v>
      </c>
    </row>
    <row r="60" spans="1:11" x14ac:dyDescent="0.15">
      <c r="A60">
        <v>58</v>
      </c>
      <c r="E60">
        <f t="shared" si="0"/>
        <v>58</v>
      </c>
    </row>
    <row r="61" spans="1:11" x14ac:dyDescent="0.15">
      <c r="A61">
        <v>59</v>
      </c>
      <c r="E61">
        <f t="shared" si="0"/>
        <v>59</v>
      </c>
    </row>
    <row r="62" spans="1:11" x14ac:dyDescent="0.15">
      <c r="A62">
        <v>60</v>
      </c>
      <c r="E62">
        <f t="shared" si="0"/>
        <v>60</v>
      </c>
    </row>
    <row r="63" spans="1:11" x14ac:dyDescent="0.15">
      <c r="A63">
        <v>61</v>
      </c>
      <c r="E63">
        <f t="shared" si="0"/>
        <v>61</v>
      </c>
    </row>
    <row r="64" spans="1:11" x14ac:dyDescent="0.15">
      <c r="A64">
        <v>62</v>
      </c>
      <c r="E64">
        <f t="shared" si="0"/>
        <v>62</v>
      </c>
    </row>
    <row r="65" spans="1:5" x14ac:dyDescent="0.15">
      <c r="A65">
        <v>63</v>
      </c>
      <c r="E65">
        <f t="shared" si="0"/>
        <v>63</v>
      </c>
    </row>
    <row r="66" spans="1:5" x14ac:dyDescent="0.15">
      <c r="A66">
        <v>64</v>
      </c>
      <c r="E66">
        <f t="shared" si="0"/>
        <v>64</v>
      </c>
    </row>
    <row r="67" spans="1:5" x14ac:dyDescent="0.15">
      <c r="A67">
        <v>65</v>
      </c>
      <c r="E67">
        <f t="shared" si="0"/>
        <v>65</v>
      </c>
    </row>
    <row r="68" spans="1:5" x14ac:dyDescent="0.15">
      <c r="A68">
        <v>66</v>
      </c>
      <c r="E68">
        <f t="shared" ref="E68:E131" si="4">A68</f>
        <v>66</v>
      </c>
    </row>
    <row r="69" spans="1:5" x14ac:dyDescent="0.15">
      <c r="A69">
        <v>67</v>
      </c>
      <c r="E69">
        <f t="shared" si="4"/>
        <v>67</v>
      </c>
    </row>
    <row r="70" spans="1:5" x14ac:dyDescent="0.15">
      <c r="A70">
        <v>68</v>
      </c>
      <c r="E70">
        <f t="shared" si="4"/>
        <v>68</v>
      </c>
    </row>
    <row r="71" spans="1:5" x14ac:dyDescent="0.15">
      <c r="A71">
        <v>69</v>
      </c>
      <c r="E71">
        <f t="shared" si="4"/>
        <v>69</v>
      </c>
    </row>
    <row r="72" spans="1:5" x14ac:dyDescent="0.15">
      <c r="A72">
        <v>70</v>
      </c>
      <c r="E72">
        <f t="shared" si="4"/>
        <v>70</v>
      </c>
    </row>
    <row r="73" spans="1:5" x14ac:dyDescent="0.15">
      <c r="A73">
        <v>71</v>
      </c>
      <c r="E73">
        <f t="shared" si="4"/>
        <v>71</v>
      </c>
    </row>
    <row r="74" spans="1:5" x14ac:dyDescent="0.15">
      <c r="A74">
        <v>72</v>
      </c>
      <c r="E74">
        <f t="shared" si="4"/>
        <v>72</v>
      </c>
    </row>
    <row r="75" spans="1:5" x14ac:dyDescent="0.15">
      <c r="A75">
        <v>73</v>
      </c>
      <c r="E75">
        <f t="shared" si="4"/>
        <v>73</v>
      </c>
    </row>
    <row r="76" spans="1:5" x14ac:dyDescent="0.15">
      <c r="A76">
        <v>74</v>
      </c>
      <c r="E76">
        <f t="shared" si="4"/>
        <v>74</v>
      </c>
    </row>
    <row r="77" spans="1:5" x14ac:dyDescent="0.15">
      <c r="A77">
        <v>75</v>
      </c>
      <c r="E77">
        <f t="shared" si="4"/>
        <v>75</v>
      </c>
    </row>
    <row r="78" spans="1:5" x14ac:dyDescent="0.15">
      <c r="A78">
        <v>76</v>
      </c>
      <c r="E78">
        <f t="shared" si="4"/>
        <v>76</v>
      </c>
    </row>
    <row r="79" spans="1:5" x14ac:dyDescent="0.15">
      <c r="A79">
        <v>77</v>
      </c>
      <c r="E79">
        <f t="shared" si="4"/>
        <v>77</v>
      </c>
    </row>
    <row r="80" spans="1:5" x14ac:dyDescent="0.15">
      <c r="A80">
        <v>78</v>
      </c>
      <c r="E80">
        <f t="shared" si="4"/>
        <v>78</v>
      </c>
    </row>
    <row r="81" spans="1:5" x14ac:dyDescent="0.15">
      <c r="A81">
        <v>79</v>
      </c>
      <c r="E81">
        <f t="shared" si="4"/>
        <v>79</v>
      </c>
    </row>
    <row r="82" spans="1:5" x14ac:dyDescent="0.15">
      <c r="A82">
        <v>80</v>
      </c>
      <c r="E82">
        <f t="shared" si="4"/>
        <v>80</v>
      </c>
    </row>
    <row r="83" spans="1:5" x14ac:dyDescent="0.15">
      <c r="A83">
        <v>81</v>
      </c>
      <c r="E83">
        <f t="shared" si="4"/>
        <v>81</v>
      </c>
    </row>
    <row r="84" spans="1:5" x14ac:dyDescent="0.15">
      <c r="A84">
        <v>82</v>
      </c>
      <c r="E84">
        <f t="shared" si="4"/>
        <v>82</v>
      </c>
    </row>
    <row r="85" spans="1:5" x14ac:dyDescent="0.15">
      <c r="A85">
        <v>83</v>
      </c>
      <c r="E85">
        <f t="shared" si="4"/>
        <v>83</v>
      </c>
    </row>
    <row r="86" spans="1:5" x14ac:dyDescent="0.15">
      <c r="A86">
        <v>84</v>
      </c>
      <c r="E86">
        <f t="shared" si="4"/>
        <v>84</v>
      </c>
    </row>
    <row r="87" spans="1:5" x14ac:dyDescent="0.15">
      <c r="A87">
        <v>85</v>
      </c>
      <c r="E87">
        <f t="shared" si="4"/>
        <v>85</v>
      </c>
    </row>
    <row r="88" spans="1:5" x14ac:dyDescent="0.15">
      <c r="A88">
        <v>86</v>
      </c>
      <c r="E88">
        <f t="shared" si="4"/>
        <v>86</v>
      </c>
    </row>
    <row r="89" spans="1:5" x14ac:dyDescent="0.15">
      <c r="A89">
        <v>87</v>
      </c>
      <c r="E89">
        <f t="shared" si="4"/>
        <v>87</v>
      </c>
    </row>
    <row r="90" spans="1:5" x14ac:dyDescent="0.15">
      <c r="A90">
        <v>88</v>
      </c>
      <c r="E90">
        <f t="shared" si="4"/>
        <v>88</v>
      </c>
    </row>
    <row r="91" spans="1:5" x14ac:dyDescent="0.15">
      <c r="A91">
        <v>89</v>
      </c>
      <c r="E91">
        <f t="shared" si="4"/>
        <v>89</v>
      </c>
    </row>
    <row r="92" spans="1:5" x14ac:dyDescent="0.15">
      <c r="A92">
        <v>90</v>
      </c>
      <c r="E92">
        <f t="shared" si="4"/>
        <v>90</v>
      </c>
    </row>
    <row r="93" spans="1:5" x14ac:dyDescent="0.15">
      <c r="A93">
        <v>91</v>
      </c>
      <c r="E93">
        <f t="shared" si="4"/>
        <v>91</v>
      </c>
    </row>
    <row r="94" spans="1:5" x14ac:dyDescent="0.15">
      <c r="A94">
        <v>92</v>
      </c>
      <c r="E94">
        <f t="shared" si="4"/>
        <v>92</v>
      </c>
    </row>
    <row r="95" spans="1:5" x14ac:dyDescent="0.15">
      <c r="A95">
        <v>93</v>
      </c>
      <c r="E95">
        <f t="shared" si="4"/>
        <v>93</v>
      </c>
    </row>
    <row r="96" spans="1:5" x14ac:dyDescent="0.15">
      <c r="A96">
        <v>94</v>
      </c>
      <c r="E96">
        <f t="shared" si="4"/>
        <v>94</v>
      </c>
    </row>
    <row r="97" spans="1:5" x14ac:dyDescent="0.15">
      <c r="A97">
        <v>95</v>
      </c>
      <c r="E97">
        <f t="shared" si="4"/>
        <v>95</v>
      </c>
    </row>
    <row r="98" spans="1:5" x14ac:dyDescent="0.15">
      <c r="A98">
        <v>96</v>
      </c>
      <c r="E98">
        <f t="shared" si="4"/>
        <v>96</v>
      </c>
    </row>
    <row r="99" spans="1:5" x14ac:dyDescent="0.15">
      <c r="A99">
        <v>97</v>
      </c>
      <c r="E99">
        <f t="shared" si="4"/>
        <v>97</v>
      </c>
    </row>
    <row r="100" spans="1:5" x14ac:dyDescent="0.15">
      <c r="A100">
        <v>98</v>
      </c>
      <c r="E100">
        <f t="shared" si="4"/>
        <v>98</v>
      </c>
    </row>
    <row r="101" spans="1:5" x14ac:dyDescent="0.15">
      <c r="A101">
        <v>99</v>
      </c>
      <c r="E101">
        <f t="shared" si="4"/>
        <v>99</v>
      </c>
    </row>
    <row r="102" spans="1:5" x14ac:dyDescent="0.15">
      <c r="A102">
        <v>100</v>
      </c>
      <c r="E102">
        <f t="shared" si="4"/>
        <v>100</v>
      </c>
    </row>
    <row r="103" spans="1:5" x14ac:dyDescent="0.15">
      <c r="A103">
        <v>101</v>
      </c>
      <c r="E103">
        <f t="shared" si="4"/>
        <v>101</v>
      </c>
    </row>
    <row r="104" spans="1:5" x14ac:dyDescent="0.15">
      <c r="A104">
        <v>102</v>
      </c>
      <c r="E104">
        <f t="shared" si="4"/>
        <v>102</v>
      </c>
    </row>
    <row r="105" spans="1:5" x14ac:dyDescent="0.15">
      <c r="A105">
        <v>103</v>
      </c>
      <c r="E105">
        <f t="shared" si="4"/>
        <v>103</v>
      </c>
    </row>
    <row r="106" spans="1:5" x14ac:dyDescent="0.15">
      <c r="A106">
        <v>104</v>
      </c>
      <c r="E106">
        <f t="shared" si="4"/>
        <v>104</v>
      </c>
    </row>
    <row r="107" spans="1:5" x14ac:dyDescent="0.15">
      <c r="A107">
        <v>105</v>
      </c>
      <c r="E107">
        <f t="shared" si="4"/>
        <v>105</v>
      </c>
    </row>
    <row r="108" spans="1:5" x14ac:dyDescent="0.15">
      <c r="A108">
        <v>106</v>
      </c>
      <c r="E108">
        <f t="shared" si="4"/>
        <v>106</v>
      </c>
    </row>
    <row r="109" spans="1:5" x14ac:dyDescent="0.15">
      <c r="A109">
        <v>107</v>
      </c>
      <c r="E109">
        <f t="shared" si="4"/>
        <v>107</v>
      </c>
    </row>
    <row r="110" spans="1:5" x14ac:dyDescent="0.15">
      <c r="A110">
        <v>108</v>
      </c>
      <c r="E110">
        <f t="shared" si="4"/>
        <v>108</v>
      </c>
    </row>
    <row r="111" spans="1:5" x14ac:dyDescent="0.15">
      <c r="A111">
        <v>109</v>
      </c>
      <c r="E111">
        <f t="shared" si="4"/>
        <v>109</v>
      </c>
    </row>
    <row r="112" spans="1:5" x14ac:dyDescent="0.15">
      <c r="A112">
        <v>110</v>
      </c>
      <c r="E112">
        <f t="shared" si="4"/>
        <v>110</v>
      </c>
    </row>
    <row r="113" spans="1:5" x14ac:dyDescent="0.15">
      <c r="A113">
        <v>111</v>
      </c>
      <c r="E113">
        <f t="shared" si="4"/>
        <v>111</v>
      </c>
    </row>
    <row r="114" spans="1:5" x14ac:dyDescent="0.15">
      <c r="A114">
        <v>112</v>
      </c>
      <c r="E114">
        <f t="shared" si="4"/>
        <v>112</v>
      </c>
    </row>
    <row r="115" spans="1:5" x14ac:dyDescent="0.15">
      <c r="A115">
        <v>113</v>
      </c>
      <c r="E115">
        <f t="shared" si="4"/>
        <v>113</v>
      </c>
    </row>
    <row r="116" spans="1:5" x14ac:dyDescent="0.15">
      <c r="A116">
        <v>114</v>
      </c>
      <c r="E116">
        <f t="shared" si="4"/>
        <v>114</v>
      </c>
    </row>
    <row r="117" spans="1:5" x14ac:dyDescent="0.15">
      <c r="A117">
        <v>115</v>
      </c>
      <c r="E117">
        <f t="shared" si="4"/>
        <v>115</v>
      </c>
    </row>
    <row r="118" spans="1:5" x14ac:dyDescent="0.15">
      <c r="A118">
        <v>116</v>
      </c>
      <c r="E118">
        <f t="shared" si="4"/>
        <v>116</v>
      </c>
    </row>
    <row r="119" spans="1:5" x14ac:dyDescent="0.15">
      <c r="A119">
        <v>117</v>
      </c>
      <c r="E119">
        <f t="shared" si="4"/>
        <v>117</v>
      </c>
    </row>
    <row r="120" spans="1:5" x14ac:dyDescent="0.15">
      <c r="A120">
        <v>118</v>
      </c>
      <c r="E120">
        <f t="shared" si="4"/>
        <v>118</v>
      </c>
    </row>
    <row r="121" spans="1:5" x14ac:dyDescent="0.15">
      <c r="A121">
        <v>119</v>
      </c>
      <c r="E121">
        <f t="shared" si="4"/>
        <v>119</v>
      </c>
    </row>
    <row r="122" spans="1:5" x14ac:dyDescent="0.15">
      <c r="A122">
        <v>120</v>
      </c>
      <c r="E122">
        <f t="shared" si="4"/>
        <v>120</v>
      </c>
    </row>
    <row r="123" spans="1:5" x14ac:dyDescent="0.15">
      <c r="A123">
        <v>121</v>
      </c>
      <c r="E123">
        <f t="shared" si="4"/>
        <v>121</v>
      </c>
    </row>
    <row r="124" spans="1:5" x14ac:dyDescent="0.15">
      <c r="A124">
        <v>122</v>
      </c>
      <c r="E124">
        <f t="shared" si="4"/>
        <v>122</v>
      </c>
    </row>
    <row r="125" spans="1:5" x14ac:dyDescent="0.15">
      <c r="A125">
        <v>123</v>
      </c>
      <c r="E125">
        <f t="shared" si="4"/>
        <v>123</v>
      </c>
    </row>
    <row r="126" spans="1:5" x14ac:dyDescent="0.15">
      <c r="A126">
        <v>124</v>
      </c>
      <c r="E126">
        <f t="shared" si="4"/>
        <v>124</v>
      </c>
    </row>
    <row r="127" spans="1:5" x14ac:dyDescent="0.15">
      <c r="A127">
        <v>125</v>
      </c>
      <c r="E127">
        <f t="shared" si="4"/>
        <v>125</v>
      </c>
    </row>
    <row r="128" spans="1:5" x14ac:dyDescent="0.15">
      <c r="A128">
        <v>126</v>
      </c>
      <c r="E128">
        <f t="shared" si="4"/>
        <v>126</v>
      </c>
    </row>
    <row r="129" spans="1:5" x14ac:dyDescent="0.15">
      <c r="A129">
        <v>127</v>
      </c>
      <c r="E129">
        <f t="shared" si="4"/>
        <v>127</v>
      </c>
    </row>
    <row r="130" spans="1:5" x14ac:dyDescent="0.15">
      <c r="A130">
        <v>128</v>
      </c>
      <c r="E130">
        <f t="shared" si="4"/>
        <v>128</v>
      </c>
    </row>
    <row r="131" spans="1:5" x14ac:dyDescent="0.15">
      <c r="A131">
        <v>129</v>
      </c>
      <c r="E131">
        <f t="shared" si="4"/>
        <v>129</v>
      </c>
    </row>
    <row r="132" spans="1:5" x14ac:dyDescent="0.15">
      <c r="A132">
        <v>130</v>
      </c>
      <c r="E132">
        <f t="shared" ref="E132:E195" si="5">A132</f>
        <v>130</v>
      </c>
    </row>
    <row r="133" spans="1:5" x14ac:dyDescent="0.15">
      <c r="A133">
        <v>131</v>
      </c>
      <c r="E133">
        <f t="shared" si="5"/>
        <v>131</v>
      </c>
    </row>
    <row r="134" spans="1:5" x14ac:dyDescent="0.15">
      <c r="A134">
        <v>132</v>
      </c>
      <c r="E134">
        <f t="shared" si="5"/>
        <v>132</v>
      </c>
    </row>
    <row r="135" spans="1:5" x14ac:dyDescent="0.15">
      <c r="A135">
        <v>133</v>
      </c>
      <c r="E135">
        <f t="shared" si="5"/>
        <v>133</v>
      </c>
    </row>
    <row r="136" spans="1:5" x14ac:dyDescent="0.15">
      <c r="A136">
        <v>134</v>
      </c>
      <c r="E136">
        <f t="shared" si="5"/>
        <v>134</v>
      </c>
    </row>
    <row r="137" spans="1:5" x14ac:dyDescent="0.15">
      <c r="A137">
        <v>135</v>
      </c>
      <c r="E137">
        <f t="shared" si="5"/>
        <v>135</v>
      </c>
    </row>
    <row r="138" spans="1:5" x14ac:dyDescent="0.15">
      <c r="A138">
        <v>136</v>
      </c>
      <c r="E138">
        <f t="shared" si="5"/>
        <v>136</v>
      </c>
    </row>
    <row r="139" spans="1:5" x14ac:dyDescent="0.15">
      <c r="A139">
        <v>137</v>
      </c>
      <c r="E139">
        <f t="shared" si="5"/>
        <v>137</v>
      </c>
    </row>
    <row r="140" spans="1:5" x14ac:dyDescent="0.15">
      <c r="A140">
        <v>138</v>
      </c>
      <c r="E140">
        <f t="shared" si="5"/>
        <v>138</v>
      </c>
    </row>
    <row r="141" spans="1:5" x14ac:dyDescent="0.15">
      <c r="A141">
        <v>139</v>
      </c>
      <c r="E141">
        <f t="shared" si="5"/>
        <v>139</v>
      </c>
    </row>
    <row r="142" spans="1:5" x14ac:dyDescent="0.15">
      <c r="A142">
        <v>140</v>
      </c>
      <c r="E142">
        <f t="shared" si="5"/>
        <v>140</v>
      </c>
    </row>
    <row r="143" spans="1:5" x14ac:dyDescent="0.15">
      <c r="A143">
        <v>141</v>
      </c>
      <c r="E143">
        <f t="shared" si="5"/>
        <v>141</v>
      </c>
    </row>
    <row r="144" spans="1:5" x14ac:dyDescent="0.15">
      <c r="A144">
        <v>142</v>
      </c>
      <c r="E144">
        <f t="shared" si="5"/>
        <v>142</v>
      </c>
    </row>
    <row r="145" spans="1:5" x14ac:dyDescent="0.15">
      <c r="A145">
        <v>143</v>
      </c>
      <c r="E145">
        <f t="shared" si="5"/>
        <v>143</v>
      </c>
    </row>
    <row r="146" spans="1:5" x14ac:dyDescent="0.15">
      <c r="A146">
        <v>144</v>
      </c>
      <c r="E146">
        <f t="shared" si="5"/>
        <v>144</v>
      </c>
    </row>
    <row r="147" spans="1:5" x14ac:dyDescent="0.15">
      <c r="A147">
        <v>145</v>
      </c>
      <c r="E147">
        <f t="shared" si="5"/>
        <v>145</v>
      </c>
    </row>
    <row r="148" spans="1:5" x14ac:dyDescent="0.15">
      <c r="A148">
        <v>146</v>
      </c>
      <c r="E148">
        <f t="shared" si="5"/>
        <v>146</v>
      </c>
    </row>
    <row r="149" spans="1:5" x14ac:dyDescent="0.15">
      <c r="A149">
        <v>147</v>
      </c>
      <c r="E149">
        <f t="shared" si="5"/>
        <v>147</v>
      </c>
    </row>
    <row r="150" spans="1:5" x14ac:dyDescent="0.15">
      <c r="A150">
        <v>148</v>
      </c>
      <c r="E150">
        <f t="shared" si="5"/>
        <v>148</v>
      </c>
    </row>
    <row r="151" spans="1:5" x14ac:dyDescent="0.15">
      <c r="A151">
        <v>149</v>
      </c>
      <c r="E151">
        <f t="shared" si="5"/>
        <v>149</v>
      </c>
    </row>
    <row r="152" spans="1:5" x14ac:dyDescent="0.15">
      <c r="A152">
        <v>150</v>
      </c>
      <c r="E152">
        <f t="shared" si="5"/>
        <v>150</v>
      </c>
    </row>
    <row r="153" spans="1:5" x14ac:dyDescent="0.15">
      <c r="A153">
        <v>151</v>
      </c>
      <c r="E153">
        <f t="shared" si="5"/>
        <v>151</v>
      </c>
    </row>
    <row r="154" spans="1:5" x14ac:dyDescent="0.15">
      <c r="A154">
        <v>152</v>
      </c>
      <c r="E154">
        <f t="shared" si="5"/>
        <v>152</v>
      </c>
    </row>
    <row r="155" spans="1:5" x14ac:dyDescent="0.15">
      <c r="A155">
        <v>153</v>
      </c>
      <c r="E155">
        <f t="shared" si="5"/>
        <v>153</v>
      </c>
    </row>
    <row r="156" spans="1:5" x14ac:dyDescent="0.15">
      <c r="A156">
        <v>154</v>
      </c>
      <c r="E156">
        <f t="shared" si="5"/>
        <v>154</v>
      </c>
    </row>
    <row r="157" spans="1:5" x14ac:dyDescent="0.15">
      <c r="A157">
        <v>155</v>
      </c>
      <c r="E157">
        <f t="shared" si="5"/>
        <v>155</v>
      </c>
    </row>
    <row r="158" spans="1:5" x14ac:dyDescent="0.15">
      <c r="A158">
        <v>156</v>
      </c>
      <c r="E158">
        <f t="shared" si="5"/>
        <v>156</v>
      </c>
    </row>
    <row r="159" spans="1:5" x14ac:dyDescent="0.15">
      <c r="A159">
        <v>157</v>
      </c>
      <c r="E159">
        <f t="shared" si="5"/>
        <v>157</v>
      </c>
    </row>
    <row r="160" spans="1:5" x14ac:dyDescent="0.15">
      <c r="A160">
        <v>158</v>
      </c>
      <c r="E160">
        <f t="shared" si="5"/>
        <v>158</v>
      </c>
    </row>
    <row r="161" spans="1:5" x14ac:dyDescent="0.15">
      <c r="A161">
        <v>159</v>
      </c>
      <c r="E161">
        <f t="shared" si="5"/>
        <v>159</v>
      </c>
    </row>
    <row r="162" spans="1:5" x14ac:dyDescent="0.15">
      <c r="A162">
        <v>160</v>
      </c>
      <c r="E162">
        <f t="shared" si="5"/>
        <v>160</v>
      </c>
    </row>
    <row r="163" spans="1:5" x14ac:dyDescent="0.15">
      <c r="A163">
        <v>161</v>
      </c>
      <c r="E163">
        <f t="shared" si="5"/>
        <v>161</v>
      </c>
    </row>
    <row r="164" spans="1:5" x14ac:dyDescent="0.15">
      <c r="A164">
        <v>162</v>
      </c>
      <c r="E164">
        <f t="shared" si="5"/>
        <v>162</v>
      </c>
    </row>
    <row r="165" spans="1:5" x14ac:dyDescent="0.15">
      <c r="A165">
        <v>163</v>
      </c>
      <c r="E165">
        <f t="shared" si="5"/>
        <v>163</v>
      </c>
    </row>
    <row r="166" spans="1:5" x14ac:dyDescent="0.15">
      <c r="A166">
        <v>164</v>
      </c>
      <c r="E166">
        <f t="shared" si="5"/>
        <v>164</v>
      </c>
    </row>
    <row r="167" spans="1:5" x14ac:dyDescent="0.15">
      <c r="A167">
        <v>165</v>
      </c>
      <c r="E167">
        <f t="shared" si="5"/>
        <v>165</v>
      </c>
    </row>
    <row r="168" spans="1:5" x14ac:dyDescent="0.15">
      <c r="A168">
        <v>166</v>
      </c>
      <c r="E168">
        <f t="shared" si="5"/>
        <v>166</v>
      </c>
    </row>
    <row r="169" spans="1:5" x14ac:dyDescent="0.15">
      <c r="A169">
        <v>167</v>
      </c>
      <c r="E169">
        <f t="shared" si="5"/>
        <v>167</v>
      </c>
    </row>
    <row r="170" spans="1:5" x14ac:dyDescent="0.15">
      <c r="A170">
        <v>168</v>
      </c>
      <c r="E170">
        <f t="shared" si="5"/>
        <v>168</v>
      </c>
    </row>
    <row r="171" spans="1:5" x14ac:dyDescent="0.15">
      <c r="A171">
        <v>169</v>
      </c>
      <c r="E171">
        <f t="shared" si="5"/>
        <v>169</v>
      </c>
    </row>
    <row r="172" spans="1:5" x14ac:dyDescent="0.15">
      <c r="A172">
        <v>170</v>
      </c>
      <c r="E172">
        <f t="shared" si="5"/>
        <v>170</v>
      </c>
    </row>
    <row r="173" spans="1:5" x14ac:dyDescent="0.15">
      <c r="A173">
        <v>171</v>
      </c>
      <c r="E173">
        <f t="shared" si="5"/>
        <v>171</v>
      </c>
    </row>
    <row r="174" spans="1:5" x14ac:dyDescent="0.15">
      <c r="A174">
        <v>172</v>
      </c>
      <c r="E174">
        <f t="shared" si="5"/>
        <v>172</v>
      </c>
    </row>
    <row r="175" spans="1:5" x14ac:dyDescent="0.15">
      <c r="A175">
        <v>173</v>
      </c>
      <c r="E175">
        <f t="shared" si="5"/>
        <v>173</v>
      </c>
    </row>
    <row r="176" spans="1:5" x14ac:dyDescent="0.15">
      <c r="A176">
        <v>174</v>
      </c>
      <c r="E176">
        <f t="shared" si="5"/>
        <v>174</v>
      </c>
    </row>
    <row r="177" spans="1:5" x14ac:dyDescent="0.15">
      <c r="A177">
        <v>175</v>
      </c>
      <c r="E177">
        <f t="shared" si="5"/>
        <v>175</v>
      </c>
    </row>
    <row r="178" spans="1:5" x14ac:dyDescent="0.15">
      <c r="A178">
        <v>176</v>
      </c>
      <c r="E178">
        <f t="shared" si="5"/>
        <v>176</v>
      </c>
    </row>
    <row r="179" spans="1:5" x14ac:dyDescent="0.15">
      <c r="A179">
        <v>177</v>
      </c>
      <c r="E179">
        <f t="shared" si="5"/>
        <v>177</v>
      </c>
    </row>
    <row r="180" spans="1:5" x14ac:dyDescent="0.15">
      <c r="A180">
        <v>178</v>
      </c>
      <c r="E180">
        <f t="shared" si="5"/>
        <v>178</v>
      </c>
    </row>
    <row r="181" spans="1:5" x14ac:dyDescent="0.15">
      <c r="A181">
        <v>179</v>
      </c>
      <c r="E181">
        <f t="shared" si="5"/>
        <v>179</v>
      </c>
    </row>
    <row r="182" spans="1:5" x14ac:dyDescent="0.15">
      <c r="A182">
        <v>180</v>
      </c>
      <c r="E182">
        <f t="shared" si="5"/>
        <v>180</v>
      </c>
    </row>
    <row r="183" spans="1:5" x14ac:dyDescent="0.15">
      <c r="A183">
        <v>181</v>
      </c>
      <c r="E183">
        <f t="shared" si="5"/>
        <v>181</v>
      </c>
    </row>
    <row r="184" spans="1:5" x14ac:dyDescent="0.15">
      <c r="A184">
        <v>182</v>
      </c>
      <c r="E184">
        <f t="shared" si="5"/>
        <v>182</v>
      </c>
    </row>
    <row r="185" spans="1:5" x14ac:dyDescent="0.15">
      <c r="A185">
        <v>183</v>
      </c>
      <c r="E185">
        <f t="shared" si="5"/>
        <v>183</v>
      </c>
    </row>
    <row r="186" spans="1:5" x14ac:dyDescent="0.15">
      <c r="A186">
        <v>184</v>
      </c>
      <c r="E186">
        <f t="shared" si="5"/>
        <v>184</v>
      </c>
    </row>
    <row r="187" spans="1:5" x14ac:dyDescent="0.15">
      <c r="A187">
        <v>185</v>
      </c>
      <c r="E187">
        <f t="shared" si="5"/>
        <v>185</v>
      </c>
    </row>
    <row r="188" spans="1:5" x14ac:dyDescent="0.15">
      <c r="A188">
        <v>186</v>
      </c>
      <c r="E188">
        <f t="shared" si="5"/>
        <v>186</v>
      </c>
    </row>
    <row r="189" spans="1:5" x14ac:dyDescent="0.15">
      <c r="A189">
        <v>187</v>
      </c>
      <c r="E189">
        <f t="shared" si="5"/>
        <v>187</v>
      </c>
    </row>
    <row r="190" spans="1:5" x14ac:dyDescent="0.15">
      <c r="A190">
        <v>188</v>
      </c>
      <c r="E190">
        <f t="shared" si="5"/>
        <v>188</v>
      </c>
    </row>
    <row r="191" spans="1:5" x14ac:dyDescent="0.15">
      <c r="A191">
        <v>189</v>
      </c>
      <c r="E191">
        <f t="shared" si="5"/>
        <v>189</v>
      </c>
    </row>
    <row r="192" spans="1:5" x14ac:dyDescent="0.15">
      <c r="A192">
        <v>190</v>
      </c>
      <c r="E192">
        <f t="shared" si="5"/>
        <v>190</v>
      </c>
    </row>
    <row r="193" spans="1:5" x14ac:dyDescent="0.15">
      <c r="A193">
        <v>191</v>
      </c>
      <c r="E193">
        <f t="shared" si="5"/>
        <v>191</v>
      </c>
    </row>
    <row r="194" spans="1:5" x14ac:dyDescent="0.15">
      <c r="A194">
        <v>192</v>
      </c>
      <c r="E194">
        <f t="shared" si="5"/>
        <v>192</v>
      </c>
    </row>
    <row r="195" spans="1:5" x14ac:dyDescent="0.15">
      <c r="A195">
        <v>193</v>
      </c>
      <c r="E195">
        <f t="shared" si="5"/>
        <v>193</v>
      </c>
    </row>
    <row r="196" spans="1:5" x14ac:dyDescent="0.15">
      <c r="A196">
        <v>194</v>
      </c>
      <c r="E196">
        <f t="shared" ref="E196:E236" si="6">A196</f>
        <v>194</v>
      </c>
    </row>
    <row r="197" spans="1:5" x14ac:dyDescent="0.15">
      <c r="A197">
        <v>195</v>
      </c>
      <c r="E197">
        <f t="shared" si="6"/>
        <v>195</v>
      </c>
    </row>
    <row r="198" spans="1:5" x14ac:dyDescent="0.15">
      <c r="A198">
        <v>196</v>
      </c>
      <c r="E198">
        <f t="shared" si="6"/>
        <v>196</v>
      </c>
    </row>
    <row r="199" spans="1:5" x14ac:dyDescent="0.15">
      <c r="A199">
        <v>197</v>
      </c>
      <c r="E199">
        <f t="shared" si="6"/>
        <v>197</v>
      </c>
    </row>
    <row r="200" spans="1:5" x14ac:dyDescent="0.15">
      <c r="A200">
        <v>198</v>
      </c>
      <c r="E200">
        <f t="shared" si="6"/>
        <v>198</v>
      </c>
    </row>
    <row r="201" spans="1:5" x14ac:dyDescent="0.15">
      <c r="A201">
        <v>199</v>
      </c>
      <c r="E201">
        <f t="shared" si="6"/>
        <v>199</v>
      </c>
    </row>
    <row r="202" spans="1:5" x14ac:dyDescent="0.15">
      <c r="A202">
        <v>200</v>
      </c>
      <c r="E202">
        <f t="shared" si="6"/>
        <v>200</v>
      </c>
    </row>
    <row r="203" spans="1:5" x14ac:dyDescent="0.15">
      <c r="A203">
        <v>201</v>
      </c>
      <c r="E203">
        <f t="shared" si="6"/>
        <v>201</v>
      </c>
    </row>
    <row r="204" spans="1:5" x14ac:dyDescent="0.15">
      <c r="A204">
        <v>202</v>
      </c>
      <c r="E204">
        <f t="shared" si="6"/>
        <v>202</v>
      </c>
    </row>
    <row r="205" spans="1:5" x14ac:dyDescent="0.15">
      <c r="A205">
        <v>203</v>
      </c>
      <c r="E205">
        <f t="shared" si="6"/>
        <v>203</v>
      </c>
    </row>
    <row r="206" spans="1:5" x14ac:dyDescent="0.15">
      <c r="A206">
        <v>204</v>
      </c>
      <c r="E206">
        <f t="shared" si="6"/>
        <v>204</v>
      </c>
    </row>
    <row r="207" spans="1:5" x14ac:dyDescent="0.15">
      <c r="A207">
        <v>205</v>
      </c>
      <c r="E207">
        <f t="shared" si="6"/>
        <v>205</v>
      </c>
    </row>
    <row r="208" spans="1:5" x14ac:dyDescent="0.15">
      <c r="A208">
        <v>206</v>
      </c>
      <c r="E208">
        <f t="shared" si="6"/>
        <v>206</v>
      </c>
    </row>
    <row r="209" spans="1:5" x14ac:dyDescent="0.15">
      <c r="A209">
        <v>207</v>
      </c>
      <c r="E209">
        <f t="shared" si="6"/>
        <v>207</v>
      </c>
    </row>
    <row r="210" spans="1:5" x14ac:dyDescent="0.15">
      <c r="A210">
        <v>208</v>
      </c>
      <c r="E210">
        <f t="shared" si="6"/>
        <v>208</v>
      </c>
    </row>
    <row r="211" spans="1:5" x14ac:dyDescent="0.15">
      <c r="A211">
        <v>209</v>
      </c>
      <c r="E211">
        <f t="shared" si="6"/>
        <v>209</v>
      </c>
    </row>
    <row r="212" spans="1:5" x14ac:dyDescent="0.15">
      <c r="A212">
        <v>210</v>
      </c>
      <c r="E212">
        <f t="shared" si="6"/>
        <v>210</v>
      </c>
    </row>
    <row r="213" spans="1:5" x14ac:dyDescent="0.15">
      <c r="A213">
        <v>211</v>
      </c>
      <c r="E213">
        <f t="shared" si="6"/>
        <v>211</v>
      </c>
    </row>
    <row r="214" spans="1:5" x14ac:dyDescent="0.15">
      <c r="A214">
        <v>212</v>
      </c>
      <c r="E214">
        <f t="shared" si="6"/>
        <v>212</v>
      </c>
    </row>
    <row r="215" spans="1:5" x14ac:dyDescent="0.15">
      <c r="A215">
        <v>213</v>
      </c>
      <c r="E215">
        <f t="shared" si="6"/>
        <v>213</v>
      </c>
    </row>
    <row r="216" spans="1:5" x14ac:dyDescent="0.15">
      <c r="A216">
        <v>214</v>
      </c>
      <c r="E216">
        <f t="shared" si="6"/>
        <v>214</v>
      </c>
    </row>
    <row r="217" spans="1:5" x14ac:dyDescent="0.15">
      <c r="A217">
        <v>215</v>
      </c>
      <c r="E217">
        <f t="shared" si="6"/>
        <v>215</v>
      </c>
    </row>
    <row r="218" spans="1:5" x14ac:dyDescent="0.15">
      <c r="A218">
        <v>216</v>
      </c>
      <c r="E218">
        <f t="shared" si="6"/>
        <v>216</v>
      </c>
    </row>
    <row r="219" spans="1:5" x14ac:dyDescent="0.15">
      <c r="A219">
        <v>217</v>
      </c>
      <c r="E219">
        <f t="shared" si="6"/>
        <v>217</v>
      </c>
    </row>
    <row r="220" spans="1:5" x14ac:dyDescent="0.15">
      <c r="A220">
        <v>218</v>
      </c>
      <c r="E220">
        <f t="shared" si="6"/>
        <v>218</v>
      </c>
    </row>
    <row r="221" spans="1:5" x14ac:dyDescent="0.15">
      <c r="A221">
        <v>219</v>
      </c>
      <c r="E221">
        <f t="shared" si="6"/>
        <v>219</v>
      </c>
    </row>
    <row r="222" spans="1:5" x14ac:dyDescent="0.15">
      <c r="A222">
        <v>220</v>
      </c>
      <c r="E222">
        <f t="shared" si="6"/>
        <v>220</v>
      </c>
    </row>
    <row r="223" spans="1:5" x14ac:dyDescent="0.15">
      <c r="A223">
        <v>221</v>
      </c>
      <c r="E223">
        <f t="shared" si="6"/>
        <v>221</v>
      </c>
    </row>
    <row r="224" spans="1:5" x14ac:dyDescent="0.15">
      <c r="A224">
        <v>222</v>
      </c>
      <c r="E224">
        <f t="shared" si="6"/>
        <v>222</v>
      </c>
    </row>
    <row r="225" spans="1:5" x14ac:dyDescent="0.15">
      <c r="A225">
        <v>223</v>
      </c>
      <c r="E225">
        <f t="shared" si="6"/>
        <v>223</v>
      </c>
    </row>
    <row r="226" spans="1:5" x14ac:dyDescent="0.15">
      <c r="A226">
        <v>224</v>
      </c>
      <c r="E226">
        <f t="shared" si="6"/>
        <v>224</v>
      </c>
    </row>
    <row r="227" spans="1:5" x14ac:dyDescent="0.15">
      <c r="A227">
        <v>225</v>
      </c>
      <c r="E227">
        <f t="shared" si="6"/>
        <v>225</v>
      </c>
    </row>
    <row r="228" spans="1:5" x14ac:dyDescent="0.15">
      <c r="A228">
        <v>226</v>
      </c>
      <c r="E228">
        <f t="shared" si="6"/>
        <v>226</v>
      </c>
    </row>
    <row r="229" spans="1:5" x14ac:dyDescent="0.15">
      <c r="A229">
        <v>227</v>
      </c>
      <c r="E229">
        <f t="shared" si="6"/>
        <v>227</v>
      </c>
    </row>
    <row r="230" spans="1:5" x14ac:dyDescent="0.15">
      <c r="A230">
        <v>228</v>
      </c>
      <c r="E230">
        <f t="shared" si="6"/>
        <v>228</v>
      </c>
    </row>
    <row r="231" spans="1:5" x14ac:dyDescent="0.15">
      <c r="A231">
        <v>229</v>
      </c>
      <c r="E231">
        <f t="shared" si="6"/>
        <v>229</v>
      </c>
    </row>
    <row r="232" spans="1:5" x14ac:dyDescent="0.15">
      <c r="A232">
        <v>230</v>
      </c>
      <c r="E232">
        <f t="shared" si="6"/>
        <v>230</v>
      </c>
    </row>
    <row r="233" spans="1:5" x14ac:dyDescent="0.15">
      <c r="E233">
        <f t="shared" si="6"/>
        <v>0</v>
      </c>
    </row>
    <row r="234" spans="1:5" x14ac:dyDescent="0.15">
      <c r="E234">
        <f t="shared" si="6"/>
        <v>0</v>
      </c>
    </row>
    <row r="235" spans="1:5" x14ac:dyDescent="0.15">
      <c r="E235">
        <f t="shared" si="6"/>
        <v>0</v>
      </c>
    </row>
    <row r="236" spans="1:5" x14ac:dyDescent="0.15">
      <c r="E236">
        <f t="shared" si="6"/>
        <v>0</v>
      </c>
    </row>
  </sheetData>
  <hyperlinks>
    <hyperlink ref="G1" r:id="rId1" xr:uid="{577FDE0A-D983-D647-AF36-3DD9211F98BA}"/>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U208"/>
  <sheetViews>
    <sheetView zoomScale="107" zoomScaleNormal="100" workbookViewId="0">
      <pane xSplit="1" topLeftCell="E1" activePane="topRight" state="frozen"/>
      <selection pane="topRight" activeCell="N11" sqref="N11"/>
    </sheetView>
  </sheetViews>
  <sheetFormatPr baseColWidth="10" defaultColWidth="11.5" defaultRowHeight="11" x14ac:dyDescent="0.15"/>
  <cols>
    <col min="1" max="1" width="27.83203125" style="4" customWidth="1"/>
    <col min="2" max="13" width="12.6640625" style="4" customWidth="1"/>
    <col min="14" max="14" width="14.6640625" style="4" customWidth="1"/>
    <col min="15" max="15" width="21" style="44" customWidth="1"/>
    <col min="16" max="16" width="18" style="44" customWidth="1"/>
    <col min="17" max="21" width="11.5" style="44"/>
    <col min="22" max="16384" width="11.5" style="4"/>
  </cols>
  <sheetData>
    <row r="1" spans="1:21" ht="18.75" customHeight="1" x14ac:dyDescent="0.15">
      <c r="A1" s="1" t="s">
        <v>9</v>
      </c>
      <c r="B1" s="142"/>
      <c r="C1" s="142"/>
      <c r="D1" s="142"/>
      <c r="E1" s="142"/>
      <c r="F1" s="142"/>
      <c r="G1" s="142"/>
      <c r="H1" s="159"/>
      <c r="I1" s="159"/>
      <c r="J1" s="159"/>
      <c r="K1" s="159"/>
      <c r="L1" s="159"/>
      <c r="M1" s="159"/>
      <c r="N1" s="159"/>
      <c r="O1" s="1" t="s">
        <v>68</v>
      </c>
      <c r="P1" s="1" t="s">
        <v>69</v>
      </c>
      <c r="Q1" s="160"/>
      <c r="R1" s="160"/>
      <c r="S1" s="160"/>
      <c r="T1" s="160"/>
      <c r="U1" s="160"/>
    </row>
    <row r="2" spans="1:21" ht="6" customHeight="1" x14ac:dyDescent="0.15">
      <c r="A2" s="142"/>
      <c r="B2" s="142"/>
      <c r="C2" s="142"/>
      <c r="D2" s="8"/>
      <c r="E2" s="161"/>
      <c r="F2" s="142"/>
      <c r="G2" s="142"/>
      <c r="H2" s="142"/>
      <c r="I2" s="142"/>
      <c r="J2" s="142"/>
      <c r="K2" s="142"/>
      <c r="L2" s="142"/>
      <c r="M2" s="142"/>
      <c r="N2" s="142"/>
      <c r="O2" s="142"/>
      <c r="P2" s="142"/>
      <c r="Q2" s="160"/>
      <c r="R2" s="160"/>
      <c r="S2" s="160"/>
      <c r="T2" s="160"/>
      <c r="U2" s="160"/>
    </row>
    <row r="3" spans="1:21" s="12" customFormat="1" ht="13" x14ac:dyDescent="0.15">
      <c r="A3" s="13"/>
      <c r="B3" s="16">
        <f>'How to use this template'!C4</f>
        <v>45658</v>
      </c>
      <c r="C3" s="16">
        <f t="shared" ref="C3:M3" si="0">DATE(YEAR(B3),MONTH(B3)+1,DAY(B3))</f>
        <v>45689</v>
      </c>
      <c r="D3" s="16">
        <f t="shared" si="0"/>
        <v>45717</v>
      </c>
      <c r="E3" s="16">
        <f t="shared" si="0"/>
        <v>45748</v>
      </c>
      <c r="F3" s="16">
        <f t="shared" si="0"/>
        <v>45778</v>
      </c>
      <c r="G3" s="16">
        <f t="shared" si="0"/>
        <v>45809</v>
      </c>
      <c r="H3" s="16">
        <f t="shared" si="0"/>
        <v>45839</v>
      </c>
      <c r="I3" s="16">
        <f t="shared" si="0"/>
        <v>45870</v>
      </c>
      <c r="J3" s="16">
        <f t="shared" si="0"/>
        <v>45901</v>
      </c>
      <c r="K3" s="16">
        <f t="shared" si="0"/>
        <v>45931</v>
      </c>
      <c r="L3" s="16">
        <f t="shared" si="0"/>
        <v>45962</v>
      </c>
      <c r="M3" s="16">
        <f t="shared" si="0"/>
        <v>45992</v>
      </c>
      <c r="N3" s="16" t="s">
        <v>70</v>
      </c>
      <c r="O3" s="16" t="s">
        <v>70</v>
      </c>
      <c r="P3" s="16" t="s">
        <v>70</v>
      </c>
      <c r="Q3" s="45"/>
      <c r="R3" s="45"/>
      <c r="S3" s="45" t="s">
        <v>71</v>
      </c>
      <c r="T3" s="45"/>
      <c r="U3" s="45"/>
    </row>
    <row r="4" spans="1:21" s="42" customFormat="1" ht="13" x14ac:dyDescent="0.15">
      <c r="A4" s="40" t="s">
        <v>72</v>
      </c>
      <c r="B4" s="94" cm="1">
        <f t="array" ref="B4:M4">TRANSPOSE('Sales Forecast CAGR'!B2:B13)</f>
        <v>0</v>
      </c>
      <c r="C4" s="94">
        <v>0</v>
      </c>
      <c r="D4" s="94">
        <v>0</v>
      </c>
      <c r="E4" s="94">
        <v>0</v>
      </c>
      <c r="F4" s="94">
        <v>0</v>
      </c>
      <c r="G4" s="94">
        <v>275</v>
      </c>
      <c r="H4" s="94">
        <v>293</v>
      </c>
      <c r="I4" s="94">
        <v>312</v>
      </c>
      <c r="J4" s="94">
        <v>333</v>
      </c>
      <c r="K4" s="94">
        <v>355</v>
      </c>
      <c r="L4" s="94">
        <v>379</v>
      </c>
      <c r="M4" s="94">
        <v>404</v>
      </c>
      <c r="N4" s="95">
        <f>SUM(B4:M4)</f>
        <v>2351</v>
      </c>
      <c r="O4" s="118">
        <f>'Sales Forecast CAGR'!I25</f>
        <v>19113</v>
      </c>
      <c r="P4" s="118">
        <f>'Sales Forecast CAGR'!I37</f>
        <v>55976</v>
      </c>
      <c r="Q4" s="45"/>
      <c r="R4" s="45"/>
      <c r="S4" s="45"/>
      <c r="T4" s="45"/>
      <c r="U4" s="45"/>
    </row>
    <row r="5" spans="1:21" s="100" customFormat="1" ht="13" x14ac:dyDescent="0.15">
      <c r="A5" s="96" t="s">
        <v>73</v>
      </c>
      <c r="B5" s="97" cm="1">
        <f t="array" ref="B5:M5">TRANSPOSE('Sales Forecast CAGR'!C2:C13)</f>
        <v>0</v>
      </c>
      <c r="C5" s="97">
        <v>0</v>
      </c>
      <c r="D5" s="97">
        <v>0</v>
      </c>
      <c r="E5" s="97">
        <v>0</v>
      </c>
      <c r="F5" s="97">
        <v>0</v>
      </c>
      <c r="G5" s="97">
        <v>10058.739837398374</v>
      </c>
      <c r="H5" s="97">
        <v>10717.130081300813</v>
      </c>
      <c r="I5" s="97">
        <v>11412.09756097561</v>
      </c>
      <c r="J5" s="97">
        <v>12180.219512195123</v>
      </c>
      <c r="K5" s="97">
        <v>12984.918699186992</v>
      </c>
      <c r="L5" s="97">
        <v>13862.772357723577</v>
      </c>
      <c r="M5" s="97">
        <v>14777.203252032521</v>
      </c>
      <c r="N5" s="98">
        <f>SUM(B5:M5)</f>
        <v>85993.081300813006</v>
      </c>
      <c r="O5" s="97">
        <f>'Sales Forecast CAGR'!J25</f>
        <v>699100.70731707313</v>
      </c>
      <c r="P5" s="98">
        <f>'Sales Forecast CAGR'!J37</f>
        <v>2047447.349593496</v>
      </c>
      <c r="Q5" s="99"/>
      <c r="R5" s="99"/>
      <c r="S5" s="99"/>
      <c r="T5" s="99"/>
      <c r="U5" s="99"/>
    </row>
    <row r="6" spans="1:21" s="104" customFormat="1" ht="13" x14ac:dyDescent="0.15">
      <c r="A6" s="101" t="s">
        <v>74</v>
      </c>
      <c r="B6" s="102">
        <v>0</v>
      </c>
      <c r="C6" s="102">
        <v>0</v>
      </c>
      <c r="D6" s="102">
        <v>0</v>
      </c>
      <c r="E6" s="102">
        <v>0</v>
      </c>
      <c r="F6" s="102">
        <v>0</v>
      </c>
      <c r="G6" s="102">
        <v>0</v>
      </c>
      <c r="H6" s="102">
        <v>0</v>
      </c>
      <c r="I6" s="102">
        <v>0</v>
      </c>
      <c r="J6" s="102">
        <v>0</v>
      </c>
      <c r="K6" s="102">
        <v>0</v>
      </c>
      <c r="L6" s="102">
        <v>0</v>
      </c>
      <c r="M6" s="102">
        <v>0</v>
      </c>
      <c r="N6" s="93">
        <v>0</v>
      </c>
      <c r="O6" s="118">
        <f>'Sales Forecast CAGR'!W13</f>
        <v>2351</v>
      </c>
      <c r="P6" s="118">
        <f>'Sales Forecast CAGR'!W37</f>
        <v>77440</v>
      </c>
      <c r="Q6" s="103"/>
      <c r="R6" s="103"/>
      <c r="S6" s="103"/>
      <c r="T6" s="103"/>
      <c r="U6" s="103"/>
    </row>
    <row r="7" spans="1:21" s="100" customFormat="1" ht="13" x14ac:dyDescent="0.15">
      <c r="A7" s="96" t="s">
        <v>75</v>
      </c>
      <c r="B7" s="97">
        <v>0</v>
      </c>
      <c r="C7" s="97">
        <v>0</v>
      </c>
      <c r="D7" s="97">
        <v>0</v>
      </c>
      <c r="E7" s="97">
        <v>0</v>
      </c>
      <c r="F7" s="97">
        <v>0</v>
      </c>
      <c r="G7" s="97">
        <v>0</v>
      </c>
      <c r="H7" s="97">
        <v>0</v>
      </c>
      <c r="I7" s="97">
        <v>0</v>
      </c>
      <c r="J7" s="97">
        <v>0</v>
      </c>
      <c r="K7" s="97">
        <v>0</v>
      </c>
      <c r="L7" s="97">
        <v>0</v>
      </c>
      <c r="M7" s="97">
        <v>0</v>
      </c>
      <c r="N7" s="98">
        <v>0</v>
      </c>
      <c r="O7" s="98">
        <f>'Sales Forecast CAGR'!X25</f>
        <v>100314.55284552847</v>
      </c>
      <c r="P7" s="98">
        <f>'Sales Forecast CAGR'!X37</f>
        <v>565371.95609756093</v>
      </c>
      <c r="Q7" s="99"/>
      <c r="R7" s="99"/>
      <c r="S7" s="99"/>
      <c r="T7" s="99"/>
      <c r="U7" s="99"/>
    </row>
    <row r="8" spans="1:21" s="42" customFormat="1" ht="13" x14ac:dyDescent="0.15">
      <c r="A8" s="43"/>
      <c r="B8" s="92"/>
      <c r="C8" s="92"/>
      <c r="D8" s="92"/>
      <c r="E8" s="92"/>
      <c r="F8" s="92"/>
      <c r="G8" s="92"/>
      <c r="H8" s="92"/>
      <c r="I8" s="92"/>
      <c r="J8" s="92"/>
      <c r="K8" s="92"/>
      <c r="L8" s="92"/>
      <c r="M8" s="92"/>
      <c r="N8" s="41"/>
      <c r="O8" s="41"/>
      <c r="P8" s="41"/>
      <c r="Q8" s="45"/>
      <c r="R8" s="45"/>
      <c r="S8" s="45"/>
      <c r="T8" s="45"/>
      <c r="U8" s="45"/>
    </row>
    <row r="9" spans="1:21" ht="24" customHeight="1" x14ac:dyDescent="0.15">
      <c r="A9" s="14" t="s">
        <v>76</v>
      </c>
      <c r="B9" s="162"/>
      <c r="C9" s="162"/>
      <c r="D9" s="163"/>
      <c r="E9" s="163"/>
      <c r="F9" s="163"/>
      <c r="G9" s="163"/>
      <c r="H9" s="163"/>
      <c r="I9" s="163"/>
      <c r="J9" s="163"/>
      <c r="K9" s="163"/>
      <c r="L9" s="163"/>
      <c r="M9" s="163"/>
      <c r="N9" s="164"/>
      <c r="O9" s="14" t="s">
        <v>76</v>
      </c>
      <c r="P9" s="14" t="s">
        <v>76</v>
      </c>
      <c r="Q9" s="160"/>
      <c r="R9" s="160"/>
      <c r="S9" s="160"/>
      <c r="T9" s="160"/>
      <c r="U9" s="160"/>
    </row>
    <row r="10" spans="1:21" x14ac:dyDescent="0.15">
      <c r="A10" s="165" t="s">
        <v>77</v>
      </c>
      <c r="B10" s="167">
        <f>B$5+B$7</f>
        <v>0</v>
      </c>
      <c r="C10" s="167">
        <f t="shared" ref="C10:P10" si="1">C$5+C$7</f>
        <v>0</v>
      </c>
      <c r="D10" s="167">
        <f t="shared" si="1"/>
        <v>0</v>
      </c>
      <c r="E10" s="167">
        <f t="shared" si="1"/>
        <v>0</v>
      </c>
      <c r="F10" s="167">
        <f t="shared" si="1"/>
        <v>0</v>
      </c>
      <c r="G10" s="167">
        <f t="shared" si="1"/>
        <v>10058.739837398374</v>
      </c>
      <c r="H10" s="167">
        <f t="shared" si="1"/>
        <v>10717.130081300813</v>
      </c>
      <c r="I10" s="167">
        <f t="shared" si="1"/>
        <v>11412.09756097561</v>
      </c>
      <c r="J10" s="167">
        <f t="shared" si="1"/>
        <v>12180.219512195123</v>
      </c>
      <c r="K10" s="167">
        <f t="shared" si="1"/>
        <v>12984.918699186992</v>
      </c>
      <c r="L10" s="167">
        <f t="shared" si="1"/>
        <v>13862.772357723577</v>
      </c>
      <c r="M10" s="167">
        <f t="shared" si="1"/>
        <v>14777.203252032521</v>
      </c>
      <c r="N10" s="133">
        <f>SUM(B10:M10)</f>
        <v>85993.081300813006</v>
      </c>
      <c r="O10" s="167">
        <f>O$5+O$7</f>
        <v>799415.2601626016</v>
      </c>
      <c r="P10" s="167">
        <f t="shared" si="1"/>
        <v>2612819.3056910569</v>
      </c>
      <c r="Q10" s="160"/>
      <c r="R10" s="160"/>
      <c r="S10" s="160"/>
      <c r="T10" s="160"/>
      <c r="U10" s="160"/>
    </row>
    <row r="11" spans="1:21" x14ac:dyDescent="0.15">
      <c r="A11" s="165" t="s">
        <v>78</v>
      </c>
      <c r="B11" s="167" cm="1">
        <f t="array" ref="B11:M11">TRANSPOSE('Sales Forecast CAGR'!AA2:AA13)</f>
        <v>0</v>
      </c>
      <c r="C11" s="167">
        <v>0</v>
      </c>
      <c r="D11" s="167">
        <v>0</v>
      </c>
      <c r="E11" s="167">
        <v>0</v>
      </c>
      <c r="F11" s="167">
        <v>0</v>
      </c>
      <c r="G11" s="167">
        <v>8551.3672158000008</v>
      </c>
      <c r="H11" s="167">
        <v>9205.1297682000004</v>
      </c>
      <c r="I11" s="167">
        <v>9896.4864047999999</v>
      </c>
      <c r="J11" s="167">
        <v>10656.192150600002</v>
      </c>
      <c r="K11" s="167">
        <v>11453.894278200001</v>
      </c>
      <c r="L11" s="167">
        <v>12321.554705400002</v>
      </c>
      <c r="M11" s="167">
        <v>13228.820704800002</v>
      </c>
      <c r="N11" s="133">
        <f>SUM(B11:M11)</f>
        <v>75313.44522780001</v>
      </c>
      <c r="O11" s="168">
        <f>'Sales Forecast CAGR'!AD25</f>
        <v>628215.14578500006</v>
      </c>
      <c r="P11" s="168">
        <f>'Sales Forecast CAGR'!AD37</f>
        <v>1949471.7441264002</v>
      </c>
      <c r="Q11" s="160"/>
      <c r="R11" s="160"/>
      <c r="S11" s="160"/>
      <c r="T11" s="160"/>
      <c r="U11" s="160"/>
    </row>
    <row r="12" spans="1:21" x14ac:dyDescent="0.15">
      <c r="A12" s="165" t="s">
        <v>79</v>
      </c>
      <c r="B12" s="170">
        <f>B10-B11</f>
        <v>0</v>
      </c>
      <c r="C12" s="170">
        <f t="shared" ref="C12:P12" si="2">C10-C11</f>
        <v>0</v>
      </c>
      <c r="D12" s="170">
        <f t="shared" si="2"/>
        <v>0</v>
      </c>
      <c r="E12" s="170">
        <f t="shared" si="2"/>
        <v>0</v>
      </c>
      <c r="F12" s="170">
        <f t="shared" si="2"/>
        <v>0</v>
      </c>
      <c r="G12" s="170">
        <f t="shared" si="2"/>
        <v>1507.3726215983734</v>
      </c>
      <c r="H12" s="170">
        <f t="shared" si="2"/>
        <v>1512.0003131008125</v>
      </c>
      <c r="I12" s="170">
        <f t="shared" si="2"/>
        <v>1515.6111561756097</v>
      </c>
      <c r="J12" s="170">
        <f t="shared" si="2"/>
        <v>1524.027361595121</v>
      </c>
      <c r="K12" s="170">
        <f t="shared" si="2"/>
        <v>1531.0244209869907</v>
      </c>
      <c r="L12" s="170">
        <f t="shared" si="2"/>
        <v>1541.2176523235757</v>
      </c>
      <c r="M12" s="170">
        <f t="shared" si="2"/>
        <v>1548.3825472325188</v>
      </c>
      <c r="N12" s="119">
        <f t="shared" si="2"/>
        <v>10679.636073012996</v>
      </c>
      <c r="O12" s="170">
        <f t="shared" si="2"/>
        <v>171200.11437760154</v>
      </c>
      <c r="P12" s="170">
        <f t="shared" si="2"/>
        <v>663347.56156465667</v>
      </c>
      <c r="Q12" s="160"/>
      <c r="R12" s="160"/>
      <c r="S12" s="160"/>
      <c r="T12" s="160"/>
      <c r="U12" s="160"/>
    </row>
    <row r="13" spans="1:21" ht="24.75" customHeight="1" x14ac:dyDescent="0.15">
      <c r="A13" s="15" t="s">
        <v>80</v>
      </c>
      <c r="B13" s="162"/>
      <c r="C13" s="162"/>
      <c r="D13" s="162"/>
      <c r="E13" s="162"/>
      <c r="F13" s="162"/>
      <c r="G13" s="162"/>
      <c r="H13" s="162"/>
      <c r="I13" s="162"/>
      <c r="J13" s="162"/>
      <c r="K13" s="162"/>
      <c r="L13" s="162"/>
      <c r="M13" s="162"/>
      <c r="N13" s="134"/>
      <c r="O13" s="123" t="s">
        <v>80</v>
      </c>
      <c r="P13" s="123" t="s">
        <v>80</v>
      </c>
      <c r="Q13" s="160"/>
      <c r="R13" s="160"/>
      <c r="S13" s="160"/>
      <c r="T13" s="160"/>
      <c r="U13" s="160"/>
    </row>
    <row r="14" spans="1:21" x14ac:dyDescent="0.15">
      <c r="A14" s="51" t="s">
        <v>81</v>
      </c>
      <c r="B14" s="171">
        <v>0</v>
      </c>
      <c r="C14" s="171">
        <v>0</v>
      </c>
      <c r="D14" s="171">
        <v>0</v>
      </c>
      <c r="E14" s="171">
        <v>0</v>
      </c>
      <c r="F14" s="171">
        <v>0</v>
      </c>
      <c r="G14" s="171">
        <v>0</v>
      </c>
      <c r="H14" s="171">
        <v>0</v>
      </c>
      <c r="I14" s="171">
        <v>0</v>
      </c>
      <c r="J14" s="171">
        <v>0</v>
      </c>
      <c r="K14" s="171">
        <v>0</v>
      </c>
      <c r="L14" s="171">
        <v>0</v>
      </c>
      <c r="M14" s="171">
        <v>0</v>
      </c>
      <c r="N14" s="135">
        <f t="shared" ref="N14:N43" si="3">SUM(B14:M14)</f>
        <v>0</v>
      </c>
      <c r="O14" s="168">
        <v>0</v>
      </c>
      <c r="P14" s="168">
        <v>0</v>
      </c>
      <c r="Q14" s="160"/>
      <c r="R14" s="160"/>
      <c r="S14" s="160"/>
      <c r="T14" s="160"/>
      <c r="U14" s="160"/>
    </row>
    <row r="15" spans="1:21" x14ac:dyDescent="0.15">
      <c r="A15" s="51" t="s">
        <v>82</v>
      </c>
      <c r="B15" s="171">
        <v>4000</v>
      </c>
      <c r="C15" s="171">
        <v>4000</v>
      </c>
      <c r="D15" s="171">
        <v>4000</v>
      </c>
      <c r="E15" s="171">
        <v>4000</v>
      </c>
      <c r="F15" s="171">
        <v>4000</v>
      </c>
      <c r="G15" s="171">
        <v>4000</v>
      </c>
      <c r="H15" s="171">
        <v>4000</v>
      </c>
      <c r="I15" s="171">
        <v>4000</v>
      </c>
      <c r="J15" s="171">
        <v>4000</v>
      </c>
      <c r="K15" s="171">
        <v>4000</v>
      </c>
      <c r="L15" s="171">
        <v>4000</v>
      </c>
      <c r="M15" s="171">
        <v>4000</v>
      </c>
      <c r="N15" s="135">
        <f t="shared" si="3"/>
        <v>48000</v>
      </c>
      <c r="O15" s="168">
        <v>125000</v>
      </c>
      <c r="P15" s="168">
        <v>200000</v>
      </c>
      <c r="Q15" s="160"/>
      <c r="R15" s="160"/>
      <c r="S15" s="160"/>
      <c r="T15" s="160"/>
      <c r="U15" s="160"/>
    </row>
    <row r="16" spans="1:21" x14ac:dyDescent="0.15">
      <c r="A16" s="51" t="s">
        <v>83</v>
      </c>
      <c r="B16" s="171">
        <v>108</v>
      </c>
      <c r="C16" s="171">
        <v>0</v>
      </c>
      <c r="D16" s="171">
        <v>0</v>
      </c>
      <c r="E16" s="171">
        <v>0</v>
      </c>
      <c r="F16" s="171">
        <v>0</v>
      </c>
      <c r="G16" s="171">
        <v>0</v>
      </c>
      <c r="H16" s="171">
        <v>0</v>
      </c>
      <c r="I16" s="171">
        <v>0</v>
      </c>
      <c r="J16" s="171">
        <v>0</v>
      </c>
      <c r="K16" s="171">
        <v>0</v>
      </c>
      <c r="L16" s="171">
        <v>0</v>
      </c>
      <c r="M16" s="171">
        <v>0</v>
      </c>
      <c r="N16" s="135">
        <f t="shared" si="3"/>
        <v>108</v>
      </c>
      <c r="O16" s="168">
        <v>108</v>
      </c>
      <c r="P16" s="168">
        <v>108</v>
      </c>
      <c r="Q16" s="160"/>
      <c r="R16" s="160"/>
      <c r="S16" s="160"/>
      <c r="T16" s="160"/>
      <c r="U16" s="160"/>
    </row>
    <row r="17" spans="1:16" x14ac:dyDescent="0.15">
      <c r="A17" s="51" t="s">
        <v>84</v>
      </c>
      <c r="B17" s="171">
        <v>411.25</v>
      </c>
      <c r="C17" s="171">
        <v>407.45</v>
      </c>
      <c r="D17" s="171">
        <v>403.63</v>
      </c>
      <c r="E17" s="171">
        <v>399.78</v>
      </c>
      <c r="F17" s="171">
        <v>395.91</v>
      </c>
      <c r="G17" s="171">
        <v>392.02</v>
      </c>
      <c r="H17" s="171">
        <v>388.11</v>
      </c>
      <c r="I17" s="171">
        <v>384.17</v>
      </c>
      <c r="J17" s="171">
        <v>380.21</v>
      </c>
      <c r="K17" s="171">
        <v>376.23</v>
      </c>
      <c r="L17" s="171">
        <v>372.22</v>
      </c>
      <c r="M17" s="171">
        <v>368.19</v>
      </c>
      <c r="N17" s="135">
        <f t="shared" si="3"/>
        <v>4679.17</v>
      </c>
      <c r="O17" s="168">
        <f>'Additional Financial Accounts'!F26</f>
        <v>4095.18</v>
      </c>
      <c r="P17" s="168">
        <f>'Additional Financial Accounts'!F38</f>
        <v>3468.67</v>
      </c>
    </row>
    <row r="18" spans="1:16" x14ac:dyDescent="0.15">
      <c r="A18" s="51" t="s">
        <v>85</v>
      </c>
      <c r="B18" s="171" cm="1">
        <f t="array" ref="B18:M18">TRANSPOSE('Additional Financial Accounts'!C3:C14)</f>
        <v>0</v>
      </c>
      <c r="C18" s="171">
        <v>533.33333333333337</v>
      </c>
      <c r="D18" s="171">
        <v>533.33333333333337</v>
      </c>
      <c r="E18" s="171">
        <v>533.33333333333337</v>
      </c>
      <c r="F18" s="171">
        <v>533.33333333333337</v>
      </c>
      <c r="G18" s="171">
        <v>533.33333333333337</v>
      </c>
      <c r="H18" s="171">
        <v>533.33333333333337</v>
      </c>
      <c r="I18" s="171">
        <v>533.33333333333337</v>
      </c>
      <c r="J18" s="171">
        <v>533.33333333333337</v>
      </c>
      <c r="K18" s="171">
        <v>533.33333333333337</v>
      </c>
      <c r="L18" s="171">
        <v>533.33333333333337</v>
      </c>
      <c r="M18" s="171">
        <v>533.33333333333337</v>
      </c>
      <c r="N18" s="135">
        <f t="shared" si="3"/>
        <v>5866.6666666666661</v>
      </c>
      <c r="O18" s="168">
        <f>SUM('Additional Financial Accounts'!C15:C26)</f>
        <v>6399.9999999999991</v>
      </c>
      <c r="P18" s="168">
        <f>SUM('Additional Financial Accounts'!C27:C38)</f>
        <v>6399.9999999999991</v>
      </c>
    </row>
    <row r="19" spans="1:16" x14ac:dyDescent="0.15">
      <c r="A19" s="51" t="s">
        <v>86</v>
      </c>
      <c r="B19" s="171">
        <v>0</v>
      </c>
      <c r="C19" s="171">
        <v>0</v>
      </c>
      <c r="D19" s="171">
        <v>0</v>
      </c>
      <c r="E19" s="171">
        <v>0</v>
      </c>
      <c r="F19" s="171">
        <v>0</v>
      </c>
      <c r="G19" s="171">
        <v>0</v>
      </c>
      <c r="H19" s="171">
        <v>0</v>
      </c>
      <c r="I19" s="171">
        <v>0</v>
      </c>
      <c r="J19" s="171">
        <v>0</v>
      </c>
      <c r="K19" s="171">
        <v>0</v>
      </c>
      <c r="L19" s="171">
        <v>0</v>
      </c>
      <c r="M19" s="171">
        <v>0</v>
      </c>
      <c r="N19" s="135">
        <f t="shared" si="3"/>
        <v>0</v>
      </c>
      <c r="O19" s="168">
        <v>0</v>
      </c>
      <c r="P19" s="168">
        <v>0</v>
      </c>
    </row>
    <row r="20" spans="1:16" x14ac:dyDescent="0.15">
      <c r="A20" s="51" t="s">
        <v>87</v>
      </c>
      <c r="B20" s="171">
        <v>0</v>
      </c>
      <c r="C20" s="171">
        <v>0</v>
      </c>
      <c r="D20" s="171">
        <v>0</v>
      </c>
      <c r="E20" s="171">
        <v>0</v>
      </c>
      <c r="F20" s="171">
        <v>0</v>
      </c>
      <c r="G20" s="171">
        <v>0</v>
      </c>
      <c r="H20" s="171">
        <v>0</v>
      </c>
      <c r="I20" s="171">
        <v>0</v>
      </c>
      <c r="J20" s="171">
        <v>0</v>
      </c>
      <c r="K20" s="171">
        <v>0</v>
      </c>
      <c r="L20" s="171">
        <v>0</v>
      </c>
      <c r="M20" s="171">
        <v>0</v>
      </c>
      <c r="N20" s="135">
        <f t="shared" si="3"/>
        <v>0</v>
      </c>
      <c r="O20" s="168">
        <v>0</v>
      </c>
      <c r="P20" s="168">
        <v>0</v>
      </c>
    </row>
    <row r="21" spans="1:16" x14ac:dyDescent="0.15">
      <c r="A21" s="51" t="s">
        <v>88</v>
      </c>
      <c r="B21" s="171">
        <v>463</v>
      </c>
      <c r="C21" s="171"/>
      <c r="D21" s="171"/>
      <c r="E21" s="171"/>
      <c r="F21" s="171"/>
      <c r="G21" s="171"/>
      <c r="H21" s="171"/>
      <c r="I21" s="171"/>
      <c r="J21" s="171"/>
      <c r="K21" s="171"/>
      <c r="L21" s="171"/>
      <c r="M21" s="171"/>
      <c r="N21" s="135">
        <f t="shared" si="3"/>
        <v>463</v>
      </c>
      <c r="O21" s="168">
        <v>463</v>
      </c>
      <c r="P21" s="168">
        <v>463</v>
      </c>
    </row>
    <row r="22" spans="1:16" x14ac:dyDescent="0.15">
      <c r="A22" s="51" t="s">
        <v>89</v>
      </c>
      <c r="B22" s="171"/>
      <c r="C22" s="171"/>
      <c r="D22" s="171"/>
      <c r="E22" s="171"/>
      <c r="F22" s="171"/>
      <c r="G22" s="171">
        <v>2000</v>
      </c>
      <c r="H22" s="171"/>
      <c r="I22" s="171"/>
      <c r="J22" s="171"/>
      <c r="K22" s="171"/>
      <c r="L22" s="171"/>
      <c r="M22" s="171">
        <v>2000</v>
      </c>
      <c r="N22" s="135">
        <f t="shared" si="3"/>
        <v>4000</v>
      </c>
      <c r="O22" s="168">
        <v>4000</v>
      </c>
      <c r="P22" s="168">
        <v>4000</v>
      </c>
    </row>
    <row r="23" spans="1:16" x14ac:dyDescent="0.15">
      <c r="A23" s="51" t="s">
        <v>90</v>
      </c>
      <c r="B23" s="171">
        <v>0</v>
      </c>
      <c r="C23" s="171">
        <v>0</v>
      </c>
      <c r="D23" s="171">
        <v>0</v>
      </c>
      <c r="E23" s="171">
        <v>0</v>
      </c>
      <c r="F23" s="171">
        <v>0</v>
      </c>
      <c r="G23" s="171">
        <v>0</v>
      </c>
      <c r="H23" s="171">
        <v>0</v>
      </c>
      <c r="I23" s="171">
        <v>0</v>
      </c>
      <c r="J23" s="171">
        <v>0</v>
      </c>
      <c r="K23" s="171">
        <v>0</v>
      </c>
      <c r="L23" s="171">
        <v>0</v>
      </c>
      <c r="M23" s="171">
        <v>0</v>
      </c>
      <c r="N23" s="135">
        <f t="shared" si="3"/>
        <v>0</v>
      </c>
      <c r="O23" s="168">
        <v>0</v>
      </c>
      <c r="P23" s="168">
        <v>0</v>
      </c>
    </row>
    <row r="24" spans="1:16" x14ac:dyDescent="0.15">
      <c r="A24" s="51" t="s">
        <v>91</v>
      </c>
      <c r="B24" s="171">
        <v>0</v>
      </c>
      <c r="C24" s="171">
        <v>0</v>
      </c>
      <c r="D24" s="171">
        <v>0</v>
      </c>
      <c r="E24" s="171">
        <v>0</v>
      </c>
      <c r="F24" s="171">
        <v>0</v>
      </c>
      <c r="G24" s="171">
        <v>0</v>
      </c>
      <c r="H24" s="171">
        <v>0</v>
      </c>
      <c r="I24" s="171">
        <v>0</v>
      </c>
      <c r="J24" s="171">
        <v>0</v>
      </c>
      <c r="K24" s="171">
        <v>0</v>
      </c>
      <c r="L24" s="171">
        <v>0</v>
      </c>
      <c r="M24" s="171">
        <v>0</v>
      </c>
      <c r="N24" s="135">
        <f t="shared" si="3"/>
        <v>0</v>
      </c>
      <c r="O24" s="168">
        <v>0</v>
      </c>
      <c r="P24" s="168">
        <v>0</v>
      </c>
    </row>
    <row r="25" spans="1:16" x14ac:dyDescent="0.15">
      <c r="A25" s="51" t="s">
        <v>92</v>
      </c>
      <c r="B25" s="171">
        <v>0</v>
      </c>
      <c r="C25" s="171">
        <v>0</v>
      </c>
      <c r="D25" s="171">
        <v>0</v>
      </c>
      <c r="E25" s="171">
        <v>0</v>
      </c>
      <c r="F25" s="171">
        <v>0</v>
      </c>
      <c r="G25" s="171">
        <v>0</v>
      </c>
      <c r="H25" s="171">
        <v>0</v>
      </c>
      <c r="I25" s="171">
        <v>0</v>
      </c>
      <c r="J25" s="171">
        <v>0</v>
      </c>
      <c r="K25" s="171">
        <v>0</v>
      </c>
      <c r="L25" s="171">
        <v>0</v>
      </c>
      <c r="M25" s="171">
        <v>0</v>
      </c>
      <c r="N25" s="135">
        <f t="shared" si="3"/>
        <v>0</v>
      </c>
      <c r="O25" s="168">
        <v>0</v>
      </c>
      <c r="P25" s="168">
        <v>0</v>
      </c>
    </row>
    <row r="26" spans="1:16" x14ac:dyDescent="0.15">
      <c r="A26" s="51" t="s">
        <v>93</v>
      </c>
      <c r="B26" s="171">
        <v>0</v>
      </c>
      <c r="C26" s="171">
        <v>0</v>
      </c>
      <c r="D26" s="171">
        <v>0</v>
      </c>
      <c r="E26" s="171">
        <v>0</v>
      </c>
      <c r="F26" s="171">
        <v>0</v>
      </c>
      <c r="G26" s="171">
        <v>0</v>
      </c>
      <c r="H26" s="171">
        <v>0</v>
      </c>
      <c r="I26" s="171">
        <v>0</v>
      </c>
      <c r="J26" s="171">
        <v>0</v>
      </c>
      <c r="K26" s="171">
        <v>0</v>
      </c>
      <c r="L26" s="171">
        <v>0</v>
      </c>
      <c r="M26" s="171">
        <v>0</v>
      </c>
      <c r="N26" s="135">
        <f t="shared" si="3"/>
        <v>0</v>
      </c>
      <c r="O26" s="168">
        <v>0</v>
      </c>
      <c r="P26" s="168">
        <v>0</v>
      </c>
    </row>
    <row r="27" spans="1:16" x14ac:dyDescent="0.15">
      <c r="A27" s="51" t="s">
        <v>94</v>
      </c>
      <c r="B27" s="171">
        <v>0</v>
      </c>
      <c r="C27" s="171">
        <v>0</v>
      </c>
      <c r="D27" s="171">
        <v>0</v>
      </c>
      <c r="E27" s="171">
        <v>0</v>
      </c>
      <c r="F27" s="171">
        <v>0</v>
      </c>
      <c r="G27" s="171">
        <v>0</v>
      </c>
      <c r="H27" s="171">
        <v>0</v>
      </c>
      <c r="I27" s="171">
        <v>0</v>
      </c>
      <c r="J27" s="171">
        <v>0</v>
      </c>
      <c r="K27" s="171">
        <v>0</v>
      </c>
      <c r="L27" s="171">
        <v>0</v>
      </c>
      <c r="M27" s="171">
        <v>0</v>
      </c>
      <c r="N27" s="135">
        <f t="shared" si="3"/>
        <v>0</v>
      </c>
      <c r="O27" s="168">
        <v>0</v>
      </c>
      <c r="P27" s="168">
        <v>0</v>
      </c>
    </row>
    <row r="28" spans="1:16" x14ac:dyDescent="0.15">
      <c r="A28" s="51" t="s">
        <v>95</v>
      </c>
      <c r="B28" s="171"/>
      <c r="C28" s="171"/>
      <c r="D28" s="171"/>
      <c r="E28" s="171"/>
      <c r="F28" s="171"/>
      <c r="G28" s="171"/>
      <c r="H28" s="171"/>
      <c r="I28" s="171"/>
      <c r="J28" s="171"/>
      <c r="K28" s="171"/>
      <c r="L28" s="171"/>
      <c r="M28" s="171"/>
      <c r="N28" s="135">
        <f t="shared" si="3"/>
        <v>0</v>
      </c>
      <c r="O28" s="168">
        <v>0</v>
      </c>
      <c r="P28" s="168">
        <v>0</v>
      </c>
    </row>
    <row r="29" spans="1:16" x14ac:dyDescent="0.15">
      <c r="A29" s="51" t="s">
        <v>96</v>
      </c>
      <c r="B29" s="171"/>
      <c r="C29" s="171"/>
      <c r="D29" s="171">
        <v>516</v>
      </c>
      <c r="E29" s="171"/>
      <c r="F29" s="171"/>
      <c r="G29" s="171"/>
      <c r="H29" s="171"/>
      <c r="I29" s="171"/>
      <c r="J29" s="171"/>
      <c r="K29" s="171"/>
      <c r="L29" s="171"/>
      <c r="M29" s="171"/>
      <c r="N29" s="135">
        <f t="shared" si="3"/>
        <v>516</v>
      </c>
      <c r="O29" s="168">
        <f>SUM('Sales Forecast CAGR'!G14:G25)*'Assumption Sheet'!H2</f>
        <v>6879.9999999999991</v>
      </c>
      <c r="P29" s="168">
        <f>SUM('Sales Forecast CAGR'!G26:G37)*'Assumption Sheet'!H2</f>
        <v>8600</v>
      </c>
    </row>
    <row r="30" spans="1:16" x14ac:dyDescent="0.15">
      <c r="A30" s="51" t="s">
        <v>97</v>
      </c>
      <c r="B30" s="171">
        <v>4583.33</v>
      </c>
      <c r="C30" s="171">
        <v>4583.33</v>
      </c>
      <c r="D30" s="171">
        <v>4583.33</v>
      </c>
      <c r="E30" s="171">
        <v>4583.33</v>
      </c>
      <c r="F30" s="171">
        <v>4583.33</v>
      </c>
      <c r="G30" s="171">
        <v>4583.33</v>
      </c>
      <c r="H30" s="171">
        <v>4583.33</v>
      </c>
      <c r="I30" s="171">
        <v>4583.33</v>
      </c>
      <c r="J30" s="171">
        <v>4583.33</v>
      </c>
      <c r="K30" s="171">
        <v>4583.33</v>
      </c>
      <c r="L30" s="171">
        <v>4583.33</v>
      </c>
      <c r="M30" s="171">
        <v>4583.33</v>
      </c>
      <c r="N30" s="135">
        <f t="shared" si="3"/>
        <v>54999.960000000014</v>
      </c>
      <c r="O30" s="168">
        <v>54999.960000000014</v>
      </c>
      <c r="P30" s="168">
        <v>54999.960000000014</v>
      </c>
    </row>
    <row r="31" spans="1:16" x14ac:dyDescent="0.15">
      <c r="A31" s="172" t="s">
        <v>98</v>
      </c>
      <c r="B31" s="171">
        <v>463.47</v>
      </c>
      <c r="C31" s="171">
        <v>463.47</v>
      </c>
      <c r="D31" s="171">
        <v>463.47</v>
      </c>
      <c r="E31" s="171">
        <v>463.47</v>
      </c>
      <c r="F31" s="171">
        <v>463.47</v>
      </c>
      <c r="G31" s="171">
        <v>463.47</v>
      </c>
      <c r="H31" s="171">
        <v>463.47</v>
      </c>
      <c r="I31" s="171">
        <v>463.47</v>
      </c>
      <c r="J31" s="171">
        <v>463.47</v>
      </c>
      <c r="K31" s="171">
        <v>463.47</v>
      </c>
      <c r="L31" s="171">
        <v>463.47</v>
      </c>
      <c r="M31" s="171">
        <v>463.47</v>
      </c>
      <c r="N31" s="135">
        <f t="shared" si="3"/>
        <v>5561.6400000000021</v>
      </c>
      <c r="O31" s="168">
        <v>5561.6400000000021</v>
      </c>
      <c r="P31" s="168">
        <v>5561.6400000000021</v>
      </c>
    </row>
    <row r="32" spans="1:16" x14ac:dyDescent="0.15">
      <c r="A32" s="51" t="s">
        <v>35</v>
      </c>
      <c r="B32" s="171">
        <v>0</v>
      </c>
      <c r="C32" s="171">
        <v>0</v>
      </c>
      <c r="D32" s="171">
        <v>0</v>
      </c>
      <c r="E32" s="171">
        <v>0</v>
      </c>
      <c r="F32" s="171">
        <v>0</v>
      </c>
      <c r="G32" s="171">
        <v>0</v>
      </c>
      <c r="H32" s="171">
        <v>0</v>
      </c>
      <c r="I32" s="171">
        <v>0</v>
      </c>
      <c r="J32" s="171">
        <v>0</v>
      </c>
      <c r="K32" s="171">
        <v>0</v>
      </c>
      <c r="L32" s="171">
        <v>0</v>
      </c>
      <c r="M32" s="171">
        <v>0</v>
      </c>
      <c r="N32" s="135">
        <f t="shared" si="3"/>
        <v>0</v>
      </c>
      <c r="O32" s="168">
        <v>0</v>
      </c>
      <c r="P32" s="168">
        <v>0</v>
      </c>
    </row>
    <row r="33" spans="1:16" x14ac:dyDescent="0.15">
      <c r="A33" s="172" t="s">
        <v>99</v>
      </c>
      <c r="B33" s="171">
        <v>6748</v>
      </c>
      <c r="C33" s="171"/>
      <c r="D33" s="171"/>
      <c r="E33" s="171"/>
      <c r="F33" s="171"/>
      <c r="G33" s="171"/>
      <c r="H33" s="171"/>
      <c r="I33" s="171"/>
      <c r="J33" s="171"/>
      <c r="K33" s="171"/>
      <c r="L33" s="171"/>
      <c r="M33" s="171"/>
      <c r="N33" s="135">
        <f t="shared" si="3"/>
        <v>6748</v>
      </c>
      <c r="O33" s="168">
        <v>0</v>
      </c>
      <c r="P33" s="168">
        <v>0</v>
      </c>
    </row>
    <row r="34" spans="1:16" x14ac:dyDescent="0.15">
      <c r="A34" s="172" t="s">
        <v>100</v>
      </c>
      <c r="B34" s="171">
        <v>17636.22</v>
      </c>
      <c r="C34" s="171">
        <v>258</v>
      </c>
      <c r="D34" s="171">
        <v>258</v>
      </c>
      <c r="E34" s="171">
        <v>258</v>
      </c>
      <c r="F34" s="171">
        <v>258</v>
      </c>
      <c r="G34" s="171">
        <v>258</v>
      </c>
      <c r="H34" s="171">
        <v>258</v>
      </c>
      <c r="I34" s="171">
        <v>258</v>
      </c>
      <c r="J34" s="171">
        <v>258</v>
      </c>
      <c r="K34" s="171">
        <v>258</v>
      </c>
      <c r="L34" s="171">
        <v>258</v>
      </c>
      <c r="M34" s="171">
        <v>258</v>
      </c>
      <c r="N34" s="135">
        <f t="shared" si="3"/>
        <v>20474.22</v>
      </c>
      <c r="O34" s="168">
        <v>20474.22</v>
      </c>
      <c r="P34" s="168">
        <v>20474.22</v>
      </c>
    </row>
    <row r="35" spans="1:16" x14ac:dyDescent="0.15">
      <c r="A35" s="172" t="s">
        <v>101</v>
      </c>
      <c r="B35" s="171">
        <v>32000</v>
      </c>
      <c r="C35" s="171">
        <v>3399</v>
      </c>
      <c r="D35" s="171"/>
      <c r="E35" s="171"/>
      <c r="F35" s="171"/>
      <c r="G35" s="171"/>
      <c r="H35" s="171"/>
      <c r="I35" s="171"/>
      <c r="J35" s="171"/>
      <c r="K35" s="171"/>
      <c r="L35" s="171">
        <v>5000</v>
      </c>
      <c r="M35" s="171"/>
      <c r="N35" s="135">
        <f t="shared" si="3"/>
        <v>40399</v>
      </c>
      <c r="O35" s="247">
        <v>0</v>
      </c>
      <c r="P35" s="247">
        <v>0</v>
      </c>
    </row>
    <row r="36" spans="1:16" x14ac:dyDescent="0.15">
      <c r="A36" s="172" t="s">
        <v>102</v>
      </c>
      <c r="B36" s="167">
        <f>B5*'Assumption Sheet'!$H$26</f>
        <v>0</v>
      </c>
      <c r="C36" s="167">
        <f>C5*'Assumption Sheet'!$H$26</f>
        <v>0</v>
      </c>
      <c r="D36" s="167">
        <f>D5*'Assumption Sheet'!$H$26</f>
        <v>0</v>
      </c>
      <c r="E36" s="167">
        <f>E5*'Assumption Sheet'!$H$26</f>
        <v>0</v>
      </c>
      <c r="F36" s="167">
        <f>F5*'Assumption Sheet'!$H$26</f>
        <v>0</v>
      </c>
      <c r="G36" s="167">
        <f>G5*'Assumption Sheet'!$H$26</f>
        <v>10.058739837398374</v>
      </c>
      <c r="H36" s="167">
        <f>H5*'Assumption Sheet'!$H$26</f>
        <v>10.717130081300812</v>
      </c>
      <c r="I36" s="167">
        <f>I5*'Assumption Sheet'!$H$26</f>
        <v>11.41209756097561</v>
      </c>
      <c r="J36" s="167">
        <f>J5*'Assumption Sheet'!$H$26</f>
        <v>12.180219512195123</v>
      </c>
      <c r="K36" s="167">
        <f>K5*'Assumption Sheet'!$H$26</f>
        <v>12.984918699186991</v>
      </c>
      <c r="L36" s="167">
        <f>L5*'Assumption Sheet'!$H$26</f>
        <v>13.862772357723578</v>
      </c>
      <c r="M36" s="167">
        <f>M5*'Assumption Sheet'!$H$26</f>
        <v>14.777203252032521</v>
      </c>
      <c r="N36" s="135">
        <f>SUM(B36:M36)</f>
        <v>85.993081300813017</v>
      </c>
      <c r="O36" s="224">
        <f>O5*'Assumption Sheet'!$H$26</f>
        <v>699.1007073170731</v>
      </c>
      <c r="P36" s="224">
        <f>P5*'Assumption Sheet'!$H$26</f>
        <v>2047.447349593496</v>
      </c>
    </row>
    <row r="37" spans="1:16" x14ac:dyDescent="0.15">
      <c r="A37" s="172" t="s">
        <v>103</v>
      </c>
      <c r="B37" s="171"/>
      <c r="C37" s="171"/>
      <c r="D37" s="171"/>
      <c r="E37" s="171"/>
      <c r="F37" s="171"/>
      <c r="G37" s="250"/>
      <c r="H37" s="250"/>
      <c r="I37" s="250"/>
      <c r="J37" s="250"/>
      <c r="K37" s="250"/>
      <c r="L37" s="250"/>
      <c r="M37" s="250"/>
      <c r="N37" s="135">
        <f t="shared" si="3"/>
        <v>0</v>
      </c>
      <c r="O37" s="247"/>
      <c r="P37" s="247"/>
    </row>
    <row r="38" spans="1:16" x14ac:dyDescent="0.15">
      <c r="A38" s="39" t="s">
        <v>104</v>
      </c>
      <c r="B38" s="167">
        <v>-32000</v>
      </c>
      <c r="C38" s="166"/>
      <c r="D38" s="166"/>
      <c r="E38" s="166"/>
      <c r="F38" s="166"/>
      <c r="G38" s="167"/>
      <c r="H38" s="167"/>
      <c r="I38" s="167"/>
      <c r="J38" s="167"/>
      <c r="K38" s="167"/>
      <c r="L38" s="167"/>
      <c r="M38" s="167"/>
      <c r="N38" s="135">
        <f t="shared" si="3"/>
        <v>-32000</v>
      </c>
      <c r="O38" s="247">
        <v>0</v>
      </c>
      <c r="P38" s="247">
        <v>0</v>
      </c>
    </row>
    <row r="39" spans="1:16" x14ac:dyDescent="0.15">
      <c r="A39" s="39"/>
      <c r="B39" s="167"/>
      <c r="C39" s="167"/>
      <c r="D39" s="167"/>
      <c r="E39" s="167"/>
      <c r="F39" s="167"/>
      <c r="G39" s="167"/>
      <c r="H39" s="167"/>
      <c r="I39" s="167"/>
      <c r="J39" s="167"/>
      <c r="K39" s="167"/>
      <c r="L39" s="167"/>
      <c r="M39" s="167"/>
      <c r="N39" s="135">
        <f t="shared" si="3"/>
        <v>0</v>
      </c>
      <c r="O39" s="247"/>
      <c r="P39" s="247"/>
    </row>
    <row r="40" spans="1:16" x14ac:dyDescent="0.15">
      <c r="A40" s="39"/>
      <c r="B40" s="167"/>
      <c r="C40" s="167"/>
      <c r="D40" s="167"/>
      <c r="E40" s="167"/>
      <c r="F40" s="167"/>
      <c r="G40" s="167"/>
      <c r="H40" s="167"/>
      <c r="I40" s="167"/>
      <c r="J40" s="167"/>
      <c r="K40" s="167"/>
      <c r="L40" s="167"/>
      <c r="M40" s="167"/>
      <c r="N40" s="135">
        <f t="shared" si="3"/>
        <v>0</v>
      </c>
      <c r="O40" s="247"/>
      <c r="P40" s="247"/>
    </row>
    <row r="41" spans="1:16" x14ac:dyDescent="0.15">
      <c r="A41" s="39"/>
      <c r="B41" s="167"/>
      <c r="C41" s="167"/>
      <c r="D41" s="167"/>
      <c r="E41" s="167"/>
      <c r="F41" s="167"/>
      <c r="G41" s="167"/>
      <c r="H41" s="167"/>
      <c r="I41" s="167"/>
      <c r="J41" s="167"/>
      <c r="K41" s="167"/>
      <c r="L41" s="167"/>
      <c r="M41" s="167"/>
      <c r="N41" s="135">
        <f t="shared" si="3"/>
        <v>0</v>
      </c>
      <c r="O41" s="247"/>
      <c r="P41" s="247"/>
    </row>
    <row r="42" spans="1:16" x14ac:dyDescent="0.15">
      <c r="A42" s="39"/>
      <c r="B42" s="167"/>
      <c r="C42" s="167"/>
      <c r="D42" s="167"/>
      <c r="E42" s="167"/>
      <c r="F42" s="167"/>
      <c r="G42" s="167"/>
      <c r="H42" s="167"/>
      <c r="I42" s="167"/>
      <c r="J42" s="167"/>
      <c r="K42" s="167"/>
      <c r="L42" s="167"/>
      <c r="M42" s="167"/>
      <c r="N42" s="135">
        <f t="shared" si="3"/>
        <v>0</v>
      </c>
      <c r="O42" s="168"/>
      <c r="P42" s="168"/>
    </row>
    <row r="43" spans="1:16" x14ac:dyDescent="0.15">
      <c r="A43" s="39"/>
      <c r="B43" s="167"/>
      <c r="C43" s="167"/>
      <c r="D43" s="167"/>
      <c r="E43" s="167"/>
      <c r="F43" s="167"/>
      <c r="G43" s="167"/>
      <c r="H43" s="167"/>
      <c r="I43" s="167"/>
      <c r="J43" s="167"/>
      <c r="K43" s="167"/>
      <c r="L43" s="167"/>
      <c r="M43" s="167"/>
      <c r="N43" s="135">
        <f t="shared" si="3"/>
        <v>0</v>
      </c>
      <c r="O43" s="168"/>
      <c r="P43" s="168"/>
    </row>
    <row r="44" spans="1:16" x14ac:dyDescent="0.15">
      <c r="A44" s="173" t="s">
        <v>53</v>
      </c>
      <c r="B44" s="169">
        <f t="shared" ref="B44:M44" si="4">SUM(B14:B43)</f>
        <v>34413.270000000004</v>
      </c>
      <c r="C44" s="169">
        <f t="shared" si="4"/>
        <v>13644.583333333332</v>
      </c>
      <c r="D44" s="169">
        <f t="shared" si="4"/>
        <v>10757.763333333332</v>
      </c>
      <c r="E44" s="169">
        <f t="shared" si="4"/>
        <v>10237.913333333332</v>
      </c>
      <c r="F44" s="169">
        <f t="shared" si="4"/>
        <v>10234.043333333333</v>
      </c>
      <c r="G44" s="169">
        <f t="shared" si="4"/>
        <v>12240.212073170733</v>
      </c>
      <c r="H44" s="169">
        <f t="shared" si="4"/>
        <v>10236.960463414633</v>
      </c>
      <c r="I44" s="169">
        <f t="shared" si="4"/>
        <v>10233.715430894306</v>
      </c>
      <c r="J44" s="169">
        <f t="shared" si="4"/>
        <v>10230.523552845527</v>
      </c>
      <c r="K44" s="169">
        <f t="shared" si="4"/>
        <v>10227.34825203252</v>
      </c>
      <c r="L44" s="169">
        <f t="shared" si="4"/>
        <v>15224.216105691055</v>
      </c>
      <c r="M44" s="169">
        <f t="shared" si="4"/>
        <v>12221.100536585365</v>
      </c>
      <c r="N44" s="136">
        <f>SUM(B44:M44)</f>
        <v>159901.64974796749</v>
      </c>
      <c r="O44" s="170">
        <f>SUM(O14:O43)</f>
        <v>228681.10070731709</v>
      </c>
      <c r="P44" s="170">
        <f>SUM(P14:P43)</f>
        <v>306122.9373495935</v>
      </c>
    </row>
    <row r="45" spans="1:16" ht="24.75" customHeight="1" x14ac:dyDescent="0.15">
      <c r="A45" s="15" t="s">
        <v>105</v>
      </c>
      <c r="B45" s="162"/>
      <c r="C45" s="162"/>
      <c r="D45" s="162"/>
      <c r="E45" s="162"/>
      <c r="F45" s="162"/>
      <c r="G45" s="162"/>
      <c r="H45" s="162"/>
      <c r="I45" s="162"/>
      <c r="J45" s="162"/>
      <c r="K45" s="162"/>
      <c r="L45" s="162"/>
      <c r="M45" s="162"/>
      <c r="N45" s="134"/>
      <c r="O45" s="134"/>
      <c r="P45" s="134"/>
    </row>
    <row r="46" spans="1:16" x14ac:dyDescent="0.15">
      <c r="A46" s="37" t="s">
        <v>106</v>
      </c>
      <c r="B46" s="174">
        <f t="shared" ref="B46:P46" si="5">B12-B44</f>
        <v>-34413.270000000004</v>
      </c>
      <c r="C46" s="174">
        <f t="shared" si="5"/>
        <v>-13644.583333333332</v>
      </c>
      <c r="D46" s="174">
        <f t="shared" si="5"/>
        <v>-10757.763333333332</v>
      </c>
      <c r="E46" s="174">
        <f t="shared" si="5"/>
        <v>-10237.913333333332</v>
      </c>
      <c r="F46" s="174">
        <f t="shared" si="5"/>
        <v>-10234.043333333333</v>
      </c>
      <c r="G46" s="174">
        <f t="shared" si="5"/>
        <v>-10732.839451572359</v>
      </c>
      <c r="H46" s="174">
        <f t="shared" si="5"/>
        <v>-8724.9601503138201</v>
      </c>
      <c r="I46" s="174">
        <f t="shared" si="5"/>
        <v>-8718.1042747186966</v>
      </c>
      <c r="J46" s="174">
        <f t="shared" si="5"/>
        <v>-8706.4961912504059</v>
      </c>
      <c r="K46" s="174">
        <f t="shared" si="5"/>
        <v>-8696.323831045529</v>
      </c>
      <c r="L46" s="174">
        <f t="shared" si="5"/>
        <v>-13682.99845336748</v>
      </c>
      <c r="M46" s="174">
        <f t="shared" si="5"/>
        <v>-10672.717989352846</v>
      </c>
      <c r="N46" s="119">
        <f t="shared" si="5"/>
        <v>-149222.01367495448</v>
      </c>
      <c r="O46" s="119">
        <f t="shared" si="5"/>
        <v>-57480.986329715553</v>
      </c>
      <c r="P46" s="119">
        <f t="shared" si="5"/>
        <v>357224.62421506317</v>
      </c>
    </row>
    <row r="47" spans="1:16" x14ac:dyDescent="0.15">
      <c r="A47" s="37" t="s">
        <v>107</v>
      </c>
      <c r="B47" s="175" t="str">
        <f t="shared" ref="B47:P47" si="6">IF(ISERROR(B12/B10)," ",B12/B10)</f>
        <v xml:space="preserve"> </v>
      </c>
      <c r="C47" s="175" t="str">
        <f t="shared" si="6"/>
        <v xml:space="preserve"> </v>
      </c>
      <c r="D47" s="175" t="str">
        <f t="shared" si="6"/>
        <v xml:space="preserve"> </v>
      </c>
      <c r="E47" s="175" t="str">
        <f t="shared" si="6"/>
        <v xml:space="preserve"> </v>
      </c>
      <c r="F47" s="175" t="str">
        <f t="shared" si="6"/>
        <v xml:space="preserve"> </v>
      </c>
      <c r="G47" s="175">
        <f t="shared" si="6"/>
        <v>0.14985700455179932</v>
      </c>
      <c r="H47" s="175">
        <f t="shared" si="6"/>
        <v>0.14108257543117275</v>
      </c>
      <c r="I47" s="175">
        <f t="shared" si="6"/>
        <v>0.13280741319267531</v>
      </c>
      <c r="J47" s="175">
        <f t="shared" si="6"/>
        <v>0.12512314413293035</v>
      </c>
      <c r="K47" s="175">
        <f t="shared" si="6"/>
        <v>0.11790789426219901</v>
      </c>
      <c r="L47" s="175">
        <f t="shared" si="6"/>
        <v>0.11117672659934387</v>
      </c>
      <c r="M47" s="175">
        <f t="shared" si="6"/>
        <v>0.10478184002913728</v>
      </c>
      <c r="N47" s="38">
        <f t="shared" si="6"/>
        <v>0.12419180603209792</v>
      </c>
      <c r="O47" s="38">
        <f t="shared" si="6"/>
        <v>0.21415667539643829</v>
      </c>
      <c r="P47" s="221">
        <f t="shared" si="6"/>
        <v>0.25388191220104667</v>
      </c>
    </row>
    <row r="48" spans="1:16" x14ac:dyDescent="0.15">
      <c r="A48" s="157" t="s">
        <v>108</v>
      </c>
      <c r="B48" s="176">
        <v>0</v>
      </c>
      <c r="C48" s="176">
        <v>0</v>
      </c>
      <c r="D48" s="176">
        <v>0</v>
      </c>
      <c r="E48" s="176">
        <v>0</v>
      </c>
      <c r="F48" s="176">
        <v>0</v>
      </c>
      <c r="G48" s="176">
        <v>0</v>
      </c>
      <c r="H48" s="176">
        <v>0</v>
      </c>
      <c r="I48" s="176">
        <v>0</v>
      </c>
      <c r="J48" s="176">
        <v>0</v>
      </c>
      <c r="K48" s="176">
        <v>0</v>
      </c>
      <c r="L48" s="176">
        <v>0</v>
      </c>
      <c r="M48" s="176">
        <v>0</v>
      </c>
      <c r="N48" s="137">
        <f>SUM(B48:M48)</f>
        <v>0</v>
      </c>
      <c r="O48" s="134">
        <f>IF(0.125*O46&lt;0,0,0.125*O46)</f>
        <v>0</v>
      </c>
      <c r="P48" s="134">
        <f>IF(0.125*P46&lt;0,0,0.125*P46)</f>
        <v>44653.078026882897</v>
      </c>
    </row>
    <row r="49" spans="1:16" s="46" customFormat="1" x14ac:dyDescent="0.15">
      <c r="A49" s="37" t="s">
        <v>109</v>
      </c>
      <c r="B49" s="52">
        <f>B46-B48</f>
        <v>-34413.270000000004</v>
      </c>
      <c r="C49" s="52">
        <f t="shared" ref="C49:M49" si="7">C46-C48</f>
        <v>-13644.583333333332</v>
      </c>
      <c r="D49" s="52">
        <f t="shared" si="7"/>
        <v>-10757.763333333332</v>
      </c>
      <c r="E49" s="52">
        <f t="shared" si="7"/>
        <v>-10237.913333333332</v>
      </c>
      <c r="F49" s="52">
        <f t="shared" si="7"/>
        <v>-10234.043333333333</v>
      </c>
      <c r="G49" s="52">
        <f t="shared" si="7"/>
        <v>-10732.839451572359</v>
      </c>
      <c r="H49" s="52">
        <f t="shared" si="7"/>
        <v>-8724.9601503138201</v>
      </c>
      <c r="I49" s="52">
        <f t="shared" si="7"/>
        <v>-8718.1042747186966</v>
      </c>
      <c r="J49" s="52">
        <f t="shared" si="7"/>
        <v>-8706.4961912504059</v>
      </c>
      <c r="K49" s="52">
        <f t="shared" si="7"/>
        <v>-8696.323831045529</v>
      </c>
      <c r="L49" s="52">
        <f t="shared" si="7"/>
        <v>-13682.99845336748</v>
      </c>
      <c r="M49" s="52">
        <f t="shared" si="7"/>
        <v>-10672.717989352846</v>
      </c>
      <c r="N49" s="52">
        <f>SUM(B49:M49)</f>
        <v>-149222.01367495451</v>
      </c>
      <c r="O49" s="134">
        <f>O46-O48</f>
        <v>-57480.986329715553</v>
      </c>
      <c r="P49" s="119">
        <f>P46-P48</f>
        <v>312571.54618818028</v>
      </c>
    </row>
    <row r="50" spans="1:16" x14ac:dyDescent="0.15">
      <c r="A50" s="37" t="s">
        <v>110</v>
      </c>
      <c r="B50" s="175" t="str">
        <f t="shared" ref="B50:N50" si="8">IF(ISERROR(B46/B10)," ",B46/B10)</f>
        <v xml:space="preserve"> </v>
      </c>
      <c r="C50" s="175" t="str">
        <f t="shared" si="8"/>
        <v xml:space="preserve"> </v>
      </c>
      <c r="D50" s="175" t="str">
        <f t="shared" si="8"/>
        <v xml:space="preserve"> </v>
      </c>
      <c r="E50" s="175" t="str">
        <f t="shared" si="8"/>
        <v xml:space="preserve"> </v>
      </c>
      <c r="F50" s="175" t="str">
        <f t="shared" si="8"/>
        <v xml:space="preserve"> </v>
      </c>
      <c r="G50" s="175">
        <f t="shared" si="8"/>
        <v>-1.0670163087097335</v>
      </c>
      <c r="H50" s="175">
        <f t="shared" si="8"/>
        <v>-0.814113487857825</v>
      </c>
      <c r="I50" s="175">
        <f t="shared" si="8"/>
        <v>-0.76393530883672134</v>
      </c>
      <c r="J50" s="175">
        <f t="shared" si="8"/>
        <v>-0.71480618083551428</v>
      </c>
      <c r="K50" s="175">
        <f t="shared" si="8"/>
        <v>-0.66972493494241292</v>
      </c>
      <c r="L50" s="175">
        <f t="shared" si="8"/>
        <v>-0.98703189378595413</v>
      </c>
      <c r="M50" s="175">
        <f t="shared" si="8"/>
        <v>-0.7222420783773732</v>
      </c>
      <c r="N50" s="38">
        <f t="shared" si="8"/>
        <v>-1.7352792970978665</v>
      </c>
      <c r="O50" s="246">
        <f>IF(ISERROR(O49/O10)," ",O49/O10)</f>
        <v>-7.1903789174632318E-2</v>
      </c>
      <c r="P50" s="221">
        <f>IF(ISERROR(P49/P10)," ",P49/P10)</f>
        <v>0.11962998953175186</v>
      </c>
    </row>
    <row r="51" spans="1:16" s="47" customFormat="1" x14ac:dyDescent="0.15">
      <c r="B51" s="48"/>
      <c r="C51" s="48"/>
      <c r="D51" s="48"/>
      <c r="E51" s="48"/>
      <c r="F51" s="48"/>
      <c r="G51" s="48"/>
    </row>
    <row r="52" spans="1:16" s="47" customFormat="1" x14ac:dyDescent="0.15">
      <c r="B52" s="49"/>
      <c r="C52" s="49"/>
      <c r="D52" s="49"/>
      <c r="E52" s="49"/>
      <c r="F52" s="49"/>
      <c r="G52" s="49"/>
    </row>
    <row r="53" spans="1:16" s="44" customFormat="1" x14ac:dyDescent="0.15">
      <c r="A53" s="160"/>
      <c r="B53" s="160"/>
      <c r="C53" s="160"/>
      <c r="D53" s="160"/>
      <c r="E53" s="160"/>
      <c r="F53" s="160"/>
      <c r="G53" s="160"/>
      <c r="H53" s="160"/>
      <c r="I53" s="160"/>
      <c r="J53" s="160"/>
      <c r="K53" s="160"/>
      <c r="L53" s="160"/>
      <c r="M53" s="160"/>
      <c r="N53" s="160"/>
      <c r="O53" s="160"/>
      <c r="P53" s="160"/>
    </row>
    <row r="54" spans="1:16" s="44" customFormat="1" x14ac:dyDescent="0.15">
      <c r="A54" s="160"/>
      <c r="B54" s="160"/>
      <c r="C54" s="160"/>
      <c r="D54" s="160"/>
      <c r="E54" s="160"/>
      <c r="F54" s="160"/>
      <c r="G54" s="160"/>
      <c r="H54" s="160"/>
      <c r="I54" s="160"/>
      <c r="J54" s="160"/>
      <c r="K54" s="160"/>
      <c r="L54" s="160"/>
      <c r="M54" s="160"/>
      <c r="N54" s="160"/>
      <c r="O54" s="160"/>
      <c r="P54" s="160"/>
    </row>
    <row r="55" spans="1:16" s="44" customFormat="1" x14ac:dyDescent="0.15">
      <c r="A55" s="160"/>
      <c r="B55" s="160"/>
      <c r="C55" s="160"/>
      <c r="D55" s="160"/>
      <c r="E55" s="160"/>
      <c r="F55" s="160"/>
      <c r="G55" s="160"/>
      <c r="H55" s="160"/>
      <c r="I55" s="160"/>
      <c r="J55" s="160"/>
      <c r="K55" s="160"/>
      <c r="L55" s="160"/>
      <c r="M55" s="239" t="s">
        <v>111</v>
      </c>
      <c r="N55" s="242" t="s">
        <v>112</v>
      </c>
      <c r="O55" s="242" t="s">
        <v>113</v>
      </c>
      <c r="P55" s="241" t="s">
        <v>114</v>
      </c>
    </row>
    <row r="56" spans="1:16" s="44" customFormat="1" x14ac:dyDescent="0.15">
      <c r="A56" s="160"/>
      <c r="B56" s="160"/>
      <c r="C56" s="160"/>
      <c r="D56" s="160"/>
      <c r="E56" s="160"/>
      <c r="F56" s="160"/>
      <c r="G56" s="160"/>
      <c r="H56" s="160"/>
      <c r="I56" s="160"/>
      <c r="J56" s="160"/>
      <c r="K56" s="160"/>
      <c r="L56" s="160"/>
      <c r="M56" s="160" t="s">
        <v>115</v>
      </c>
      <c r="N56" s="242">
        <f>N49/'Balance sheet forecast'!D56</f>
        <v>-1.8473103931372414</v>
      </c>
      <c r="O56" s="242">
        <f>O49/'Balance sheet forecast'!I56</f>
        <v>-5.617233934036539E-2</v>
      </c>
      <c r="P56" s="241">
        <f>P49/'Balance sheet forecast'!N56</f>
        <v>0.23398376066355997</v>
      </c>
    </row>
    <row r="57" spans="1:16" s="44" customFormat="1" x14ac:dyDescent="0.15">
      <c r="A57" s="160"/>
      <c r="B57" s="160"/>
      <c r="C57" s="160"/>
      <c r="D57" s="160"/>
      <c r="E57" s="160"/>
      <c r="F57" s="160"/>
      <c r="G57" s="160"/>
      <c r="H57" s="160"/>
      <c r="I57" s="160"/>
      <c r="J57" s="160"/>
      <c r="K57" s="160"/>
      <c r="L57" s="160"/>
      <c r="M57" s="160" t="s">
        <v>116</v>
      </c>
      <c r="N57" s="242">
        <f>N49/'Balance sheet forecast'!D29</f>
        <v>-0.99859514561410301</v>
      </c>
      <c r="O57" s="242">
        <f>O49/'Balance sheet forecast'!I29</f>
        <v>-5.0389212982325952E-2</v>
      </c>
      <c r="P57" s="241">
        <f>P49/'Balance sheet forecast'!N29</f>
        <v>0.20700138334253956</v>
      </c>
    </row>
    <row r="58" spans="1:16" s="44" customFormat="1" ht="24" hidden="1" x14ac:dyDescent="0.15">
      <c r="A58" s="160"/>
      <c r="B58" s="160"/>
      <c r="C58" s="160"/>
      <c r="D58" s="160"/>
      <c r="E58" s="160"/>
      <c r="F58" s="160"/>
      <c r="G58" s="160"/>
      <c r="H58" s="160"/>
      <c r="I58" s="160"/>
      <c r="J58" s="160"/>
      <c r="K58" s="160"/>
      <c r="L58" s="243" t="s">
        <v>117</v>
      </c>
      <c r="M58" s="160" t="s">
        <v>118</v>
      </c>
      <c r="N58" s="242">
        <f>N11/(AVERAGE('Sales Forecast CAGR'!F2:F13)*'Assumption Sheet'!B10)</f>
        <v>1.9335314317883738</v>
      </c>
      <c r="O58" s="242">
        <f>O11/(AVERAGE('Sales Forecast CAGR'!F14:F25)*'Assumption Sheet'!B10)</f>
        <v>1.725544690292371</v>
      </c>
      <c r="P58" s="240">
        <f>P11/(AVERAGE('Sales Forecast CAGR'!F26:F37)*'Assumption Sheet'!B10)</f>
        <v>5.0520729841849317</v>
      </c>
    </row>
    <row r="59" spans="1:16" s="44" customFormat="1" ht="24" x14ac:dyDescent="0.15">
      <c r="A59" s="160"/>
      <c r="B59" s="160"/>
      <c r="C59" s="160"/>
      <c r="D59" s="160"/>
      <c r="E59" s="160"/>
      <c r="F59" s="160"/>
      <c r="G59" s="160"/>
      <c r="H59" s="160"/>
      <c r="I59" s="160"/>
      <c r="J59" s="160"/>
      <c r="K59" s="160"/>
      <c r="L59" s="160"/>
      <c r="M59" s="243" t="s">
        <v>119</v>
      </c>
      <c r="N59" s="240">
        <f>SUM('Sales Forecast CAGR'!D2:D13)/(AVERAGE('Sales Forecast CAGR'!F2:F13)*'Assumption Sheet'!B10)</f>
        <v>1.8562968811685747</v>
      </c>
      <c r="O59" s="240">
        <f>SUM('Sales Forecast CAGR'!D14:D25)/(AVERAGE('Sales Forecast CAGR'!F14:F25)*'Assumption Sheet'!B10)</f>
        <v>1.6145918396080312</v>
      </c>
      <c r="P59" s="240">
        <f>SUM('Sales Forecast CAGR'!D26:D37)/(AVERAGE('Sales Forecast CAGR'!F26:F37)*'Assumption Sheet'!B10)</f>
        <v>4.4613943850000997</v>
      </c>
    </row>
    <row r="60" spans="1:16" s="44" customFormat="1" x14ac:dyDescent="0.15">
      <c r="A60" s="160"/>
      <c r="B60" s="160"/>
      <c r="C60" s="160"/>
      <c r="D60" s="160"/>
      <c r="E60" s="160"/>
      <c r="F60" s="160"/>
      <c r="G60" s="160"/>
      <c r="H60" s="160"/>
      <c r="I60" s="160"/>
      <c r="J60" s="160"/>
      <c r="K60" s="160"/>
      <c r="L60" s="160"/>
      <c r="M60" s="160" t="s">
        <v>120</v>
      </c>
      <c r="N60" s="240">
        <f>'Cash Flow'!N17/'Set-up costs'!B38</f>
        <v>-0.68105291635540466</v>
      </c>
      <c r="O60" s="240">
        <f>'Cash Flow'!O17/('Set-up costs'!B38+'Cash Flow'!O22)</f>
        <v>-0.51712929270989505</v>
      </c>
      <c r="P60" s="240">
        <f>'Cash Flow'!P17/('Set-up costs'!B38+'Cash Flow'!O22)</f>
        <v>0.46234082677867794</v>
      </c>
    </row>
    <row r="61" spans="1:16" s="44" customFormat="1" x14ac:dyDescent="0.15">
      <c r="A61" s="160"/>
      <c r="B61" s="160"/>
      <c r="C61" s="160"/>
      <c r="D61" s="160"/>
      <c r="E61" s="160"/>
      <c r="F61" s="160"/>
      <c r="G61" s="160"/>
      <c r="H61" s="160"/>
      <c r="I61" s="160"/>
      <c r="J61" s="160"/>
      <c r="K61" s="160"/>
      <c r="L61" s="160"/>
      <c r="M61" s="160" t="s">
        <v>121</v>
      </c>
      <c r="N61" s="160"/>
      <c r="O61" s="160"/>
      <c r="P61" s="160"/>
    </row>
    <row r="62" spans="1:16" s="44" customFormat="1" x14ac:dyDescent="0.15">
      <c r="A62" s="160"/>
      <c r="B62" s="160"/>
      <c r="C62" s="160"/>
      <c r="D62" s="160"/>
      <c r="E62" s="160"/>
      <c r="F62" s="160"/>
      <c r="G62" s="160"/>
      <c r="H62" s="160"/>
      <c r="I62" s="160"/>
      <c r="J62" s="160"/>
      <c r="K62" s="160"/>
      <c r="L62" s="160"/>
      <c r="M62" s="160" t="s">
        <v>122</v>
      </c>
      <c r="N62" s="160"/>
      <c r="O62" s="160"/>
      <c r="P62" s="160"/>
    </row>
    <row r="63" spans="1:16" s="44" customFormat="1" x14ac:dyDescent="0.15">
      <c r="A63" s="160"/>
      <c r="B63" s="160"/>
      <c r="C63" s="160"/>
      <c r="D63" s="160"/>
      <c r="E63" s="160"/>
      <c r="F63" s="160"/>
      <c r="G63" s="160"/>
      <c r="H63" s="160"/>
      <c r="I63" s="160"/>
      <c r="J63" s="160"/>
      <c r="K63" s="160"/>
      <c r="L63" s="160"/>
      <c r="M63" s="160" t="s">
        <v>123</v>
      </c>
      <c r="N63" s="160"/>
      <c r="O63" s="160"/>
      <c r="P63" s="160"/>
    </row>
    <row r="64" spans="1:16" s="44" customFormat="1" x14ac:dyDescent="0.15">
      <c r="A64" s="160"/>
      <c r="B64" s="160"/>
      <c r="C64" s="160"/>
      <c r="D64" s="160"/>
      <c r="E64" s="160"/>
      <c r="F64" s="160"/>
      <c r="G64" s="160"/>
      <c r="H64" s="160"/>
      <c r="I64" s="160"/>
      <c r="J64" s="160"/>
      <c r="K64" s="160"/>
      <c r="L64" s="160"/>
      <c r="M64" s="160" t="s">
        <v>124</v>
      </c>
      <c r="N64" s="160"/>
      <c r="O64" s="160"/>
      <c r="P64" s="160"/>
    </row>
    <row r="65" s="44" customFormat="1" x14ac:dyDescent="0.15"/>
    <row r="66" s="44" customFormat="1" x14ac:dyDescent="0.15"/>
    <row r="67" s="44" customFormat="1" x14ac:dyDescent="0.15"/>
    <row r="68" s="44" customFormat="1" x14ac:dyDescent="0.15"/>
    <row r="69" s="44" customFormat="1" x14ac:dyDescent="0.15"/>
    <row r="70" s="44" customFormat="1" x14ac:dyDescent="0.15"/>
    <row r="71" s="44" customFormat="1" x14ac:dyDescent="0.15"/>
    <row r="72" s="44" customFormat="1" x14ac:dyDescent="0.15"/>
    <row r="73" s="44" customFormat="1" x14ac:dyDescent="0.15"/>
    <row r="74" s="44" customFormat="1" x14ac:dyDescent="0.15"/>
    <row r="75" s="44" customFormat="1" x14ac:dyDescent="0.15"/>
    <row r="76" s="44" customFormat="1" x14ac:dyDescent="0.15"/>
    <row r="77" s="44" customFormat="1" x14ac:dyDescent="0.15"/>
    <row r="78" s="44" customFormat="1" x14ac:dyDescent="0.15"/>
    <row r="79" s="44" customFormat="1" x14ac:dyDescent="0.15"/>
    <row r="80" s="44" customFormat="1" x14ac:dyDescent="0.15"/>
    <row r="81" s="44" customFormat="1" x14ac:dyDescent="0.15"/>
    <row r="82" s="44" customFormat="1" x14ac:dyDescent="0.15"/>
    <row r="83" s="44" customFormat="1" x14ac:dyDescent="0.15"/>
    <row r="84" s="44" customFormat="1" x14ac:dyDescent="0.15"/>
    <row r="85" s="44" customFormat="1" x14ac:dyDescent="0.15"/>
    <row r="86" s="44" customFormat="1" x14ac:dyDescent="0.15"/>
    <row r="87" s="44" customFormat="1" x14ac:dyDescent="0.15"/>
    <row r="88" s="44" customFormat="1" x14ac:dyDescent="0.15"/>
    <row r="89" s="44" customFormat="1" x14ac:dyDescent="0.15"/>
    <row r="90" s="44" customFormat="1" x14ac:dyDescent="0.15"/>
    <row r="91" s="44" customFormat="1" x14ac:dyDescent="0.15"/>
    <row r="92" s="44" customFormat="1" x14ac:dyDescent="0.15"/>
    <row r="93" s="44" customFormat="1" x14ac:dyDescent="0.15"/>
    <row r="94" s="44" customFormat="1" x14ac:dyDescent="0.15"/>
    <row r="95" s="44" customFormat="1" x14ac:dyDescent="0.15"/>
    <row r="96" s="44" customFormat="1" x14ac:dyDescent="0.15"/>
    <row r="97" s="44" customFormat="1" x14ac:dyDescent="0.15"/>
    <row r="98" s="44" customFormat="1" x14ac:dyDescent="0.15"/>
    <row r="99" s="44" customFormat="1" x14ac:dyDescent="0.15"/>
    <row r="100" s="44" customFormat="1" x14ac:dyDescent="0.15"/>
    <row r="101" s="44" customFormat="1" x14ac:dyDescent="0.15"/>
    <row r="102" s="44" customFormat="1" x14ac:dyDescent="0.15"/>
    <row r="103" s="44" customFormat="1" x14ac:dyDescent="0.15"/>
    <row r="104" s="44" customFormat="1" x14ac:dyDescent="0.15"/>
    <row r="105" s="44" customFormat="1" x14ac:dyDescent="0.15"/>
    <row r="106" s="44" customFormat="1" x14ac:dyDescent="0.15"/>
    <row r="107" s="44" customFormat="1" x14ac:dyDescent="0.15"/>
    <row r="108" s="44" customFormat="1" x14ac:dyDescent="0.15"/>
    <row r="109" s="44" customFormat="1" x14ac:dyDescent="0.15"/>
    <row r="110" s="44" customFormat="1" x14ac:dyDescent="0.15"/>
    <row r="111" s="44" customFormat="1" x14ac:dyDescent="0.15"/>
    <row r="112" s="44" customFormat="1" x14ac:dyDescent="0.15"/>
    <row r="113" s="44" customFormat="1" x14ac:dyDescent="0.15"/>
    <row r="114" s="44" customFormat="1" x14ac:dyDescent="0.15"/>
    <row r="115" s="44" customFormat="1" x14ac:dyDescent="0.15"/>
    <row r="116" s="44" customFormat="1" x14ac:dyDescent="0.15"/>
    <row r="117" s="44" customFormat="1" x14ac:dyDescent="0.15"/>
    <row r="118" s="44" customFormat="1" x14ac:dyDescent="0.15"/>
    <row r="119" s="44" customFormat="1" x14ac:dyDescent="0.15"/>
    <row r="120" s="44" customFormat="1" x14ac:dyDescent="0.15"/>
    <row r="121" s="44" customFormat="1" x14ac:dyDescent="0.15"/>
    <row r="122" s="44" customFormat="1" x14ac:dyDescent="0.15"/>
    <row r="123" s="44" customFormat="1" x14ac:dyDescent="0.15"/>
    <row r="124" s="44" customFormat="1" x14ac:dyDescent="0.15"/>
    <row r="125" s="44" customFormat="1" x14ac:dyDescent="0.15"/>
    <row r="126" s="44" customFormat="1" x14ac:dyDescent="0.15"/>
    <row r="127" s="44" customFormat="1" x14ac:dyDescent="0.15"/>
    <row r="128" s="44" customFormat="1" x14ac:dyDescent="0.15"/>
    <row r="129" s="44" customFormat="1" x14ac:dyDescent="0.15"/>
    <row r="130" s="44" customFormat="1" x14ac:dyDescent="0.15"/>
    <row r="131" s="44" customFormat="1" x14ac:dyDescent="0.15"/>
    <row r="132" s="44" customFormat="1" x14ac:dyDescent="0.15"/>
    <row r="133" s="44" customFormat="1" x14ac:dyDescent="0.15"/>
    <row r="134" s="44" customFormat="1" x14ac:dyDescent="0.15"/>
    <row r="135" s="44" customFormat="1" x14ac:dyDescent="0.15"/>
    <row r="136" s="44" customFormat="1" x14ac:dyDescent="0.15"/>
    <row r="137" s="44" customFormat="1" x14ac:dyDescent="0.15"/>
    <row r="138" s="44" customFormat="1" x14ac:dyDescent="0.15"/>
    <row r="139" s="44" customFormat="1" x14ac:dyDescent="0.15"/>
    <row r="140" s="44" customFormat="1" x14ac:dyDescent="0.15"/>
    <row r="141" s="44" customFormat="1" x14ac:dyDescent="0.15"/>
    <row r="142" s="44" customFormat="1" x14ac:dyDescent="0.15"/>
    <row r="143" s="44" customFormat="1" x14ac:dyDescent="0.15"/>
    <row r="144" s="44" customFormat="1" x14ac:dyDescent="0.15"/>
    <row r="145" s="44" customFormat="1" x14ac:dyDescent="0.15"/>
    <row r="146" s="44" customFormat="1" x14ac:dyDescent="0.15"/>
    <row r="147" s="44" customFormat="1" x14ac:dyDescent="0.15"/>
    <row r="148" s="44" customFormat="1" x14ac:dyDescent="0.15"/>
    <row r="149" s="44" customFormat="1" x14ac:dyDescent="0.15"/>
    <row r="150" s="44" customFormat="1" x14ac:dyDescent="0.15"/>
    <row r="151" s="44" customFormat="1" x14ac:dyDescent="0.15"/>
    <row r="152" s="44" customFormat="1" x14ac:dyDescent="0.15"/>
    <row r="153" s="44" customFormat="1" x14ac:dyDescent="0.15"/>
    <row r="154" s="44" customFormat="1" x14ac:dyDescent="0.15"/>
    <row r="155" s="44" customFormat="1" x14ac:dyDescent="0.15"/>
    <row r="156" s="44" customFormat="1" x14ac:dyDescent="0.15"/>
    <row r="157" s="44" customFormat="1" x14ac:dyDescent="0.15"/>
    <row r="158" s="44" customFormat="1" x14ac:dyDescent="0.15"/>
    <row r="159" s="44" customFormat="1" x14ac:dyDescent="0.15"/>
    <row r="160" s="44" customFormat="1" x14ac:dyDescent="0.15"/>
    <row r="161" s="44" customFormat="1" x14ac:dyDescent="0.15"/>
    <row r="162" s="44" customFormat="1" x14ac:dyDescent="0.15"/>
    <row r="163" s="44" customFormat="1" x14ac:dyDescent="0.15"/>
    <row r="164" s="44" customFormat="1" x14ac:dyDescent="0.15"/>
    <row r="165" s="44" customFormat="1" x14ac:dyDescent="0.15"/>
    <row r="166" s="44" customFormat="1" x14ac:dyDescent="0.15"/>
    <row r="167" s="44" customFormat="1" x14ac:dyDescent="0.15"/>
    <row r="168" s="44" customFormat="1" x14ac:dyDescent="0.15"/>
    <row r="169" s="44" customFormat="1" x14ac:dyDescent="0.15"/>
    <row r="170" s="44" customFormat="1" x14ac:dyDescent="0.15"/>
    <row r="171" s="44" customFormat="1" x14ac:dyDescent="0.15"/>
    <row r="172" s="44" customFormat="1" x14ac:dyDescent="0.15"/>
    <row r="173" s="44" customFormat="1" x14ac:dyDescent="0.15"/>
    <row r="174" s="44" customFormat="1" x14ac:dyDescent="0.15"/>
    <row r="175" s="44" customFormat="1" x14ac:dyDescent="0.15"/>
    <row r="176" s="44" customFormat="1" x14ac:dyDescent="0.15"/>
    <row r="177" s="44" customFormat="1" x14ac:dyDescent="0.15"/>
    <row r="178" s="44" customFormat="1" x14ac:dyDescent="0.15"/>
    <row r="179" s="44" customFormat="1" x14ac:dyDescent="0.15"/>
    <row r="180" s="44" customFormat="1" x14ac:dyDescent="0.15"/>
    <row r="181" s="44" customFormat="1" x14ac:dyDescent="0.15"/>
    <row r="182" s="44" customFormat="1" x14ac:dyDescent="0.15"/>
    <row r="183" s="44" customFormat="1" x14ac:dyDescent="0.15"/>
    <row r="184" s="44" customFormat="1" x14ac:dyDescent="0.15"/>
    <row r="185" s="44" customFormat="1" x14ac:dyDescent="0.15"/>
    <row r="186" s="44" customFormat="1" x14ac:dyDescent="0.15"/>
    <row r="187" s="44" customFormat="1" x14ac:dyDescent="0.15"/>
    <row r="188" s="44" customFormat="1" x14ac:dyDescent="0.15"/>
    <row r="189" s="44" customFormat="1" x14ac:dyDescent="0.15"/>
    <row r="190" s="44" customFormat="1" x14ac:dyDescent="0.15"/>
    <row r="191" s="44" customFormat="1" x14ac:dyDescent="0.15"/>
    <row r="192" s="44" customFormat="1" x14ac:dyDescent="0.15"/>
    <row r="193" s="44" customFormat="1" x14ac:dyDescent="0.15"/>
    <row r="194" s="44" customFormat="1" x14ac:dyDescent="0.15"/>
    <row r="195" s="44" customFormat="1" x14ac:dyDescent="0.15"/>
    <row r="196" s="44" customFormat="1" x14ac:dyDescent="0.15"/>
    <row r="197" s="44" customFormat="1" x14ac:dyDescent="0.15"/>
    <row r="198" s="44" customFormat="1" x14ac:dyDescent="0.15"/>
    <row r="199" s="44" customFormat="1" x14ac:dyDescent="0.15"/>
    <row r="200" s="44" customFormat="1" x14ac:dyDescent="0.15"/>
    <row r="201" s="44" customFormat="1" x14ac:dyDescent="0.15"/>
    <row r="202" s="44" customFormat="1" x14ac:dyDescent="0.15"/>
    <row r="203" s="44" customFormat="1" x14ac:dyDescent="0.15"/>
    <row r="204" s="44" customFormat="1" x14ac:dyDescent="0.15"/>
    <row r="205" s="44" customFormat="1" x14ac:dyDescent="0.15"/>
    <row r="206" s="44" customFormat="1" x14ac:dyDescent="0.15"/>
    <row r="207" s="44" customFormat="1" x14ac:dyDescent="0.15"/>
    <row r="208" s="44" customFormat="1" x14ac:dyDescent="0.15"/>
  </sheetData>
  <phoneticPr fontId="17" type="noConversion"/>
  <dataValidations count="1">
    <dataValidation allowBlank="1" showInputMessage="1" showErrorMessage="1" sqref="C16:J17 C18:M19 C20:J23 C13:E13 C26:J28 C40:J43 B46:P48 C45:E45 C44:M44 O10:P10 C9:C12 D10:M12 N12:P12 O44:P44 C37:J38 C24:M25 B50:P50 O36:P36 C29:M36 C39:M39 B9:B45 C14:M15" xr:uid="{00000000-0002-0000-0200-000000000000}"/>
  </dataValidations>
  <pageMargins left="0.7" right="0.7" top="0.75" bottom="0.75" header="0.3" footer="0.3"/>
  <pageSetup orientation="portrait" horizontalDpi="1200" verticalDpi="1200"/>
  <legacyDrawing r:id="rId1"/>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16B6A5-C845-0741-9E51-3DD8C2502A91}">
  <dimension ref="A1:P17"/>
  <sheetViews>
    <sheetView topLeftCell="I1" zoomScale="149" workbookViewId="0">
      <selection activeCell="O3" sqref="O3:P17"/>
    </sheetView>
  </sheetViews>
  <sheetFormatPr baseColWidth="10" defaultColWidth="10.6640625" defaultRowHeight="13" x14ac:dyDescent="0.15"/>
  <cols>
    <col min="1" max="1" width="29.1640625" customWidth="1"/>
    <col min="2" max="2" width="13.6640625" customWidth="1"/>
    <col min="3" max="3" width="14" customWidth="1"/>
    <col min="7" max="7" width="12.83203125" customWidth="1"/>
    <col min="8" max="8" width="13.33203125" customWidth="1"/>
    <col min="9" max="9" width="14" customWidth="1"/>
    <col min="10" max="10" width="14.83203125" customWidth="1"/>
    <col min="11" max="11" width="12.1640625" customWidth="1"/>
    <col min="12" max="12" width="12.33203125" customWidth="1"/>
    <col min="13" max="13" width="13.5" customWidth="1"/>
    <col min="14" max="14" width="13.1640625" style="129" customWidth="1"/>
  </cols>
  <sheetData>
    <row r="1" spans="1:16" s="234" customFormat="1" x14ac:dyDescent="0.15">
      <c r="B1" s="234">
        <f>'Profit and loss forecast'!B3</f>
        <v>45658</v>
      </c>
      <c r="C1" s="234">
        <f>'Profit and loss forecast'!C3</f>
        <v>45689</v>
      </c>
      <c r="D1" s="234">
        <f>'Profit and loss forecast'!D3</f>
        <v>45717</v>
      </c>
      <c r="E1" s="234">
        <f>'Profit and loss forecast'!E3</f>
        <v>45748</v>
      </c>
      <c r="F1" s="234">
        <f>'Profit and loss forecast'!F3</f>
        <v>45778</v>
      </c>
      <c r="G1" s="234">
        <f>'Profit and loss forecast'!G3</f>
        <v>45809</v>
      </c>
      <c r="H1" s="234">
        <f>'Profit and loss forecast'!H3</f>
        <v>45839</v>
      </c>
      <c r="I1" s="234">
        <f>'Profit and loss forecast'!I3</f>
        <v>45870</v>
      </c>
      <c r="J1" s="234">
        <f>'Profit and loss forecast'!J3</f>
        <v>45901</v>
      </c>
      <c r="K1" s="234">
        <f>'Profit and loss forecast'!K3</f>
        <v>45931</v>
      </c>
      <c r="L1" s="234">
        <f>'Profit and loss forecast'!L3</f>
        <v>45962</v>
      </c>
      <c r="M1" s="234">
        <f>'Profit and loss forecast'!M3</f>
        <v>45992</v>
      </c>
      <c r="N1" s="235" t="s">
        <v>125</v>
      </c>
      <c r="O1" s="252" t="s">
        <v>126</v>
      </c>
      <c r="P1" s="252" t="s">
        <v>127</v>
      </c>
    </row>
    <row r="2" spans="1:16" x14ac:dyDescent="0.15">
      <c r="A2" s="14" t="s">
        <v>76</v>
      </c>
    </row>
    <row r="3" spans="1:16" x14ac:dyDescent="0.15">
      <c r="A3" s="231" t="s">
        <v>77</v>
      </c>
      <c r="B3" s="237">
        <f>'Profit and loss forecast'!B10</f>
        <v>0</v>
      </c>
      <c r="C3" s="237">
        <f>'Profit and loss forecast'!C10</f>
        <v>0</v>
      </c>
      <c r="D3" s="237">
        <f>'Profit and loss forecast'!D10</f>
        <v>0</v>
      </c>
      <c r="E3" s="237">
        <f>'Profit and loss forecast'!E10</f>
        <v>0</v>
      </c>
      <c r="F3" s="237">
        <f>'Profit and loss forecast'!F10</f>
        <v>0</v>
      </c>
      <c r="G3" s="237">
        <f>'Profit and loss forecast'!G10</f>
        <v>10058.739837398374</v>
      </c>
      <c r="H3" s="237">
        <f>'Profit and loss forecast'!H10</f>
        <v>10717.130081300813</v>
      </c>
      <c r="I3" s="237">
        <f>'Profit and loss forecast'!I10</f>
        <v>11412.09756097561</v>
      </c>
      <c r="J3" s="237">
        <f>'Profit and loss forecast'!J10</f>
        <v>12180.219512195123</v>
      </c>
      <c r="K3" s="237">
        <f>'Profit and loss forecast'!K10</f>
        <v>12984.918699186992</v>
      </c>
      <c r="L3" s="237">
        <f>'Profit and loss forecast'!L10</f>
        <v>13862.772357723577</v>
      </c>
      <c r="M3" s="237">
        <f>'Profit and loss forecast'!M10</f>
        <v>14777.203252032521</v>
      </c>
      <c r="N3" s="238">
        <f>'Profit and loss forecast'!N10</f>
        <v>85993.081300813006</v>
      </c>
      <c r="O3" s="238">
        <f>'Profit and loss forecast'!O10</f>
        <v>799415.2601626016</v>
      </c>
      <c r="P3" s="238">
        <f>'Profit and loss forecast'!P10</f>
        <v>2612819.3056910569</v>
      </c>
    </row>
    <row r="4" spans="1:16" x14ac:dyDescent="0.15">
      <c r="A4" s="231" t="s">
        <v>78</v>
      </c>
      <c r="B4" s="237">
        <f>'Profit and loss forecast'!B11</f>
        <v>0</v>
      </c>
      <c r="C4" s="237">
        <f>'Profit and loss forecast'!C11</f>
        <v>0</v>
      </c>
      <c r="D4" s="237">
        <f>'Profit and loss forecast'!D11</f>
        <v>0</v>
      </c>
      <c r="E4" s="237">
        <f>'Profit and loss forecast'!E11</f>
        <v>0</v>
      </c>
      <c r="F4" s="237">
        <f>'Profit and loss forecast'!F11</f>
        <v>0</v>
      </c>
      <c r="G4" s="237">
        <f>'Profit and loss forecast'!G11</f>
        <v>8551.3672158000008</v>
      </c>
      <c r="H4" s="237">
        <f>'Profit and loss forecast'!H11</f>
        <v>9205.1297682000004</v>
      </c>
      <c r="I4" s="237">
        <f>'Profit and loss forecast'!I11</f>
        <v>9896.4864047999999</v>
      </c>
      <c r="J4" s="237">
        <f>'Profit and loss forecast'!J11</f>
        <v>10656.192150600002</v>
      </c>
      <c r="K4" s="237">
        <f>'Profit and loss forecast'!K11</f>
        <v>11453.894278200001</v>
      </c>
      <c r="L4" s="237">
        <f>'Profit and loss forecast'!L11</f>
        <v>12321.554705400002</v>
      </c>
      <c r="M4" s="237">
        <f>'Profit and loss forecast'!M11</f>
        <v>13228.820704800002</v>
      </c>
      <c r="N4" s="238">
        <f>'Profit and loss forecast'!N11</f>
        <v>75313.44522780001</v>
      </c>
      <c r="O4" s="238">
        <f>'Profit and loss forecast'!O11</f>
        <v>628215.14578500006</v>
      </c>
      <c r="P4" s="238">
        <f>'Profit and loss forecast'!P11</f>
        <v>1949471.7441264002</v>
      </c>
    </row>
    <row r="5" spans="1:16" x14ac:dyDescent="0.15">
      <c r="A5" s="230" t="s">
        <v>79</v>
      </c>
      <c r="B5" s="238">
        <f>'Profit and loss forecast'!B12</f>
        <v>0</v>
      </c>
      <c r="C5" s="238">
        <f>'Profit and loss forecast'!C12</f>
        <v>0</v>
      </c>
      <c r="D5" s="238">
        <f>'Profit and loss forecast'!D12</f>
        <v>0</v>
      </c>
      <c r="E5" s="238">
        <f>'Profit and loss forecast'!E12</f>
        <v>0</v>
      </c>
      <c r="F5" s="238">
        <f>'Profit and loss forecast'!F12</f>
        <v>0</v>
      </c>
      <c r="G5" s="238">
        <f>'Profit and loss forecast'!G12</f>
        <v>1507.3726215983734</v>
      </c>
      <c r="H5" s="238">
        <f>'Profit and loss forecast'!H12</f>
        <v>1512.0003131008125</v>
      </c>
      <c r="I5" s="238">
        <f>'Profit and loss forecast'!I12</f>
        <v>1515.6111561756097</v>
      </c>
      <c r="J5" s="238">
        <f>'Profit and loss forecast'!J12</f>
        <v>1524.027361595121</v>
      </c>
      <c r="K5" s="238">
        <f>'Profit and loss forecast'!K12</f>
        <v>1531.0244209869907</v>
      </c>
      <c r="L5" s="238">
        <f>'Profit and loss forecast'!L12</f>
        <v>1541.2176523235757</v>
      </c>
      <c r="M5" s="238">
        <f>'Profit and loss forecast'!M12</f>
        <v>1548.3825472325188</v>
      </c>
      <c r="N5" s="238">
        <f>'Profit and loss forecast'!N12</f>
        <v>10679.636073012996</v>
      </c>
      <c r="O5" s="238">
        <f>'Profit and loss forecast'!O12</f>
        <v>171200.11437760154</v>
      </c>
      <c r="P5" s="238">
        <f>'Profit and loss forecast'!P12</f>
        <v>663347.56156465667</v>
      </c>
    </row>
    <row r="6" spans="1:16" x14ac:dyDescent="0.15">
      <c r="A6" s="228" t="s">
        <v>128</v>
      </c>
      <c r="B6" s="238">
        <f>SUM(B7:B14)</f>
        <v>34413.270000000004</v>
      </c>
      <c r="C6" s="238">
        <f t="shared" ref="C6:N6" si="0">SUM(C7:C14)</f>
        <v>13644.583333333334</v>
      </c>
      <c r="D6" s="238">
        <f t="shared" si="0"/>
        <v>10757.763333333332</v>
      </c>
      <c r="E6" s="238">
        <f t="shared" si="0"/>
        <v>10237.913333333334</v>
      </c>
      <c r="F6" s="238">
        <f t="shared" si="0"/>
        <v>10234.043333333333</v>
      </c>
      <c r="G6" s="238">
        <f t="shared" si="0"/>
        <v>12240.212073170733</v>
      </c>
      <c r="H6" s="238">
        <f t="shared" si="0"/>
        <v>10236.960463414634</v>
      </c>
      <c r="I6" s="238">
        <f t="shared" si="0"/>
        <v>10233.715430894308</v>
      </c>
      <c r="J6" s="238">
        <f t="shared" si="0"/>
        <v>10230.523552845527</v>
      </c>
      <c r="K6" s="238">
        <f t="shared" si="0"/>
        <v>10227.34825203252</v>
      </c>
      <c r="L6" s="238">
        <f t="shared" si="0"/>
        <v>15224.216105691055</v>
      </c>
      <c r="M6" s="238">
        <f t="shared" si="0"/>
        <v>12221.100536585367</v>
      </c>
      <c r="N6" s="238">
        <f t="shared" si="0"/>
        <v>159901.64974796752</v>
      </c>
      <c r="O6" s="238">
        <f t="shared" ref="O6:P6" si="1">SUM(O7:O14)</f>
        <v>228681.10070731709</v>
      </c>
      <c r="P6" s="238">
        <f t="shared" si="1"/>
        <v>306122.93734959356</v>
      </c>
    </row>
    <row r="7" spans="1:16" x14ac:dyDescent="0.15">
      <c r="A7" s="229" t="s">
        <v>82</v>
      </c>
      <c r="B7" s="237">
        <f>'Profit and loss forecast'!B15</f>
        <v>4000</v>
      </c>
      <c r="C7" s="237">
        <f>'Profit and loss forecast'!C15</f>
        <v>4000</v>
      </c>
      <c r="D7" s="237">
        <f>'Profit and loss forecast'!D15</f>
        <v>4000</v>
      </c>
      <c r="E7" s="237">
        <f>'Profit and loss forecast'!E15</f>
        <v>4000</v>
      </c>
      <c r="F7" s="237">
        <f>'Profit and loss forecast'!F15</f>
        <v>4000</v>
      </c>
      <c r="G7" s="237">
        <f>'Profit and loss forecast'!G15</f>
        <v>4000</v>
      </c>
      <c r="H7" s="237">
        <f>'Profit and loss forecast'!H15</f>
        <v>4000</v>
      </c>
      <c r="I7" s="237">
        <f>'Profit and loss forecast'!I15</f>
        <v>4000</v>
      </c>
      <c r="J7" s="237">
        <f>'Profit and loss forecast'!J15</f>
        <v>4000</v>
      </c>
      <c r="K7" s="237">
        <f>'Profit and loss forecast'!K15</f>
        <v>4000</v>
      </c>
      <c r="L7" s="237">
        <f>'Profit and loss forecast'!L15</f>
        <v>4000</v>
      </c>
      <c r="M7" s="237">
        <f>'Profit and loss forecast'!M15</f>
        <v>4000</v>
      </c>
      <c r="N7" s="237">
        <f>'Profit and loss forecast'!N15</f>
        <v>48000</v>
      </c>
      <c r="O7" s="237">
        <f>'Profit and loss forecast'!O15</f>
        <v>125000</v>
      </c>
      <c r="P7" s="237">
        <f>'Profit and loss forecast'!P15</f>
        <v>200000</v>
      </c>
    </row>
    <row r="8" spans="1:16" x14ac:dyDescent="0.15">
      <c r="A8" s="231" t="s">
        <v>97</v>
      </c>
      <c r="B8" s="237">
        <f>'Profit and loss forecast'!B30</f>
        <v>4583.33</v>
      </c>
      <c r="C8" s="237">
        <f>'Profit and loss forecast'!C30</f>
        <v>4583.33</v>
      </c>
      <c r="D8" s="237">
        <f>'Profit and loss forecast'!D30</f>
        <v>4583.33</v>
      </c>
      <c r="E8" s="237">
        <f>'Profit and loss forecast'!E30</f>
        <v>4583.33</v>
      </c>
      <c r="F8" s="237">
        <f>'Profit and loss forecast'!F30</f>
        <v>4583.33</v>
      </c>
      <c r="G8" s="237">
        <f>'Profit and loss forecast'!G30</f>
        <v>4583.33</v>
      </c>
      <c r="H8" s="237">
        <f>'Profit and loss forecast'!H30</f>
        <v>4583.33</v>
      </c>
      <c r="I8" s="237">
        <f>'Profit and loss forecast'!I30</f>
        <v>4583.33</v>
      </c>
      <c r="J8" s="237">
        <f>'Profit and loss forecast'!J30</f>
        <v>4583.33</v>
      </c>
      <c r="K8" s="237">
        <f>'Profit and loss forecast'!K30</f>
        <v>4583.33</v>
      </c>
      <c r="L8" s="237">
        <f>'Profit and loss forecast'!L30</f>
        <v>4583.33</v>
      </c>
      <c r="M8" s="237">
        <f>'Profit and loss forecast'!M30</f>
        <v>4583.33</v>
      </c>
      <c r="N8" s="237">
        <f>'Profit and loss forecast'!N30</f>
        <v>54999.960000000014</v>
      </c>
      <c r="O8" s="237">
        <f>'Profit and loss forecast'!O30</f>
        <v>54999.960000000014</v>
      </c>
      <c r="P8" s="237">
        <f>'Profit and loss forecast'!P30</f>
        <v>54999.960000000014</v>
      </c>
    </row>
    <row r="9" spans="1:16" x14ac:dyDescent="0.15">
      <c r="A9" s="232" t="s">
        <v>98</v>
      </c>
      <c r="B9" s="237">
        <f>'Profit and loss forecast'!B31</f>
        <v>463.47</v>
      </c>
      <c r="C9" s="237">
        <f>'Profit and loss forecast'!C31</f>
        <v>463.47</v>
      </c>
      <c r="D9" s="237">
        <f>'Profit and loss forecast'!D31</f>
        <v>463.47</v>
      </c>
      <c r="E9" s="237">
        <f>'Profit and loss forecast'!E31</f>
        <v>463.47</v>
      </c>
      <c r="F9" s="237">
        <f>'Profit and loss forecast'!F31</f>
        <v>463.47</v>
      </c>
      <c r="G9" s="237">
        <f>'Profit and loss forecast'!G31</f>
        <v>463.47</v>
      </c>
      <c r="H9" s="237">
        <f>'Profit and loss forecast'!H31</f>
        <v>463.47</v>
      </c>
      <c r="I9" s="237">
        <f>'Profit and loss forecast'!I31</f>
        <v>463.47</v>
      </c>
      <c r="J9" s="237">
        <f>'Profit and loss forecast'!J31</f>
        <v>463.47</v>
      </c>
      <c r="K9" s="237">
        <f>'Profit and loss forecast'!K31</f>
        <v>463.47</v>
      </c>
      <c r="L9" s="237">
        <f>'Profit and loss forecast'!L31</f>
        <v>463.47</v>
      </c>
      <c r="M9" s="237">
        <f>'Profit and loss forecast'!M31</f>
        <v>463.47</v>
      </c>
      <c r="N9" s="237">
        <f>'Profit and loss forecast'!N31</f>
        <v>5561.6400000000021</v>
      </c>
      <c r="O9" s="237">
        <f>'Profit and loss forecast'!O31</f>
        <v>5561.6400000000021</v>
      </c>
      <c r="P9" s="237">
        <f>'Profit and loss forecast'!P31</f>
        <v>5561.6400000000021</v>
      </c>
    </row>
    <row r="10" spans="1:16" x14ac:dyDescent="0.15">
      <c r="A10" s="232" t="s">
        <v>101</v>
      </c>
      <c r="B10" s="237">
        <f>'Profit and loss forecast'!B35</f>
        <v>32000</v>
      </c>
      <c r="C10" s="237">
        <f>'Profit and loss forecast'!C35</f>
        <v>3399</v>
      </c>
      <c r="D10" s="237">
        <f>'Profit and loss forecast'!D35</f>
        <v>0</v>
      </c>
      <c r="E10" s="237">
        <f>'Profit and loss forecast'!E35</f>
        <v>0</v>
      </c>
      <c r="F10" s="237">
        <f>'Profit and loss forecast'!F35</f>
        <v>0</v>
      </c>
      <c r="G10" s="237">
        <f>'Profit and loss forecast'!G35</f>
        <v>0</v>
      </c>
      <c r="H10" s="237">
        <f>'Profit and loss forecast'!H35</f>
        <v>0</v>
      </c>
      <c r="I10" s="237">
        <f>'Profit and loss forecast'!I35</f>
        <v>0</v>
      </c>
      <c r="J10" s="237">
        <f>'Profit and loss forecast'!J35</f>
        <v>0</v>
      </c>
      <c r="K10" s="237">
        <f>'Profit and loss forecast'!K35</f>
        <v>0</v>
      </c>
      <c r="L10" s="237">
        <f>'Profit and loss forecast'!L35</f>
        <v>5000</v>
      </c>
      <c r="M10" s="237">
        <f>'Profit and loss forecast'!M35</f>
        <v>0</v>
      </c>
      <c r="N10" s="237">
        <f>'Profit and loss forecast'!N35</f>
        <v>40399</v>
      </c>
      <c r="O10" s="237">
        <f>'Profit and loss forecast'!O35</f>
        <v>0</v>
      </c>
      <c r="P10" s="237">
        <f>'Profit and loss forecast'!P35</f>
        <v>0</v>
      </c>
    </row>
    <row r="11" spans="1:16" x14ac:dyDescent="0.15">
      <c r="A11" s="232" t="s">
        <v>104</v>
      </c>
      <c r="B11" s="237">
        <f>'Profit and loss forecast'!B38</f>
        <v>-32000</v>
      </c>
      <c r="C11" s="237">
        <f>'Profit and loss forecast'!C38</f>
        <v>0</v>
      </c>
      <c r="D11" s="237">
        <f>'Profit and loss forecast'!D38</f>
        <v>0</v>
      </c>
      <c r="E11" s="237">
        <f>'Profit and loss forecast'!E38</f>
        <v>0</v>
      </c>
      <c r="F11" s="237">
        <f>'Profit and loss forecast'!F38</f>
        <v>0</v>
      </c>
      <c r="G11" s="237">
        <f>'Profit and loss forecast'!G38</f>
        <v>0</v>
      </c>
      <c r="H11" s="237">
        <f>'Profit and loss forecast'!H38</f>
        <v>0</v>
      </c>
      <c r="I11" s="237">
        <f>'Profit and loss forecast'!I38</f>
        <v>0</v>
      </c>
      <c r="J11" s="237">
        <f>'Profit and loss forecast'!J38</f>
        <v>0</v>
      </c>
      <c r="K11" s="237">
        <f>'Profit and loss forecast'!K38</f>
        <v>0</v>
      </c>
      <c r="L11" s="237">
        <f>'Profit and loss forecast'!L38</f>
        <v>0</v>
      </c>
      <c r="M11" s="237">
        <f>'Profit and loss forecast'!M38</f>
        <v>0</v>
      </c>
      <c r="N11" s="237">
        <f>'Profit and loss forecast'!N38</f>
        <v>-32000</v>
      </c>
      <c r="O11" s="237">
        <f>'Profit and loss forecast'!O38</f>
        <v>0</v>
      </c>
      <c r="P11" s="237">
        <f>'Profit and loss forecast'!P38</f>
        <v>0</v>
      </c>
    </row>
    <row r="12" spans="1:16" x14ac:dyDescent="0.15">
      <c r="A12" s="231" t="s">
        <v>85</v>
      </c>
      <c r="B12" s="237">
        <f>'Profit and loss forecast'!B18</f>
        <v>0</v>
      </c>
      <c r="C12" s="237">
        <f>'Profit and loss forecast'!C18</f>
        <v>533.33333333333337</v>
      </c>
      <c r="D12" s="237">
        <f>'Profit and loss forecast'!D18</f>
        <v>533.33333333333337</v>
      </c>
      <c r="E12" s="237">
        <f>'Profit and loss forecast'!E18</f>
        <v>533.33333333333337</v>
      </c>
      <c r="F12" s="237">
        <f>'Profit and loss forecast'!F18</f>
        <v>533.33333333333337</v>
      </c>
      <c r="G12" s="237">
        <f>'Profit and loss forecast'!G18</f>
        <v>533.33333333333337</v>
      </c>
      <c r="H12" s="237">
        <f>'Profit and loss forecast'!H18</f>
        <v>533.33333333333337</v>
      </c>
      <c r="I12" s="237">
        <f>'Profit and loss forecast'!I18</f>
        <v>533.33333333333337</v>
      </c>
      <c r="J12" s="237">
        <f>'Profit and loss forecast'!J18</f>
        <v>533.33333333333337</v>
      </c>
      <c r="K12" s="237">
        <f>'Profit and loss forecast'!K18</f>
        <v>533.33333333333337</v>
      </c>
      <c r="L12" s="237">
        <f>'Profit and loss forecast'!L18</f>
        <v>533.33333333333337</v>
      </c>
      <c r="M12" s="237">
        <f>'Profit and loss forecast'!M18</f>
        <v>533.33333333333337</v>
      </c>
      <c r="N12" s="237">
        <f>'Profit and loss forecast'!N18</f>
        <v>5866.6666666666661</v>
      </c>
      <c r="O12" s="237">
        <f>'Profit and loss forecast'!O18</f>
        <v>6399.9999999999991</v>
      </c>
      <c r="P12" s="237">
        <f>'Profit and loss forecast'!P18</f>
        <v>6399.9999999999991</v>
      </c>
    </row>
    <row r="13" spans="1:16" x14ac:dyDescent="0.15">
      <c r="A13" s="233" t="s">
        <v>102</v>
      </c>
      <c r="B13" s="237">
        <f>'Profit and loss forecast'!B36</f>
        <v>0</v>
      </c>
      <c r="C13" s="237">
        <f>'Profit and loss forecast'!C36</f>
        <v>0</v>
      </c>
      <c r="D13" s="237">
        <f>'Profit and loss forecast'!D36</f>
        <v>0</v>
      </c>
      <c r="E13" s="237">
        <f>'Profit and loss forecast'!E36</f>
        <v>0</v>
      </c>
      <c r="F13" s="237">
        <f>'Profit and loss forecast'!F36</f>
        <v>0</v>
      </c>
      <c r="G13" s="237">
        <f>'Profit and loss forecast'!G36</f>
        <v>10.058739837398374</v>
      </c>
      <c r="H13" s="237">
        <f>'Profit and loss forecast'!H36</f>
        <v>10.717130081300812</v>
      </c>
      <c r="I13" s="237">
        <f>'Profit and loss forecast'!I36</f>
        <v>11.41209756097561</v>
      </c>
      <c r="J13" s="237">
        <f>'Profit and loss forecast'!J36</f>
        <v>12.180219512195123</v>
      </c>
      <c r="K13" s="237">
        <f>'Profit and loss forecast'!K36</f>
        <v>12.984918699186991</v>
      </c>
      <c r="L13" s="237">
        <f>'Profit and loss forecast'!L36</f>
        <v>13.862772357723578</v>
      </c>
      <c r="M13" s="237">
        <f>'Profit and loss forecast'!M36</f>
        <v>14.777203252032521</v>
      </c>
      <c r="N13" s="237">
        <f>'Profit and loss forecast'!N36</f>
        <v>85.993081300813017</v>
      </c>
      <c r="O13" s="237">
        <f>'Profit and loss forecast'!O36</f>
        <v>699.1007073170731</v>
      </c>
      <c r="P13" s="237">
        <f>'Profit and loss forecast'!P36</f>
        <v>2047.447349593496</v>
      </c>
    </row>
    <row r="14" spans="1:16" x14ac:dyDescent="0.15">
      <c r="A14" s="233" t="s">
        <v>129</v>
      </c>
      <c r="B14" s="237">
        <f>'Profit and loss forecast'!B14+'Profit and loss forecast'!B16+'Profit and loss forecast'!B17+'Profit and loss forecast'!B19+'Profit and loss forecast'!B20+'Profit and loss forecast'!B21+'Profit and loss forecast'!B22+'Profit and loss forecast'!B23+'Profit and loss forecast'!B24+'Profit and loss forecast'!B25+'Profit and loss forecast'!B26+'Profit and loss forecast'!B27+'Profit and loss forecast'!B28+'Profit and loss forecast'!B29+'Profit and loss forecast'!B32+'Profit and loss forecast'!B33+'Profit and loss forecast'!B34+'Profit and loss forecast'!B37</f>
        <v>25366.47</v>
      </c>
      <c r="C14" s="237">
        <f>'Profit and loss forecast'!C14+'Profit and loss forecast'!C16+'Profit and loss forecast'!C17+'Profit and loss forecast'!C19+'Profit and loss forecast'!C20+'Profit and loss forecast'!C21+'Profit and loss forecast'!C22+'Profit and loss forecast'!C23+'Profit and loss forecast'!C24+'Profit and loss forecast'!C25+'Profit and loss forecast'!C26+'Profit and loss forecast'!C27+'Profit and loss forecast'!C28+'Profit and loss forecast'!C29+'Profit and loss forecast'!C32+'Profit and loss forecast'!C33+'Profit and loss forecast'!C34+'Profit and loss forecast'!C37</f>
        <v>665.45</v>
      </c>
      <c r="D14" s="237">
        <f>'Profit and loss forecast'!D14+'Profit and loss forecast'!D16+'Profit and loss forecast'!D17+'Profit and loss forecast'!D19+'Profit and loss forecast'!D20+'Profit and loss forecast'!D21+'Profit and loss forecast'!D22+'Profit and loss forecast'!D23+'Profit and loss forecast'!D24+'Profit and loss forecast'!D25+'Profit and loss forecast'!D26+'Profit and loss forecast'!D27+'Profit and loss forecast'!D28+'Profit and loss forecast'!D29+'Profit and loss forecast'!D32+'Profit and loss forecast'!D33+'Profit and loss forecast'!D34+'Profit and loss forecast'!D37</f>
        <v>1177.6300000000001</v>
      </c>
      <c r="E14" s="237">
        <f>'Profit and loss forecast'!E14+'Profit and loss forecast'!E16+'Profit and loss forecast'!E17+'Profit and loss forecast'!E19+'Profit and loss forecast'!E20+'Profit and loss forecast'!E21+'Profit and loss forecast'!E22+'Profit and loss forecast'!E23+'Profit and loss forecast'!E24+'Profit and loss forecast'!E25+'Profit and loss forecast'!E26+'Profit and loss forecast'!E27+'Profit and loss forecast'!E28+'Profit and loss forecast'!E29+'Profit and loss forecast'!E32+'Profit and loss forecast'!E33+'Profit and loss forecast'!E34+'Profit and loss forecast'!E37</f>
        <v>657.78</v>
      </c>
      <c r="F14" s="237">
        <f>'Profit and loss forecast'!F14+'Profit and loss forecast'!F16+'Profit and loss forecast'!F17+'Profit and loss forecast'!F19+'Profit and loss forecast'!F20+'Profit and loss forecast'!F21+'Profit and loss forecast'!F22+'Profit and loss forecast'!F23+'Profit and loss forecast'!F24+'Profit and loss forecast'!F25+'Profit and loss forecast'!F26+'Profit and loss forecast'!F27+'Profit and loss forecast'!F28+'Profit and loss forecast'!F29+'Profit and loss forecast'!F32+'Profit and loss forecast'!F33+'Profit and loss forecast'!F34+'Profit and loss forecast'!F37</f>
        <v>653.91000000000008</v>
      </c>
      <c r="G14" s="237">
        <f>'Profit and loss forecast'!G14+'Profit and loss forecast'!G16+'Profit and loss forecast'!G17+'Profit and loss forecast'!G19+'Profit and loss forecast'!G20+'Profit and loss forecast'!G21+'Profit and loss forecast'!G22+'Profit and loss forecast'!G23+'Profit and loss forecast'!G24+'Profit and loss forecast'!G25+'Profit and loss forecast'!G26+'Profit and loss forecast'!G27+'Profit and loss forecast'!G28+'Profit and loss forecast'!G29+'Profit and loss forecast'!G32+'Profit and loss forecast'!G33+'Profit and loss forecast'!G34+'Profit and loss forecast'!G37</f>
        <v>2650.02</v>
      </c>
      <c r="H14" s="237">
        <f>'Profit and loss forecast'!H14+'Profit and loss forecast'!H16+'Profit and loss forecast'!H17+'Profit and loss forecast'!H19+'Profit and loss forecast'!H20+'Profit and loss forecast'!H21+'Profit and loss forecast'!H22+'Profit and loss forecast'!H23+'Profit and loss forecast'!H24+'Profit and loss forecast'!H25+'Profit and loss forecast'!H26+'Profit and loss forecast'!H27+'Profit and loss forecast'!H28+'Profit and loss forecast'!H29+'Profit and loss forecast'!H32+'Profit and loss forecast'!H33+'Profit and loss forecast'!H34+'Profit and loss forecast'!H37</f>
        <v>646.11</v>
      </c>
      <c r="I14" s="237">
        <f>'Profit and loss forecast'!I14+'Profit and loss forecast'!I16+'Profit and loss forecast'!I17+'Profit and loss forecast'!I19+'Profit and loss forecast'!I20+'Profit and loss forecast'!I21+'Profit and loss forecast'!I22+'Profit and loss forecast'!I23+'Profit and loss forecast'!I24+'Profit and loss forecast'!I25+'Profit and loss forecast'!I26+'Profit and loss forecast'!I27+'Profit and loss forecast'!I28+'Profit and loss forecast'!I29+'Profit and loss forecast'!I32+'Profit and loss forecast'!I33+'Profit and loss forecast'!I34+'Profit and loss forecast'!I37</f>
        <v>642.17000000000007</v>
      </c>
      <c r="J14" s="237">
        <f>'Profit and loss forecast'!J14+'Profit and loss forecast'!J16+'Profit and loss forecast'!J17+'Profit and loss forecast'!J19+'Profit and loss forecast'!J20+'Profit and loss forecast'!J21+'Profit and loss forecast'!J22+'Profit and loss forecast'!J23+'Profit and loss forecast'!J24+'Profit and loss forecast'!J25+'Profit and loss forecast'!J26+'Profit and loss forecast'!J27+'Profit and loss forecast'!J28+'Profit and loss forecast'!J29+'Profit and loss forecast'!J32+'Profit and loss forecast'!J33+'Profit and loss forecast'!J34+'Profit and loss forecast'!J37</f>
        <v>638.21</v>
      </c>
      <c r="K14" s="237">
        <f>'Profit and loss forecast'!K14+'Profit and loss forecast'!K16+'Profit and loss forecast'!K17+'Profit and loss forecast'!K19+'Profit and loss forecast'!K20+'Profit and loss forecast'!K21+'Profit and loss forecast'!K22+'Profit and loss forecast'!K23+'Profit and loss forecast'!K24+'Profit and loss forecast'!K25+'Profit and loss forecast'!K26+'Profit and loss forecast'!K27+'Profit and loss forecast'!K28+'Profit and loss forecast'!K29+'Profit and loss forecast'!K32+'Profit and loss forecast'!K33+'Profit and loss forecast'!K34+'Profit and loss forecast'!K37</f>
        <v>634.23</v>
      </c>
      <c r="L14" s="237">
        <f>'Profit and loss forecast'!L14+'Profit and loss forecast'!L16+'Profit and loss forecast'!L17+'Profit and loss forecast'!L19+'Profit and loss forecast'!L20+'Profit and loss forecast'!L21+'Profit and loss forecast'!L22+'Profit and loss forecast'!L23+'Profit and loss forecast'!L24+'Profit and loss forecast'!L25+'Profit and loss forecast'!L26+'Profit and loss forecast'!L27+'Profit and loss forecast'!L28+'Profit and loss forecast'!L29+'Profit and loss forecast'!L32+'Profit and loss forecast'!L33+'Profit and loss forecast'!L34+'Profit and loss forecast'!L37</f>
        <v>630.22</v>
      </c>
      <c r="M14" s="237">
        <f>'Profit and loss forecast'!M14+'Profit and loss forecast'!M16+'Profit and loss forecast'!M17+'Profit and loss forecast'!M19+'Profit and loss forecast'!M20+'Profit and loss forecast'!M21+'Profit and loss forecast'!M22+'Profit and loss forecast'!M23+'Profit and loss forecast'!M24+'Profit and loss forecast'!M25+'Profit and loss forecast'!M26+'Profit and loss forecast'!M27+'Profit and loss forecast'!M28+'Profit and loss forecast'!M29+'Profit and loss forecast'!M32+'Profit and loss forecast'!M33+'Profit and loss forecast'!M34+'Profit and loss forecast'!M37</f>
        <v>2626.19</v>
      </c>
      <c r="N14" s="237">
        <f>'Profit and loss forecast'!N14+'Profit and loss forecast'!N16+'Profit and loss forecast'!N17+'Profit and loss forecast'!N19+'Profit and loss forecast'!N20+'Profit and loss forecast'!N21+'Profit and loss forecast'!N22+'Profit and loss forecast'!N23+'Profit and loss forecast'!N24+'Profit and loss forecast'!N25+'Profit and loss forecast'!N26+'Profit and loss forecast'!N27+'Profit and loss forecast'!N28+'Profit and loss forecast'!N29+'Profit and loss forecast'!N32+'Profit and loss forecast'!N33+'Profit and loss forecast'!N34+'Profit and loss forecast'!N37</f>
        <v>36988.39</v>
      </c>
      <c r="O14" s="237">
        <f>'Profit and loss forecast'!O14+'Profit and loss forecast'!O16+'Profit and loss forecast'!O17+'Profit and loss forecast'!O19+'Profit and loss forecast'!O20+'Profit and loss forecast'!O21+'Profit and loss forecast'!O22+'Profit and loss forecast'!O23+'Profit and loss forecast'!O24+'Profit and loss forecast'!O25+'Profit and loss forecast'!O26+'Profit and loss forecast'!O27+'Profit and loss forecast'!O28+'Profit and loss forecast'!O29+'Profit and loss forecast'!O32+'Profit and loss forecast'!O33+'Profit and loss forecast'!O34+'Profit and loss forecast'!O37</f>
        <v>36020.400000000001</v>
      </c>
      <c r="P14" s="237">
        <f>'Profit and loss forecast'!P14+'Profit and loss forecast'!P16+'Profit and loss forecast'!P17+'Profit and loss forecast'!P19+'Profit and loss forecast'!P20+'Profit and loss forecast'!P21+'Profit and loss forecast'!P22+'Profit and loss forecast'!P23+'Profit and loss forecast'!P24+'Profit and loss forecast'!P25+'Profit and loss forecast'!P26+'Profit and loss forecast'!P27+'Profit and loss forecast'!P28+'Profit and loss forecast'!P29+'Profit and loss forecast'!P32+'Profit and loss forecast'!P33+'Profit and loss forecast'!P34+'Profit and loss forecast'!P37</f>
        <v>37113.89</v>
      </c>
    </row>
    <row r="15" spans="1:16" s="129" customFormat="1" x14ac:dyDescent="0.15">
      <c r="A15" s="236" t="s">
        <v>130</v>
      </c>
      <c r="B15" s="238">
        <f>'Profit and loss forecast'!B46</f>
        <v>-34413.270000000004</v>
      </c>
      <c r="C15" s="238">
        <f>'Profit and loss forecast'!C46</f>
        <v>-13644.583333333332</v>
      </c>
      <c r="D15" s="238">
        <f>'Profit and loss forecast'!D46</f>
        <v>-10757.763333333332</v>
      </c>
      <c r="E15" s="238">
        <f>'Profit and loss forecast'!E46</f>
        <v>-10237.913333333332</v>
      </c>
      <c r="F15" s="238">
        <f>'Profit and loss forecast'!F46</f>
        <v>-10234.043333333333</v>
      </c>
      <c r="G15" s="238">
        <f>'Profit and loss forecast'!G46</f>
        <v>-10732.839451572359</v>
      </c>
      <c r="H15" s="238">
        <f>'Profit and loss forecast'!H46</f>
        <v>-8724.9601503138201</v>
      </c>
      <c r="I15" s="238">
        <f>'Profit and loss forecast'!I46</f>
        <v>-8718.1042747186966</v>
      </c>
      <c r="J15" s="238">
        <f>'Profit and loss forecast'!J46</f>
        <v>-8706.4961912504059</v>
      </c>
      <c r="K15" s="238">
        <f>'Profit and loss forecast'!K46</f>
        <v>-8696.323831045529</v>
      </c>
      <c r="L15" s="238">
        <f>'Profit and loss forecast'!L46</f>
        <v>-13682.99845336748</v>
      </c>
      <c r="M15" s="238">
        <f>'Profit and loss forecast'!M46</f>
        <v>-10672.717989352846</v>
      </c>
      <c r="N15" s="238">
        <f>'Profit and loss forecast'!N46</f>
        <v>-149222.01367495448</v>
      </c>
      <c r="O15" s="238">
        <f>'Profit and loss forecast'!O46</f>
        <v>-57480.986329715553</v>
      </c>
      <c r="P15" s="238">
        <f>'Profit and loss forecast'!P46</f>
        <v>357224.62421506317</v>
      </c>
    </row>
    <row r="16" spans="1:16" x14ac:dyDescent="0.15">
      <c r="A16" s="233" t="s">
        <v>131</v>
      </c>
      <c r="B16" s="237">
        <f>'Profit and loss forecast'!B48</f>
        <v>0</v>
      </c>
      <c r="C16" s="237">
        <f>'Profit and loss forecast'!C48</f>
        <v>0</v>
      </c>
      <c r="D16" s="237">
        <f>'Profit and loss forecast'!D48</f>
        <v>0</v>
      </c>
      <c r="E16" s="237">
        <f>'Profit and loss forecast'!E48</f>
        <v>0</v>
      </c>
      <c r="F16" s="237">
        <f>'Profit and loss forecast'!F48</f>
        <v>0</v>
      </c>
      <c r="G16" s="237">
        <f>'Profit and loss forecast'!G48</f>
        <v>0</v>
      </c>
      <c r="H16" s="237">
        <f>'Profit and loss forecast'!H48</f>
        <v>0</v>
      </c>
      <c r="I16" s="237">
        <f>'Profit and loss forecast'!I48</f>
        <v>0</v>
      </c>
      <c r="J16" s="237">
        <f>'Profit and loss forecast'!J48</f>
        <v>0</v>
      </c>
      <c r="K16" s="237">
        <f>'Profit and loss forecast'!K48</f>
        <v>0</v>
      </c>
      <c r="L16" s="237">
        <f>'Profit and loss forecast'!L48</f>
        <v>0</v>
      </c>
      <c r="M16" s="237">
        <f>'Profit and loss forecast'!M48</f>
        <v>0</v>
      </c>
      <c r="N16" s="237">
        <f>'Profit and loss forecast'!N48</f>
        <v>0</v>
      </c>
      <c r="O16" s="237">
        <f>'Profit and loss forecast'!O48</f>
        <v>0</v>
      </c>
      <c r="P16" s="237">
        <f>'Profit and loss forecast'!P48</f>
        <v>44653.078026882897</v>
      </c>
    </row>
    <row r="17" spans="1:16" x14ac:dyDescent="0.15">
      <c r="A17" s="233" t="s">
        <v>109</v>
      </c>
      <c r="B17" s="237">
        <f>'Profit and loss forecast'!B49</f>
        <v>-34413.270000000004</v>
      </c>
      <c r="C17" s="237">
        <f>'Profit and loss forecast'!C49</f>
        <v>-13644.583333333332</v>
      </c>
      <c r="D17" s="237">
        <f>'Profit and loss forecast'!D49</f>
        <v>-10757.763333333332</v>
      </c>
      <c r="E17" s="237">
        <f>'Profit and loss forecast'!E49</f>
        <v>-10237.913333333332</v>
      </c>
      <c r="F17" s="237">
        <f>'Profit and loss forecast'!F49</f>
        <v>-10234.043333333333</v>
      </c>
      <c r="G17" s="237">
        <f>'Profit and loss forecast'!G49</f>
        <v>-10732.839451572359</v>
      </c>
      <c r="H17" s="237">
        <f>'Profit and loss forecast'!H49</f>
        <v>-8724.9601503138201</v>
      </c>
      <c r="I17" s="237">
        <f>'Profit and loss forecast'!I49</f>
        <v>-8718.1042747186966</v>
      </c>
      <c r="J17" s="237">
        <f>'Profit and loss forecast'!J49</f>
        <v>-8706.4961912504059</v>
      </c>
      <c r="K17" s="237">
        <f>'Profit and loss forecast'!K49</f>
        <v>-8696.323831045529</v>
      </c>
      <c r="L17" s="237">
        <f>'Profit and loss forecast'!L49</f>
        <v>-13682.99845336748</v>
      </c>
      <c r="M17" s="237">
        <f>'Profit and loss forecast'!M49</f>
        <v>-10672.717989352846</v>
      </c>
      <c r="N17" s="237">
        <f>'Profit and loss forecast'!N49</f>
        <v>-149222.01367495451</v>
      </c>
      <c r="O17" s="237">
        <f>'Profit and loss forecast'!O49</f>
        <v>-57480.986329715553</v>
      </c>
      <c r="P17" s="237">
        <f>'Profit and loss forecast'!P49</f>
        <v>312571.54618818028</v>
      </c>
    </row>
  </sheetData>
  <pageMargins left="0.7" right="0.7" top="0.75" bottom="0.75" header="0.3" footer="0.3"/>
  <legacyDrawing r:id="rId1"/>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D6BEE88-E2F1-2B49-81BA-2C0CEC6C193C}">
  <dimension ref="A1:P40"/>
  <sheetViews>
    <sheetView showGridLines="0" zoomScale="150" workbookViewId="0">
      <selection activeCell="O30" sqref="O30"/>
    </sheetView>
  </sheetViews>
  <sheetFormatPr baseColWidth="10" defaultColWidth="10.83203125" defaultRowHeight="13" x14ac:dyDescent="0.15"/>
  <cols>
    <col min="1" max="1" width="23.6640625" bestFit="1" customWidth="1"/>
    <col min="14" max="14" width="10.1640625" bestFit="1" customWidth="1"/>
    <col min="15" max="15" width="26" bestFit="1" customWidth="1"/>
    <col min="16" max="16" width="26.5" bestFit="1" customWidth="1"/>
  </cols>
  <sheetData>
    <row r="1" spans="1:16" ht="16" x14ac:dyDescent="0.15">
      <c r="A1" s="25" t="s">
        <v>12</v>
      </c>
      <c r="B1" s="142"/>
      <c r="C1" s="142"/>
      <c r="D1" s="142"/>
      <c r="E1" s="142"/>
      <c r="F1" s="142"/>
      <c r="G1" s="142"/>
      <c r="H1" s="142"/>
      <c r="I1" s="142"/>
      <c r="J1" s="142"/>
      <c r="K1" s="142"/>
      <c r="L1" s="142"/>
      <c r="M1" s="142"/>
      <c r="N1" s="142"/>
      <c r="O1" s="25" t="s">
        <v>132</v>
      </c>
      <c r="P1" s="25" t="s">
        <v>133</v>
      </c>
    </row>
    <row r="2" spans="1:16" x14ac:dyDescent="0.15">
      <c r="A2" s="142"/>
      <c r="B2" s="142"/>
      <c r="C2" s="142"/>
      <c r="D2" s="142"/>
      <c r="E2" s="142"/>
      <c r="F2" s="142"/>
      <c r="G2" s="142"/>
      <c r="H2" s="142"/>
      <c r="I2" s="142"/>
      <c r="J2" s="142"/>
      <c r="K2" s="142"/>
      <c r="L2" s="142"/>
      <c r="M2" s="142"/>
      <c r="N2" s="142"/>
      <c r="O2" s="142"/>
      <c r="P2" s="142"/>
    </row>
    <row r="3" spans="1:16" x14ac:dyDescent="0.15">
      <c r="A3" s="254"/>
      <c r="B3" s="140">
        <f>'How to use this template'!C4</f>
        <v>45658</v>
      </c>
      <c r="C3" s="140">
        <f t="shared" ref="C3:M3" si="0">DATE(YEAR(B3),MONTH(B3)+1,DAY(B3))</f>
        <v>45689</v>
      </c>
      <c r="D3" s="140">
        <f t="shared" si="0"/>
        <v>45717</v>
      </c>
      <c r="E3" s="140">
        <f t="shared" si="0"/>
        <v>45748</v>
      </c>
      <c r="F3" s="140">
        <f t="shared" si="0"/>
        <v>45778</v>
      </c>
      <c r="G3" s="140">
        <f t="shared" si="0"/>
        <v>45809</v>
      </c>
      <c r="H3" s="140">
        <f t="shared" si="0"/>
        <v>45839</v>
      </c>
      <c r="I3" s="140">
        <f t="shared" si="0"/>
        <v>45870</v>
      </c>
      <c r="J3" s="140">
        <f t="shared" si="0"/>
        <v>45901</v>
      </c>
      <c r="K3" s="140">
        <f t="shared" si="0"/>
        <v>45931</v>
      </c>
      <c r="L3" s="140">
        <f t="shared" si="0"/>
        <v>45962</v>
      </c>
      <c r="M3" s="140">
        <f t="shared" si="0"/>
        <v>45992</v>
      </c>
      <c r="N3" s="140" t="s">
        <v>70</v>
      </c>
      <c r="O3" s="140" t="s">
        <v>70</v>
      </c>
      <c r="P3" s="140" t="s">
        <v>70</v>
      </c>
    </row>
    <row r="4" spans="1:16" x14ac:dyDescent="0.15">
      <c r="A4" s="142" t="s">
        <v>134</v>
      </c>
      <c r="B4" s="145">
        <v>300000</v>
      </c>
      <c r="C4" s="177">
        <f t="shared" ref="C4:M4" si="1">B25</f>
        <v>232939.78</v>
      </c>
      <c r="D4" s="177">
        <f t="shared" si="1"/>
        <v>219177.78</v>
      </c>
      <c r="E4" s="177">
        <f t="shared" si="1"/>
        <v>208298.78</v>
      </c>
      <c r="F4" s="177">
        <f t="shared" si="1"/>
        <v>197935.78</v>
      </c>
      <c r="G4" s="177">
        <f t="shared" si="1"/>
        <v>95307.705000000002</v>
      </c>
      <c r="H4" s="177">
        <f t="shared" si="1"/>
        <v>95223.219659199996</v>
      </c>
      <c r="I4" s="177">
        <f t="shared" si="1"/>
        <v>95534.872053398372</v>
      </c>
      <c r="J4" s="177">
        <f t="shared" si="1"/>
        <v>98907.83344859838</v>
      </c>
      <c r="K4" s="177">
        <f t="shared" si="1"/>
        <v>98022.01226527481</v>
      </c>
      <c r="L4" s="177">
        <f t="shared" si="1"/>
        <v>103094.60186207481</v>
      </c>
      <c r="M4" s="177">
        <f t="shared" si="1"/>
        <v>98329.429843056918</v>
      </c>
      <c r="N4" s="177"/>
      <c r="O4" s="178">
        <f>M25</f>
        <v>103338.59923825692</v>
      </c>
      <c r="P4" s="168">
        <f>O25</f>
        <v>458666.35920508602</v>
      </c>
    </row>
    <row r="5" spans="1:16" x14ac:dyDescent="0.15">
      <c r="A5" s="141" t="s">
        <v>135</v>
      </c>
      <c r="B5" s="177"/>
      <c r="C5" s="177"/>
      <c r="D5" s="177"/>
      <c r="E5" s="177"/>
      <c r="F5" s="177"/>
      <c r="G5" s="177"/>
      <c r="H5" s="177"/>
      <c r="I5" s="177"/>
      <c r="J5" s="177"/>
      <c r="K5" s="177"/>
      <c r="L5" s="177"/>
      <c r="M5" s="177"/>
      <c r="N5" s="177"/>
      <c r="O5" s="177"/>
      <c r="P5" s="177"/>
    </row>
    <row r="6" spans="1:16" x14ac:dyDescent="0.15">
      <c r="A6" s="142" t="s">
        <v>136</v>
      </c>
      <c r="B6" s="145">
        <f>'Profit and loss forecast'!B49</f>
        <v>-34413.270000000004</v>
      </c>
      <c r="C6" s="145">
        <f>'Profit and loss forecast'!C49</f>
        <v>-13644.583333333332</v>
      </c>
      <c r="D6" s="145">
        <f>'Profit and loss forecast'!D49</f>
        <v>-10757.763333333332</v>
      </c>
      <c r="E6" s="145">
        <f>'Profit and loss forecast'!E49</f>
        <v>-10237.913333333332</v>
      </c>
      <c r="F6" s="145">
        <f>'Profit and loss forecast'!F49</f>
        <v>-10234.043333333333</v>
      </c>
      <c r="G6" s="145">
        <f>'Profit and loss forecast'!G49</f>
        <v>-10732.839451572359</v>
      </c>
      <c r="H6" s="145">
        <f>'Profit and loss forecast'!H49</f>
        <v>-8724.9601503138201</v>
      </c>
      <c r="I6" s="145">
        <f>'Profit and loss forecast'!I49</f>
        <v>-8718.1042747186966</v>
      </c>
      <c r="J6" s="145">
        <f>'Profit and loss forecast'!J49</f>
        <v>-8706.4961912504059</v>
      </c>
      <c r="K6" s="145">
        <f>'Profit and loss forecast'!K49</f>
        <v>-8696.323831045529</v>
      </c>
      <c r="L6" s="145">
        <f>'Profit and loss forecast'!L49</f>
        <v>-13682.99845336748</v>
      </c>
      <c r="M6" s="145">
        <f>'Profit and loss forecast'!M49</f>
        <v>-10672.717989352846</v>
      </c>
      <c r="N6" s="177">
        <f>B6+C6+D6+E6+F6+G6+H6+I6+J6+K6+L6+M6</f>
        <v>-149222.01367495451</v>
      </c>
      <c r="O6" s="178">
        <f>'Profit and loss forecast'!O49</f>
        <v>-57480.986329715553</v>
      </c>
      <c r="P6" s="168">
        <f>'Profit and loss forecast'!P49</f>
        <v>312571.54618818028</v>
      </c>
    </row>
    <row r="7" spans="1:16" x14ac:dyDescent="0.15">
      <c r="A7" s="143" t="s">
        <v>137</v>
      </c>
      <c r="B7" s="177"/>
      <c r="C7" s="177"/>
      <c r="D7" s="177"/>
      <c r="E7" s="177"/>
      <c r="F7" s="177"/>
      <c r="G7" s="177"/>
      <c r="H7" s="177"/>
      <c r="I7" s="177"/>
      <c r="J7" s="177"/>
      <c r="K7" s="177"/>
      <c r="L7" s="177"/>
      <c r="M7" s="177"/>
      <c r="N7" s="177"/>
      <c r="O7" s="177"/>
      <c r="P7" s="177"/>
    </row>
    <row r="8" spans="1:16" x14ac:dyDescent="0.15">
      <c r="A8" s="144" t="s">
        <v>138</v>
      </c>
      <c r="B8" s="145">
        <f>'Profit and loss forecast'!B18</f>
        <v>0</v>
      </c>
      <c r="C8" s="145">
        <f>'Profit and loss forecast'!C18</f>
        <v>533.33333333333337</v>
      </c>
      <c r="D8" s="145">
        <f>'Profit and loss forecast'!D18</f>
        <v>533.33333333333337</v>
      </c>
      <c r="E8" s="145">
        <f>'Profit and loss forecast'!E18</f>
        <v>533.33333333333337</v>
      </c>
      <c r="F8" s="145">
        <f>'Profit and loss forecast'!F18</f>
        <v>533.33333333333337</v>
      </c>
      <c r="G8" s="145">
        <f>'Profit and loss forecast'!G18</f>
        <v>533.33333333333337</v>
      </c>
      <c r="H8" s="145">
        <f>'Profit and loss forecast'!H18</f>
        <v>533.33333333333337</v>
      </c>
      <c r="I8" s="145">
        <f>'Profit and loss forecast'!I18</f>
        <v>533.33333333333337</v>
      </c>
      <c r="J8" s="145">
        <f>'Profit and loss forecast'!J18</f>
        <v>533.33333333333337</v>
      </c>
      <c r="K8" s="145">
        <f>'Profit and loss forecast'!K18</f>
        <v>533.33333333333337</v>
      </c>
      <c r="L8" s="145">
        <f>'Profit and loss forecast'!L18</f>
        <v>533.33333333333337</v>
      </c>
      <c r="M8" s="145">
        <f>'Profit and loss forecast'!M18</f>
        <v>533.33333333333337</v>
      </c>
      <c r="N8" s="177">
        <f>B8+C8+D8+E8+F8+G8+H8+I8+J8+K8+L8+M8</f>
        <v>5866.6666666666661</v>
      </c>
      <c r="O8" s="145">
        <f>'Profit and loss forecast'!O18</f>
        <v>6399.9999999999991</v>
      </c>
      <c r="P8" s="223">
        <f>'Profit and loss forecast'!P18</f>
        <v>6399.9999999999991</v>
      </c>
    </row>
    <row r="9" spans="1:16" x14ac:dyDescent="0.15">
      <c r="A9" s="144" t="s">
        <v>139</v>
      </c>
      <c r="B9" s="179">
        <v>0</v>
      </c>
      <c r="C9" s="179">
        <v>0</v>
      </c>
      <c r="D9" s="179">
        <v>0</v>
      </c>
      <c r="E9" s="179">
        <v>0</v>
      </c>
      <c r="F9" s="179">
        <v>0</v>
      </c>
      <c r="G9" s="179">
        <v>0</v>
      </c>
      <c r="H9" s="179">
        <v>0</v>
      </c>
      <c r="I9" s="179">
        <v>0</v>
      </c>
      <c r="J9" s="179">
        <v>0</v>
      </c>
      <c r="K9" s="179">
        <v>0</v>
      </c>
      <c r="L9" s="179">
        <v>0</v>
      </c>
      <c r="M9" s="179">
        <v>0</v>
      </c>
      <c r="N9" s="177"/>
      <c r="O9" s="178">
        <v>0</v>
      </c>
      <c r="P9" s="168">
        <v>0</v>
      </c>
    </row>
    <row r="10" spans="1:16" x14ac:dyDescent="0.15">
      <c r="A10" s="144" t="s">
        <v>140</v>
      </c>
      <c r="B10" s="179">
        <v>0</v>
      </c>
      <c r="C10" s="179">
        <v>0</v>
      </c>
      <c r="D10" s="179">
        <v>0</v>
      </c>
      <c r="E10" s="179">
        <v>0</v>
      </c>
      <c r="F10" s="179">
        <v>0</v>
      </c>
      <c r="G10" s="179">
        <v>0</v>
      </c>
      <c r="H10" s="179">
        <v>0</v>
      </c>
      <c r="I10" s="179">
        <v>0</v>
      </c>
      <c r="J10" s="179">
        <v>0</v>
      </c>
      <c r="K10" s="179">
        <v>0</v>
      </c>
      <c r="L10" s="179">
        <v>0</v>
      </c>
      <c r="M10" s="179">
        <v>0</v>
      </c>
      <c r="N10" s="177"/>
      <c r="O10" s="178">
        <v>0</v>
      </c>
      <c r="P10" s="168">
        <v>0</v>
      </c>
    </row>
    <row r="11" spans="1:16" x14ac:dyDescent="0.15">
      <c r="A11" s="144" t="s">
        <v>141</v>
      </c>
      <c r="B11" s="179">
        <f>'Profit and loss forecast'!B10*0.23</f>
        <v>0</v>
      </c>
      <c r="C11" s="179">
        <f>'Profit and loss forecast'!C10*0.23</f>
        <v>0</v>
      </c>
      <c r="D11" s="179">
        <f>'Profit and loss forecast'!D10*0.23</f>
        <v>0</v>
      </c>
      <c r="E11" s="179">
        <f>'Profit and loss forecast'!E10*0.23</f>
        <v>0</v>
      </c>
      <c r="F11" s="179">
        <f>'Profit and loss forecast'!F10*0.23</f>
        <v>0</v>
      </c>
      <c r="G11" s="179">
        <f>'Profit and loss forecast'!G10*0.23</f>
        <v>2313.5101626016262</v>
      </c>
      <c r="H11" s="179">
        <f>'Profit and loss forecast'!H10*0.23</f>
        <v>2464.9399186991873</v>
      </c>
      <c r="I11" s="179">
        <f>'Profit and loss forecast'!I10*0.23</f>
        <v>2624.7824390243904</v>
      </c>
      <c r="J11" s="179">
        <f>'Profit and loss forecast'!J10*0.23</f>
        <v>2801.4504878048783</v>
      </c>
      <c r="K11" s="179">
        <f>'Profit and loss forecast'!K10*0.23</f>
        <v>2986.5313008130083</v>
      </c>
      <c r="L11" s="179">
        <f>'Profit and loss forecast'!L10*0.23</f>
        <v>3188.437642276423</v>
      </c>
      <c r="M11" s="179">
        <f>'Profit and loss forecast'!M10*0.23</f>
        <v>3398.7567479674799</v>
      </c>
      <c r="N11" s="177"/>
      <c r="O11" s="178">
        <f>'Profit and loss forecast'!O10*0.23</f>
        <v>183865.50983739836</v>
      </c>
      <c r="P11" s="168">
        <f>'Profit and loss forecast'!P10*0.23</f>
        <v>600948.44030894316</v>
      </c>
    </row>
    <row r="12" spans="1:16" x14ac:dyDescent="0.15">
      <c r="A12" s="144" t="s">
        <v>142</v>
      </c>
      <c r="B12" s="179">
        <f>'Profit and loss forecast'!B36</f>
        <v>0</v>
      </c>
      <c r="C12" s="179">
        <f>'Profit and loss forecast'!C36</f>
        <v>0</v>
      </c>
      <c r="D12" s="179">
        <f>'Profit and loss forecast'!D36</f>
        <v>0</v>
      </c>
      <c r="E12" s="179">
        <f>'Profit and loss forecast'!E36</f>
        <v>0</v>
      </c>
      <c r="F12" s="179">
        <f>'Profit and loss forecast'!F36</f>
        <v>0</v>
      </c>
      <c r="G12" s="179">
        <f>'Profit and loss forecast'!G36</f>
        <v>10.058739837398374</v>
      </c>
      <c r="H12" s="179">
        <f>'Profit and loss forecast'!H36</f>
        <v>10.717130081300812</v>
      </c>
      <c r="I12" s="179">
        <f>'Profit and loss forecast'!I36</f>
        <v>11.41209756097561</v>
      </c>
      <c r="J12" s="179">
        <f>'Profit and loss forecast'!J36</f>
        <v>12.180219512195123</v>
      </c>
      <c r="K12" s="179">
        <f>'Profit and loss forecast'!K36</f>
        <v>12.984918699186991</v>
      </c>
      <c r="L12" s="179">
        <f>'Profit and loss forecast'!L36</f>
        <v>13.862772357723578</v>
      </c>
      <c r="M12" s="179">
        <f>'Profit and loss forecast'!M36</f>
        <v>14.777203252032521</v>
      </c>
      <c r="N12" s="177"/>
      <c r="O12" s="178">
        <f>'Profit and loss forecast'!O36</f>
        <v>699.1007073170731</v>
      </c>
      <c r="P12" s="168">
        <f>'Profit and loss forecast'!P36</f>
        <v>2047.447349593496</v>
      </c>
    </row>
    <row r="13" spans="1:16" x14ac:dyDescent="0.15">
      <c r="A13" s="144" t="s">
        <v>143</v>
      </c>
      <c r="B13" s="179">
        <f>'Profit and loss forecast'!B11-'Sales Forecast CAGR'!T2</f>
        <v>0</v>
      </c>
      <c r="C13" s="179">
        <f>'Profit and loss forecast'!C11-'Sales Forecast CAGR'!T3</f>
        <v>0</v>
      </c>
      <c r="D13" s="179">
        <f>'Profit and loss forecast'!D11-'Sales Forecast CAGR'!T4</f>
        <v>0</v>
      </c>
      <c r="E13" s="179">
        <f>'Profit and loss forecast'!E11-'Sales Forecast CAGR'!T5</f>
        <v>0</v>
      </c>
      <c r="F13" s="179">
        <f>'Profit and loss forecast'!F11-'Sales Forecast CAGR'!T6</f>
        <v>0</v>
      </c>
      <c r="G13" s="179">
        <f>'Profit and loss forecast'!G11-'Sales Forecast CAGR'!T7</f>
        <v>8457.6318750000009</v>
      </c>
      <c r="H13" s="179">
        <f>'Profit and loss forecast'!H11-'Sales Forecast CAGR'!T8</f>
        <v>9011.2223250000006</v>
      </c>
      <c r="I13" s="179">
        <f>'Profit and loss forecast'!I11-'Sales Forecast CAGR'!T9</f>
        <v>9595.5678000000007</v>
      </c>
      <c r="J13" s="179">
        <f>'Profit and loss forecast'!J11-'Sales Forecast CAGR'!T10</f>
        <v>10241.423325000002</v>
      </c>
      <c r="K13" s="179">
        <f>'Profit and loss forecast'!K11-'Sales Forecast CAGR'!T11</f>
        <v>10918.033875000001</v>
      </c>
      <c r="L13" s="179">
        <f>'Profit and loss forecast'!L11-'Sales Forecast CAGR'!T12</f>
        <v>11656.154475000001</v>
      </c>
      <c r="M13" s="179">
        <f>'Profit and loss forecast'!M11-'Sales Forecast CAGR'!T13</f>
        <v>12425.030100000002</v>
      </c>
      <c r="N13" s="177"/>
      <c r="O13" s="179">
        <f>SUM('Sales Forecast CAGR'!D14:D25)</f>
        <v>587820.79282500013</v>
      </c>
      <c r="P13" s="179">
        <f>SUM('Sales Forecast CAGR'!D26:D37)</f>
        <v>1721543.2794000003</v>
      </c>
    </row>
    <row r="14" spans="1:16" x14ac:dyDescent="0.15">
      <c r="A14" s="143" t="s">
        <v>144</v>
      </c>
      <c r="B14" s="177"/>
      <c r="C14" s="177"/>
      <c r="D14" s="177"/>
      <c r="E14" s="177"/>
      <c r="F14" s="177"/>
      <c r="G14" s="177"/>
      <c r="H14" s="177"/>
      <c r="I14" s="177"/>
      <c r="J14" s="177"/>
      <c r="K14" s="177"/>
      <c r="L14" s="177"/>
      <c r="M14" s="177"/>
      <c r="N14" s="177">
        <f>B14+C14+D14+E14+F14+G14+H14+I14+J14+K14+L14+M14</f>
        <v>0</v>
      </c>
      <c r="O14" s="177"/>
      <c r="P14" s="211">
        <f t="shared" ref="P14" si="2">SUM(P15:P18)</f>
        <v>2643510.7132467171</v>
      </c>
    </row>
    <row r="15" spans="1:16" x14ac:dyDescent="0.15">
      <c r="A15" s="144" t="s">
        <v>145</v>
      </c>
      <c r="B15" s="145">
        <v>0</v>
      </c>
      <c r="C15" s="145">
        <v>0</v>
      </c>
      <c r="D15" s="145">
        <v>0</v>
      </c>
      <c r="E15" s="145">
        <v>0</v>
      </c>
      <c r="F15" s="224">
        <f>'Sales Forecast CAGR'!H6</f>
        <v>92265.075000000012</v>
      </c>
      <c r="G15" s="145">
        <v>0</v>
      </c>
      <c r="H15" s="145">
        <v>0</v>
      </c>
      <c r="I15" s="145">
        <v>0</v>
      </c>
      <c r="J15" s="145">
        <v>0</v>
      </c>
      <c r="K15" s="145">
        <v>0</v>
      </c>
      <c r="L15" s="145">
        <v>0</v>
      </c>
      <c r="M15" s="145">
        <v>0</v>
      </c>
      <c r="N15" s="177"/>
      <c r="O15" s="178">
        <f>SUM('Sales Forecast CAGR'!H14,'Sales Forecast CAGR'!H19,'Sales Forecast CAGR'!H25)</f>
        <v>1230201.0000000002</v>
      </c>
      <c r="P15" s="168">
        <f>'Sales Forecast CAGR'!H30+'Sales Forecast CAGR'!H36</f>
        <v>1537751.2500000002</v>
      </c>
    </row>
    <row r="16" spans="1:16" x14ac:dyDescent="0.15">
      <c r="A16" s="144" t="s">
        <v>146</v>
      </c>
      <c r="B16" s="145"/>
      <c r="C16" s="145"/>
      <c r="D16" s="145">
        <f>B11+C11</f>
        <v>0</v>
      </c>
      <c r="E16" s="145"/>
      <c r="F16" s="145">
        <f>D11+E11</f>
        <v>0</v>
      </c>
      <c r="G16" s="145"/>
      <c r="H16" s="145">
        <f>F11+G11</f>
        <v>2313.5101626016262</v>
      </c>
      <c r="I16" s="145"/>
      <c r="J16" s="145">
        <f>H11+I11</f>
        <v>5089.7223577235782</v>
      </c>
      <c r="K16" s="145"/>
      <c r="L16" s="145">
        <f>J11+K11</f>
        <v>5787.9817886178862</v>
      </c>
      <c r="M16" s="145"/>
      <c r="N16" s="177"/>
      <c r="O16" s="178">
        <f>(O11-(SUM('Sales Forecast CAGR'!AB24:AB25)*0.23))+'Balance sheet forecast'!D39</f>
        <v>127172.44707317073</v>
      </c>
      <c r="P16" s="168">
        <f>(P11-(SUM('Sales Forecast CAGR'!AB36:AB37)*0.23))+'Balance sheet forecast'!I39</f>
        <v>537080.24630894314</v>
      </c>
    </row>
    <row r="17" spans="1:16" s="217" customFormat="1" x14ac:dyDescent="0.15">
      <c r="A17" s="146" t="s">
        <v>147</v>
      </c>
      <c r="B17" s="215">
        <f>SUM(B6,B8:B13)-SUM(B15:B16)</f>
        <v>-34413.270000000004</v>
      </c>
      <c r="C17" s="215">
        <f t="shared" ref="C17:M17" si="3">SUM(C6,C8:C13)-SUM(C15:C16)</f>
        <v>-13111.249999999998</v>
      </c>
      <c r="D17" s="215">
        <f t="shared" si="3"/>
        <v>-10224.429999999998</v>
      </c>
      <c r="E17" s="215">
        <f t="shared" si="3"/>
        <v>-9704.5799999999981</v>
      </c>
      <c r="F17" s="215">
        <f t="shared" si="3"/>
        <v>-101965.785</v>
      </c>
      <c r="G17" s="215">
        <f t="shared" si="3"/>
        <v>581.69465919999948</v>
      </c>
      <c r="H17" s="215">
        <f t="shared" si="3"/>
        <v>981.74239419837568</v>
      </c>
      <c r="I17" s="215">
        <f t="shared" si="3"/>
        <v>4046.9913952000034</v>
      </c>
      <c r="J17" s="215">
        <f t="shared" si="3"/>
        <v>-207.83118332357571</v>
      </c>
      <c r="K17" s="215">
        <f t="shared" si="3"/>
        <v>5754.5595967999998</v>
      </c>
      <c r="L17" s="215">
        <f t="shared" si="3"/>
        <v>-4079.1920190178844</v>
      </c>
      <c r="M17" s="215">
        <f t="shared" si="3"/>
        <v>5699.1793952000016</v>
      </c>
      <c r="N17" s="216">
        <f>SUM(B17:M17)</f>
        <v>-156642.17076174307</v>
      </c>
      <c r="O17" s="215">
        <f>SUM(O6,O8:O13)-SUM(O15:O16)</f>
        <v>-636069.03003317094</v>
      </c>
      <c r="P17" s="222">
        <f>SUM(P6,P8:P13)-SUM(P15:P16)</f>
        <v>568679.21693777386</v>
      </c>
    </row>
    <row r="18" spans="1:16" x14ac:dyDescent="0.15">
      <c r="A18" s="141" t="s">
        <v>148</v>
      </c>
      <c r="B18" s="177"/>
      <c r="C18" s="177"/>
      <c r="D18" s="177"/>
      <c r="E18" s="177"/>
      <c r="F18" s="177"/>
      <c r="G18" s="177"/>
      <c r="H18" s="177"/>
      <c r="I18" s="177"/>
      <c r="J18" s="177"/>
      <c r="K18" s="177"/>
      <c r="L18" s="177"/>
      <c r="M18" s="177"/>
      <c r="N18" s="177"/>
      <c r="O18" s="178"/>
      <c r="P18" s="168"/>
    </row>
    <row r="19" spans="1:16" x14ac:dyDescent="0.15">
      <c r="A19" s="144" t="s">
        <v>149</v>
      </c>
      <c r="B19" s="179">
        <f>'Profit and loss forecast'!B38</f>
        <v>-32000</v>
      </c>
      <c r="C19" s="179">
        <f>'Profit and loss forecast'!C38</f>
        <v>0</v>
      </c>
      <c r="D19" s="179">
        <f>'Profit and loss forecast'!D38</f>
        <v>0</v>
      </c>
      <c r="E19" s="179">
        <f>'Profit and loss forecast'!E38</f>
        <v>0</v>
      </c>
      <c r="F19" s="179">
        <f>'Profit and loss forecast'!F38</f>
        <v>0</v>
      </c>
      <c r="G19" s="179">
        <f>'Profit and loss forecast'!G38</f>
        <v>0</v>
      </c>
      <c r="H19" s="179">
        <f>'Profit and loss forecast'!H38</f>
        <v>0</v>
      </c>
      <c r="I19" s="179">
        <f>'Profit and loss forecast'!I38</f>
        <v>0</v>
      </c>
      <c r="J19" s="179">
        <f>'Profit and loss forecast'!J38</f>
        <v>0</v>
      </c>
      <c r="K19" s="179">
        <f>'Profit and loss forecast'!K38</f>
        <v>0</v>
      </c>
      <c r="L19" s="179">
        <f>'Profit and loss forecast'!L38</f>
        <v>0</v>
      </c>
      <c r="M19" s="179">
        <f>'Profit and loss forecast'!M38</f>
        <v>0</v>
      </c>
      <c r="N19" s="177">
        <f>B19+C19+D19+E19+F19+G19+H19+I19+J19+K19+L19+M19</f>
        <v>-32000</v>
      </c>
      <c r="O19" s="179">
        <f>'Profit and loss forecast'!O38</f>
        <v>0</v>
      </c>
      <c r="P19" s="211"/>
    </row>
    <row r="20" spans="1:16" x14ac:dyDescent="0.15">
      <c r="A20" s="141" t="s">
        <v>150</v>
      </c>
      <c r="B20" s="177"/>
      <c r="C20" s="177"/>
      <c r="D20" s="177"/>
      <c r="E20" s="177"/>
      <c r="F20" s="177"/>
      <c r="G20" s="177"/>
      <c r="H20" s="177"/>
      <c r="I20" s="177"/>
      <c r="J20" s="177"/>
      <c r="K20" s="177"/>
      <c r="L20" s="177"/>
      <c r="M20" s="177"/>
      <c r="N20" s="177"/>
      <c r="O20" s="177"/>
      <c r="P20" s="177"/>
    </row>
    <row r="21" spans="1:16" x14ac:dyDescent="0.15">
      <c r="A21" s="144" t="s">
        <v>59</v>
      </c>
      <c r="B21" s="145" cm="1">
        <f t="array" ref="B21:M21">TRANSPOSE('Additional Financial Accounts'!G3:G14)*-1</f>
        <v>-646.95000000000005</v>
      </c>
      <c r="C21" s="145">
        <v>-650.75</v>
      </c>
      <c r="D21" s="145">
        <v>-654.57000000000005</v>
      </c>
      <c r="E21" s="145">
        <v>-658.42000000000007</v>
      </c>
      <c r="F21" s="145">
        <v>-662.29</v>
      </c>
      <c r="G21" s="145">
        <v>-666.18000000000006</v>
      </c>
      <c r="H21" s="145">
        <v>-670.09</v>
      </c>
      <c r="I21" s="145">
        <v>-674.03</v>
      </c>
      <c r="J21" s="145">
        <v>-677.99</v>
      </c>
      <c r="K21" s="145">
        <v>-681.97</v>
      </c>
      <c r="L21" s="145">
        <v>-685.98</v>
      </c>
      <c r="M21" s="145">
        <v>-690.01</v>
      </c>
      <c r="N21" s="177"/>
      <c r="O21" s="178">
        <f>'Additional Financial Accounts'!G26*-1</f>
        <v>-8603.2099999999991</v>
      </c>
      <c r="P21" s="168">
        <f>'Additional Financial Accounts'!G38*-1</f>
        <v>-9229.7199999999993</v>
      </c>
    </row>
    <row r="22" spans="1:16" x14ac:dyDescent="0.15">
      <c r="A22" s="144" t="s">
        <v>151</v>
      </c>
      <c r="B22" s="145">
        <v>0</v>
      </c>
      <c r="C22" s="145">
        <v>0</v>
      </c>
      <c r="D22" s="145">
        <v>0</v>
      </c>
      <c r="E22" s="145">
        <v>0</v>
      </c>
      <c r="F22" s="145">
        <v>0</v>
      </c>
      <c r="G22" s="145">
        <v>0</v>
      </c>
      <c r="H22" s="145">
        <v>0</v>
      </c>
      <c r="I22" s="145">
        <v>0</v>
      </c>
      <c r="J22" s="145">
        <v>0</v>
      </c>
      <c r="K22" s="145">
        <v>0</v>
      </c>
      <c r="L22" s="145">
        <v>0</v>
      </c>
      <c r="M22" s="145">
        <v>0</v>
      </c>
      <c r="N22" s="177"/>
      <c r="O22" s="178">
        <f>'Additional Financial Accounts'!L15</f>
        <v>1000000</v>
      </c>
      <c r="P22" s="168">
        <v>0</v>
      </c>
    </row>
    <row r="23" spans="1:16" x14ac:dyDescent="0.15">
      <c r="A23" s="31" t="s">
        <v>105</v>
      </c>
      <c r="B23" s="177"/>
      <c r="C23" s="177"/>
      <c r="D23" s="177"/>
      <c r="E23" s="177"/>
      <c r="F23" s="177"/>
      <c r="G23" s="177"/>
      <c r="H23" s="177"/>
      <c r="I23" s="177"/>
      <c r="J23" s="177"/>
      <c r="K23" s="177"/>
      <c r="L23" s="177"/>
      <c r="M23" s="177"/>
      <c r="N23" s="180"/>
      <c r="O23" s="177"/>
      <c r="P23" s="177"/>
    </row>
    <row r="24" spans="1:16" x14ac:dyDescent="0.15">
      <c r="A24" s="142" t="s">
        <v>152</v>
      </c>
      <c r="B24" s="177">
        <f>B17+B19+B21</f>
        <v>-67060.22</v>
      </c>
      <c r="C24" s="177">
        <f t="shared" ref="C24:M24" si="4">C17+C19+C21</f>
        <v>-13761.999999999998</v>
      </c>
      <c r="D24" s="177">
        <f t="shared" si="4"/>
        <v>-10878.999999999998</v>
      </c>
      <c r="E24" s="177">
        <f t="shared" si="4"/>
        <v>-10362.999999999998</v>
      </c>
      <c r="F24" s="177">
        <f t="shared" si="4"/>
        <v>-102628.075</v>
      </c>
      <c r="G24" s="177">
        <f t="shared" si="4"/>
        <v>-84.485340800000586</v>
      </c>
      <c r="H24" s="177">
        <f t="shared" si="4"/>
        <v>311.65239419837565</v>
      </c>
      <c r="I24" s="177">
        <f t="shared" si="4"/>
        <v>3372.9613952000036</v>
      </c>
      <c r="J24" s="177">
        <f t="shared" si="4"/>
        <v>-885.82118332357572</v>
      </c>
      <c r="K24" s="177">
        <f t="shared" si="4"/>
        <v>5072.5895967999995</v>
      </c>
      <c r="L24" s="177">
        <f t="shared" si="4"/>
        <v>-4765.1720190178839</v>
      </c>
      <c r="M24" s="177">
        <f t="shared" si="4"/>
        <v>5009.1693952000014</v>
      </c>
      <c r="N24" s="180"/>
      <c r="O24" s="177">
        <f>O17+O19+O21+O22</f>
        <v>355327.75996682909</v>
      </c>
      <c r="P24" s="211">
        <f>P17+P19+P21+P22</f>
        <v>559449.49693777389</v>
      </c>
    </row>
    <row r="25" spans="1:16" x14ac:dyDescent="0.15">
      <c r="A25" s="147" t="s">
        <v>153</v>
      </c>
      <c r="B25" s="148">
        <f t="shared" ref="B25:M25" si="5">IF(ISERR(B4+B24),"",B4+B24)</f>
        <v>232939.78</v>
      </c>
      <c r="C25" s="148">
        <f t="shared" si="5"/>
        <v>219177.78</v>
      </c>
      <c r="D25" s="148">
        <f t="shared" si="5"/>
        <v>208298.78</v>
      </c>
      <c r="E25" s="148">
        <f t="shared" si="5"/>
        <v>197935.78</v>
      </c>
      <c r="F25" s="148">
        <f t="shared" si="5"/>
        <v>95307.705000000002</v>
      </c>
      <c r="G25" s="148">
        <f t="shared" si="5"/>
        <v>95223.219659199996</v>
      </c>
      <c r="H25" s="148">
        <f t="shared" si="5"/>
        <v>95534.872053398372</v>
      </c>
      <c r="I25" s="148">
        <f t="shared" si="5"/>
        <v>98907.83344859838</v>
      </c>
      <c r="J25" s="148">
        <f t="shared" si="5"/>
        <v>98022.01226527481</v>
      </c>
      <c r="K25" s="148">
        <f t="shared" si="5"/>
        <v>103094.60186207481</v>
      </c>
      <c r="L25" s="148">
        <f t="shared" si="5"/>
        <v>98329.429843056918</v>
      </c>
      <c r="M25" s="148">
        <f t="shared" si="5"/>
        <v>103338.59923825692</v>
      </c>
      <c r="N25" s="180"/>
      <c r="O25" s="148">
        <f>IF(ISERR(O4+O24),"",O4+O24)</f>
        <v>458666.35920508602</v>
      </c>
      <c r="P25" s="214">
        <f>IF(ISERR(P4+P24),"",P4+P24)</f>
        <v>1018115.8561428599</v>
      </c>
    </row>
    <row r="26" spans="1:16" x14ac:dyDescent="0.15">
      <c r="O26" s="218"/>
    </row>
    <row r="29" spans="1:16" x14ac:dyDescent="0.15">
      <c r="B29" s="120"/>
      <c r="C29" s="120"/>
    </row>
    <row r="31" spans="1:16" x14ac:dyDescent="0.15">
      <c r="O31" s="218"/>
    </row>
    <row r="40" spans="14:14" x14ac:dyDescent="0.15">
      <c r="N40" s="219"/>
    </row>
  </sheetData>
  <dataValidations count="1">
    <dataValidation allowBlank="1" showInputMessage="1" showErrorMessage="1" sqref="O19:P19 B20:B25 B19:M19 O14:P14 O17:P17 O13 D7:N7 C20:N20 B4:B18 D6:M6 C14:M14 D8:M13 C23:E23 O8:P8 L16:L17 C24:M25 C22:M22 O24:P25 C21:J21 C4:C13 C15:F16 H16:H17 J16:J17 C18:M18 C17:G17 I17 K17 M17" xr:uid="{910FB9C9-BCCF-D940-943A-7062AF2FE326}"/>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P56"/>
  <sheetViews>
    <sheetView topLeftCell="I17" zoomScale="106" workbookViewId="0">
      <selection activeCell="D56" sqref="D56"/>
    </sheetView>
  </sheetViews>
  <sheetFormatPr baseColWidth="10" defaultColWidth="11.5" defaultRowHeight="11" x14ac:dyDescent="0.15"/>
  <cols>
    <col min="1" max="1" width="24.33203125" style="29" bestFit="1" customWidth="1"/>
    <col min="2" max="2" width="15.1640625" style="29" customWidth="1"/>
    <col min="3" max="3" width="17.5" style="29" customWidth="1"/>
    <col min="4" max="4" width="26" style="213" customWidth="1"/>
    <col min="5" max="5" width="11.5" style="29"/>
    <col min="6" max="6" width="24.33203125" style="29" bestFit="1" customWidth="1"/>
    <col min="7" max="7" width="9.83203125" style="29" bestFit="1" customWidth="1"/>
    <col min="8" max="8" width="17.5" style="29" customWidth="1"/>
    <col min="9" max="9" width="26" style="30" customWidth="1"/>
    <col min="10" max="10" width="11.5" style="29"/>
    <col min="11" max="11" width="24.33203125" style="29" bestFit="1" customWidth="1"/>
    <col min="12" max="12" width="9.83203125" style="29" bestFit="1" customWidth="1"/>
    <col min="13" max="13" width="17.5" style="29" customWidth="1"/>
    <col min="14" max="14" width="26" style="30" customWidth="1"/>
    <col min="15" max="16384" width="11.5" style="29"/>
  </cols>
  <sheetData>
    <row r="1" spans="1:14" ht="16" x14ac:dyDescent="0.15">
      <c r="A1" s="25" t="s">
        <v>154</v>
      </c>
      <c r="B1" s="25"/>
      <c r="C1" s="25"/>
      <c r="D1" s="210"/>
      <c r="E1" s="181"/>
      <c r="F1" s="25" t="s">
        <v>154</v>
      </c>
      <c r="G1" s="25" t="s">
        <v>113</v>
      </c>
      <c r="H1" s="25"/>
      <c r="I1" s="26"/>
      <c r="J1" s="181"/>
      <c r="K1" s="25" t="s">
        <v>154</v>
      </c>
      <c r="L1" s="25" t="s">
        <v>114</v>
      </c>
      <c r="M1" s="25"/>
      <c r="N1" s="26"/>
    </row>
    <row r="2" spans="1:14" ht="16.5" customHeight="1" x14ac:dyDescent="0.15">
      <c r="A2" s="182" t="s">
        <v>155</v>
      </c>
      <c r="B2" s="183">
        <f>'Profit and loss forecast'!M3</f>
        <v>45992</v>
      </c>
      <c r="C2" s="182"/>
      <c r="D2" s="211"/>
      <c r="E2" s="181"/>
      <c r="F2" s="182" t="s">
        <v>155</v>
      </c>
      <c r="G2" s="183"/>
      <c r="H2" s="182"/>
      <c r="I2" s="142"/>
      <c r="J2" s="181"/>
      <c r="K2" s="182" t="s">
        <v>155</v>
      </c>
      <c r="L2" s="183"/>
      <c r="M2" s="182"/>
      <c r="N2" s="142"/>
    </row>
    <row r="3" spans="1:14" ht="24" customHeight="1" x14ac:dyDescent="0.15">
      <c r="A3" s="28" t="s">
        <v>156</v>
      </c>
      <c r="B3" s="31"/>
      <c r="C3" s="31"/>
      <c r="D3" s="211"/>
      <c r="E3" s="181"/>
      <c r="F3" s="28" t="s">
        <v>156</v>
      </c>
      <c r="G3" s="31"/>
      <c r="H3" s="31"/>
      <c r="I3" s="142"/>
      <c r="J3" s="181"/>
      <c r="K3" s="28" t="s">
        <v>156</v>
      </c>
      <c r="L3" s="31"/>
      <c r="M3" s="31"/>
      <c r="N3" s="142"/>
    </row>
    <row r="4" spans="1:14" x14ac:dyDescent="0.15">
      <c r="A4" s="184" t="s">
        <v>157</v>
      </c>
      <c r="B4" s="184"/>
      <c r="C4" s="184"/>
      <c r="D4" s="203">
        <f>SUM(D5:D16)</f>
        <v>123298.61046325692</v>
      </c>
      <c r="E4" s="181"/>
      <c r="F4" s="184" t="s">
        <v>157</v>
      </c>
      <c r="G4" s="184"/>
      <c r="H4" s="184"/>
      <c r="I4" s="203">
        <f>SUM(I5:I16)</f>
        <v>1121006.5776050861</v>
      </c>
      <c r="J4" s="181"/>
      <c r="K4" s="184" t="s">
        <v>157</v>
      </c>
      <c r="L4" s="184"/>
      <c r="M4" s="184"/>
      <c r="N4" s="203">
        <f>SUM(N5:N16)</f>
        <v>1496664.0451428599</v>
      </c>
    </row>
    <row r="5" spans="1:14" x14ac:dyDescent="0.15">
      <c r="A5" s="185" t="s">
        <v>158</v>
      </c>
      <c r="B5" s="185"/>
      <c r="C5" s="185"/>
      <c r="D5" s="204">
        <f>'Cash Flow'!M25</f>
        <v>103338.59923825692</v>
      </c>
      <c r="E5" s="181"/>
      <c r="F5" s="185" t="s">
        <v>158</v>
      </c>
      <c r="G5" s="185"/>
      <c r="H5" s="185"/>
      <c r="I5" s="204">
        <f>'Cash Flow'!O25</f>
        <v>458666.35920508602</v>
      </c>
      <c r="J5" s="181"/>
      <c r="K5" s="185" t="s">
        <v>158</v>
      </c>
      <c r="L5" s="185"/>
      <c r="M5" s="185"/>
      <c r="N5" s="204">
        <f>'Cash Flow'!P25</f>
        <v>1018115.8561428599</v>
      </c>
    </row>
    <row r="6" spans="1:14" x14ac:dyDescent="0.15">
      <c r="A6" s="185" t="s">
        <v>159</v>
      </c>
      <c r="B6" s="185"/>
      <c r="C6" s="185"/>
      <c r="D6" s="204"/>
      <c r="E6" s="181"/>
      <c r="F6" s="185" t="s">
        <v>159</v>
      </c>
      <c r="G6" s="185"/>
      <c r="H6" s="185"/>
      <c r="I6" s="204"/>
      <c r="J6" s="181"/>
      <c r="K6" s="185" t="s">
        <v>159</v>
      </c>
      <c r="L6" s="185"/>
      <c r="M6" s="185"/>
      <c r="N6" s="204"/>
    </row>
    <row r="7" spans="1:14" x14ac:dyDescent="0.15">
      <c r="A7" s="185" t="s">
        <v>160</v>
      </c>
      <c r="B7" s="185"/>
      <c r="C7" s="185"/>
      <c r="D7" s="204"/>
      <c r="E7" s="181"/>
      <c r="F7" s="185" t="s">
        <v>160</v>
      </c>
      <c r="G7" s="185"/>
      <c r="H7" s="185"/>
      <c r="I7" s="204">
        <f>'Sales Forecast CAGR'!H25</f>
        <v>615100.50000000012</v>
      </c>
      <c r="J7" s="181"/>
      <c r="K7" s="185" t="s">
        <v>160</v>
      </c>
      <c r="L7" s="185"/>
      <c r="M7" s="185"/>
      <c r="N7" s="204"/>
    </row>
    <row r="8" spans="1:14" x14ac:dyDescent="0.15">
      <c r="A8" s="185" t="s">
        <v>161</v>
      </c>
      <c r="B8" s="185"/>
      <c r="C8" s="185"/>
      <c r="D8" s="204">
        <f>'Sales Forecast CAGR'!F13*'Assumption Sheet'!B10</f>
        <v>19960.011225000002</v>
      </c>
      <c r="E8" s="181"/>
      <c r="F8" s="185" t="s">
        <v>161</v>
      </c>
      <c r="G8" s="185"/>
      <c r="H8" s="185"/>
      <c r="I8" s="204">
        <f>'Sales Forecast CAGR'!F25*'Assumption Sheet'!B10</f>
        <v>47239.718400000005</v>
      </c>
      <c r="J8" s="181"/>
      <c r="K8" s="185" t="s">
        <v>161</v>
      </c>
      <c r="L8" s="185"/>
      <c r="M8" s="185"/>
      <c r="N8" s="204">
        <f>'Sales Forecast CAGR'!F37*'Assumption Sheet'!B10</f>
        <v>478548.18900000007</v>
      </c>
    </row>
    <row r="9" spans="1:14" x14ac:dyDescent="0.15">
      <c r="A9" s="185" t="s">
        <v>162</v>
      </c>
      <c r="B9" s="185"/>
      <c r="C9" s="185"/>
      <c r="D9" s="204"/>
      <c r="E9" s="181"/>
      <c r="F9" s="185" t="s">
        <v>162</v>
      </c>
      <c r="G9" s="185"/>
      <c r="H9" s="185"/>
      <c r="I9" s="204"/>
      <c r="J9" s="181"/>
      <c r="K9" s="185" t="s">
        <v>162</v>
      </c>
      <c r="L9" s="185"/>
      <c r="M9" s="185"/>
      <c r="N9" s="204"/>
    </row>
    <row r="10" spans="1:14" x14ac:dyDescent="0.15">
      <c r="A10" s="185" t="s">
        <v>163</v>
      </c>
      <c r="B10" s="185"/>
      <c r="C10" s="185"/>
      <c r="D10" s="204"/>
      <c r="E10" s="181"/>
      <c r="F10" s="185" t="s">
        <v>163</v>
      </c>
      <c r="G10" s="185"/>
      <c r="H10" s="185"/>
      <c r="I10" s="204"/>
      <c r="J10" s="181"/>
      <c r="K10" s="185" t="s">
        <v>163</v>
      </c>
      <c r="L10" s="185"/>
      <c r="M10" s="185"/>
      <c r="N10" s="204"/>
    </row>
    <row r="11" spans="1:14" x14ac:dyDescent="0.15">
      <c r="A11" s="186" t="s">
        <v>164</v>
      </c>
      <c r="B11" s="186"/>
      <c r="C11" s="186"/>
      <c r="D11" s="204"/>
      <c r="E11" s="181"/>
      <c r="F11" s="186" t="s">
        <v>164</v>
      </c>
      <c r="G11" s="186"/>
      <c r="H11" s="186"/>
      <c r="I11" s="204"/>
      <c r="J11" s="181"/>
      <c r="K11" s="186" t="s">
        <v>164</v>
      </c>
      <c r="L11" s="186"/>
      <c r="M11" s="186"/>
      <c r="N11" s="204"/>
    </row>
    <row r="12" spans="1:14" x14ac:dyDescent="0.15">
      <c r="A12" s="50"/>
      <c r="B12" s="50"/>
      <c r="C12" s="187"/>
      <c r="D12" s="204"/>
      <c r="E12" s="181"/>
      <c r="F12" s="50"/>
      <c r="G12" s="50"/>
      <c r="H12" s="187"/>
      <c r="I12" s="204"/>
      <c r="J12" s="181"/>
      <c r="K12" s="50"/>
      <c r="L12" s="50"/>
      <c r="M12" s="187"/>
      <c r="N12" s="204"/>
    </row>
    <row r="13" spans="1:14" x14ac:dyDescent="0.15">
      <c r="A13" s="50"/>
      <c r="B13" s="50"/>
      <c r="C13" s="187"/>
      <c r="D13" s="204"/>
      <c r="E13" s="181"/>
      <c r="F13" s="50"/>
      <c r="G13" s="50"/>
      <c r="H13" s="187"/>
      <c r="I13" s="204"/>
      <c r="J13" s="181"/>
      <c r="K13" s="50"/>
      <c r="L13" s="50"/>
      <c r="M13" s="187"/>
      <c r="N13" s="204"/>
    </row>
    <row r="14" spans="1:14" x14ac:dyDescent="0.15">
      <c r="A14" s="50"/>
      <c r="B14" s="50"/>
      <c r="C14" s="187"/>
      <c r="D14" s="204"/>
      <c r="E14" s="181"/>
      <c r="F14" s="50"/>
      <c r="G14" s="50"/>
      <c r="H14" s="187"/>
      <c r="I14" s="204"/>
      <c r="J14" s="181"/>
      <c r="K14" s="50"/>
      <c r="L14" s="50"/>
      <c r="M14" s="187"/>
      <c r="N14" s="204"/>
    </row>
    <row r="15" spans="1:14" x14ac:dyDescent="0.15">
      <c r="A15" s="50"/>
      <c r="B15" s="50"/>
      <c r="C15" s="187"/>
      <c r="D15" s="204"/>
      <c r="E15" s="181"/>
      <c r="F15" s="50"/>
      <c r="G15" s="50"/>
      <c r="H15" s="187"/>
      <c r="I15" s="204"/>
      <c r="J15" s="181"/>
      <c r="K15" s="50"/>
      <c r="L15" s="50"/>
      <c r="M15" s="187"/>
      <c r="N15" s="204"/>
    </row>
    <row r="16" spans="1:14" x14ac:dyDescent="0.15">
      <c r="A16" s="50"/>
      <c r="B16" s="50"/>
      <c r="C16" s="187"/>
      <c r="D16" s="204"/>
      <c r="E16" s="181"/>
      <c r="F16" s="50"/>
      <c r="G16" s="50"/>
      <c r="H16" s="187"/>
      <c r="I16" s="204"/>
      <c r="J16" s="181"/>
      <c r="K16" s="50"/>
      <c r="L16" s="50"/>
      <c r="M16" s="187"/>
      <c r="N16" s="204"/>
    </row>
    <row r="17" spans="1:14" x14ac:dyDescent="0.15">
      <c r="A17" s="188" t="s">
        <v>165</v>
      </c>
      <c r="B17" s="188"/>
      <c r="C17" s="188"/>
      <c r="D17" s="205">
        <f>SUM(D18:D28)</f>
        <v>26133.333333333347</v>
      </c>
      <c r="E17" s="181"/>
      <c r="F17" s="188" t="s">
        <v>165</v>
      </c>
      <c r="G17" s="188"/>
      <c r="H17" s="188"/>
      <c r="I17" s="205">
        <f>SUM(I18:I28)</f>
        <v>19733.333333333361</v>
      </c>
      <c r="J17" s="181"/>
      <c r="K17" s="188" t="s">
        <v>165</v>
      </c>
      <c r="L17" s="188"/>
      <c r="M17" s="188"/>
      <c r="N17" s="205">
        <f>SUM(N18:N28)</f>
        <v>13333.333333333361</v>
      </c>
    </row>
    <row r="18" spans="1:14" x14ac:dyDescent="0.15">
      <c r="A18" s="185" t="s">
        <v>166</v>
      </c>
      <c r="B18" s="185"/>
      <c r="C18" s="185"/>
      <c r="D18" s="204">
        <v>0</v>
      </c>
      <c r="E18" s="181"/>
      <c r="F18" s="185" t="s">
        <v>166</v>
      </c>
      <c r="G18" s="185"/>
      <c r="H18" s="185"/>
      <c r="I18" s="204"/>
      <c r="J18" s="181"/>
      <c r="K18" s="185" t="s">
        <v>166</v>
      </c>
      <c r="L18" s="185"/>
      <c r="M18" s="185"/>
      <c r="N18" s="204"/>
    </row>
    <row r="19" spans="1:14" x14ac:dyDescent="0.15">
      <c r="A19" s="185" t="s">
        <v>167</v>
      </c>
      <c r="B19" s="185"/>
      <c r="C19" s="185"/>
      <c r="D19" s="204">
        <v>0</v>
      </c>
      <c r="E19" s="181"/>
      <c r="F19" s="185" t="s">
        <v>167</v>
      </c>
      <c r="G19" s="185"/>
      <c r="H19" s="185"/>
      <c r="I19" s="204"/>
      <c r="J19" s="181"/>
      <c r="K19" s="185" t="s">
        <v>167</v>
      </c>
      <c r="L19" s="185"/>
      <c r="M19" s="185"/>
      <c r="N19" s="204"/>
    </row>
    <row r="20" spans="1:14" x14ac:dyDescent="0.15">
      <c r="A20" s="185" t="s">
        <v>168</v>
      </c>
      <c r="B20" s="185"/>
      <c r="C20" s="185"/>
      <c r="D20" s="204">
        <v>0</v>
      </c>
      <c r="E20" s="181"/>
      <c r="F20" s="185" t="s">
        <v>168</v>
      </c>
      <c r="G20" s="185"/>
      <c r="H20" s="185"/>
      <c r="I20" s="204"/>
      <c r="J20" s="181"/>
      <c r="K20" s="185" t="s">
        <v>168</v>
      </c>
      <c r="L20" s="185"/>
      <c r="M20" s="185"/>
      <c r="N20" s="204"/>
    </row>
    <row r="21" spans="1:14" x14ac:dyDescent="0.15">
      <c r="A21" s="185" t="s">
        <v>169</v>
      </c>
      <c r="B21" s="185"/>
      <c r="C21" s="185"/>
      <c r="D21" s="204">
        <v>0</v>
      </c>
      <c r="E21" s="181"/>
      <c r="F21" s="185" t="s">
        <v>169</v>
      </c>
      <c r="G21" s="185"/>
      <c r="H21" s="185"/>
      <c r="I21" s="204"/>
      <c r="J21" s="181"/>
      <c r="K21" s="185" t="s">
        <v>169</v>
      </c>
      <c r="L21" s="185"/>
      <c r="M21" s="185"/>
      <c r="N21" s="204"/>
    </row>
    <row r="22" spans="1:14" x14ac:dyDescent="0.15">
      <c r="A22" s="185" t="s">
        <v>170</v>
      </c>
      <c r="B22" s="185"/>
      <c r="C22" s="185"/>
      <c r="D22" s="204">
        <v>0</v>
      </c>
      <c r="E22" s="181"/>
      <c r="F22" s="185" t="s">
        <v>170</v>
      </c>
      <c r="G22" s="185"/>
      <c r="H22" s="185"/>
      <c r="I22" s="204"/>
      <c r="J22" s="181"/>
      <c r="K22" s="185" t="s">
        <v>170</v>
      </c>
      <c r="L22" s="185"/>
      <c r="M22" s="185"/>
      <c r="N22" s="204"/>
    </row>
    <row r="23" spans="1:14" x14ac:dyDescent="0.15">
      <c r="A23" s="185" t="s">
        <v>171</v>
      </c>
      <c r="B23" s="185"/>
      <c r="C23" s="185"/>
      <c r="D23" s="204">
        <v>0</v>
      </c>
      <c r="E23" s="181"/>
      <c r="F23" s="185" t="s">
        <v>171</v>
      </c>
      <c r="G23" s="185"/>
      <c r="H23" s="185"/>
      <c r="I23" s="204"/>
      <c r="J23" s="181"/>
      <c r="K23" s="185" t="s">
        <v>171</v>
      </c>
      <c r="L23" s="185"/>
      <c r="M23" s="185"/>
      <c r="N23" s="204"/>
    </row>
    <row r="24" spans="1:14" x14ac:dyDescent="0.15">
      <c r="A24" s="50" t="s">
        <v>172</v>
      </c>
      <c r="B24" s="50"/>
      <c r="C24" s="187"/>
      <c r="D24" s="204">
        <f>'Additional Financial Accounts'!B14</f>
        <v>26133.333333333347</v>
      </c>
      <c r="E24" s="181"/>
      <c r="F24" s="50" t="s">
        <v>172</v>
      </c>
      <c r="G24" s="50"/>
      <c r="H24" s="187"/>
      <c r="I24" s="204">
        <f>'Additional Financial Accounts'!B26</f>
        <v>19733.333333333361</v>
      </c>
      <c r="J24" s="181"/>
      <c r="K24" s="50" t="s">
        <v>172</v>
      </c>
      <c r="L24" s="50"/>
      <c r="M24" s="187"/>
      <c r="N24" s="204">
        <f>I24-'Profit and loss forecast'!O18</f>
        <v>13333.333333333361</v>
      </c>
    </row>
    <row r="25" spans="1:14" x14ac:dyDescent="0.15">
      <c r="A25" s="138"/>
      <c r="B25" s="138"/>
      <c r="C25" s="189"/>
      <c r="D25" s="212"/>
      <c r="E25" s="181"/>
      <c r="F25" s="50"/>
      <c r="G25" s="50"/>
      <c r="H25" s="187"/>
      <c r="I25" s="204"/>
      <c r="J25" s="181"/>
      <c r="K25" s="50"/>
      <c r="L25" s="50"/>
      <c r="M25" s="187"/>
      <c r="N25" s="204"/>
    </row>
    <row r="26" spans="1:14" x14ac:dyDescent="0.15">
      <c r="A26" s="50"/>
      <c r="B26" s="50"/>
      <c r="C26" s="187"/>
      <c r="D26" s="204"/>
      <c r="E26" s="181"/>
      <c r="F26" s="50"/>
      <c r="G26" s="50"/>
      <c r="H26" s="187"/>
      <c r="I26" s="204"/>
      <c r="J26" s="181"/>
      <c r="K26" s="50"/>
      <c r="L26" s="50"/>
      <c r="M26" s="187"/>
      <c r="N26" s="204"/>
    </row>
    <row r="27" spans="1:14" x14ac:dyDescent="0.15">
      <c r="A27" s="50"/>
      <c r="B27" s="50"/>
      <c r="C27" s="187"/>
      <c r="D27" s="204"/>
      <c r="E27" s="181"/>
      <c r="F27" s="50"/>
      <c r="G27" s="50"/>
      <c r="H27" s="187"/>
      <c r="I27" s="204"/>
      <c r="J27" s="181"/>
      <c r="K27" s="50"/>
      <c r="L27" s="50"/>
      <c r="M27" s="187"/>
      <c r="N27" s="204"/>
    </row>
    <row r="28" spans="1:14" x14ac:dyDescent="0.15">
      <c r="A28" s="50"/>
      <c r="B28" s="50"/>
      <c r="C28" s="187"/>
      <c r="D28" s="204"/>
      <c r="E28" s="181"/>
      <c r="F28" s="50"/>
      <c r="G28" s="50"/>
      <c r="H28" s="187"/>
      <c r="I28" s="204"/>
      <c r="J28" s="181"/>
      <c r="K28" s="50"/>
      <c r="L28" s="50"/>
      <c r="M28" s="187"/>
      <c r="N28" s="204"/>
    </row>
    <row r="29" spans="1:14" x14ac:dyDescent="0.15">
      <c r="A29" s="32" t="s">
        <v>173</v>
      </c>
      <c r="B29" s="32"/>
      <c r="C29" s="32"/>
      <c r="D29" s="203">
        <f>D4+D17</f>
        <v>149431.94379659026</v>
      </c>
      <c r="E29" s="181"/>
      <c r="F29" s="32" t="s">
        <v>173</v>
      </c>
      <c r="G29" s="32"/>
      <c r="H29" s="32"/>
      <c r="I29" s="203">
        <f>I4+I17</f>
        <v>1140739.9109384194</v>
      </c>
      <c r="J29" s="181"/>
      <c r="K29" s="32" t="s">
        <v>173</v>
      </c>
      <c r="L29" s="32"/>
      <c r="M29" s="32"/>
      <c r="N29" s="203">
        <f>N4+N17</f>
        <v>1509997.3784761932</v>
      </c>
    </row>
    <row r="30" spans="1:14" ht="24" customHeight="1" x14ac:dyDescent="0.15">
      <c r="A30" s="33" t="s">
        <v>174</v>
      </c>
      <c r="B30" s="33"/>
      <c r="C30" s="33"/>
      <c r="D30" s="205"/>
      <c r="E30" s="181"/>
      <c r="F30" s="33" t="s">
        <v>174</v>
      </c>
      <c r="G30" s="33"/>
      <c r="H30" s="33"/>
      <c r="I30" s="205"/>
      <c r="J30" s="181"/>
      <c r="K30" s="33" t="s">
        <v>174</v>
      </c>
      <c r="L30" s="33"/>
      <c r="M30" s="33"/>
      <c r="N30" s="205"/>
    </row>
    <row r="31" spans="1:14" x14ac:dyDescent="0.15">
      <c r="A31" s="184" t="s">
        <v>175</v>
      </c>
      <c r="B31" s="184"/>
      <c r="C31" s="184"/>
      <c r="D31" s="205">
        <f>SUM(D32:D42)</f>
        <v>6673.1874715447184</v>
      </c>
      <c r="E31" s="181"/>
      <c r="F31" s="184" t="s">
        <v>175</v>
      </c>
      <c r="G31" s="184"/>
      <c r="H31" s="184"/>
      <c r="I31" s="205">
        <f>SUM(I32:I42)</f>
        <v>64065.350943089434</v>
      </c>
      <c r="J31" s="181"/>
      <c r="K31" s="184" t="s">
        <v>175</v>
      </c>
      <c r="L31" s="184"/>
      <c r="M31" s="184"/>
      <c r="N31" s="205">
        <f>SUM(N32:N42)</f>
        <v>129980.99229268295</v>
      </c>
    </row>
    <row r="32" spans="1:14" x14ac:dyDescent="0.15">
      <c r="A32" s="185" t="s">
        <v>176</v>
      </c>
      <c r="B32" s="185"/>
      <c r="C32" s="185"/>
      <c r="D32" s="204"/>
      <c r="E32" s="181"/>
      <c r="F32" s="185" t="s">
        <v>176</v>
      </c>
      <c r="G32" s="185"/>
      <c r="H32" s="185"/>
      <c r="I32" s="204"/>
      <c r="J32" s="181"/>
      <c r="K32" s="185" t="s">
        <v>176</v>
      </c>
      <c r="L32" s="185"/>
      <c r="M32" s="185"/>
      <c r="N32" s="204"/>
    </row>
    <row r="33" spans="1:16" x14ac:dyDescent="0.15">
      <c r="A33" s="185" t="s">
        <v>177</v>
      </c>
      <c r="B33" s="185"/>
      <c r="C33" s="185"/>
      <c r="D33" s="204"/>
      <c r="E33" s="181"/>
      <c r="F33" s="185" t="s">
        <v>177</v>
      </c>
      <c r="G33" s="185"/>
      <c r="H33" s="185"/>
      <c r="I33" s="204"/>
      <c r="J33" s="181"/>
      <c r="K33" s="185" t="s">
        <v>177</v>
      </c>
      <c r="L33" s="185"/>
      <c r="M33" s="185"/>
      <c r="N33" s="204"/>
      <c r="O33" s="181"/>
      <c r="P33" s="181"/>
    </row>
    <row r="34" spans="1:16" x14ac:dyDescent="0.15">
      <c r="A34" s="185" t="s">
        <v>178</v>
      </c>
      <c r="B34" s="185"/>
      <c r="C34" s="185"/>
      <c r="D34" s="204"/>
      <c r="E34" s="181"/>
      <c r="F34" s="185" t="s">
        <v>178</v>
      </c>
      <c r="G34" s="185"/>
      <c r="H34" s="185"/>
      <c r="I34" s="204"/>
      <c r="J34" s="181"/>
      <c r="K34" s="185" t="s">
        <v>178</v>
      </c>
      <c r="L34" s="185"/>
      <c r="M34" s="185"/>
      <c r="N34" s="204"/>
      <c r="O34" s="181"/>
      <c r="P34" s="181"/>
    </row>
    <row r="35" spans="1:16" x14ac:dyDescent="0.15">
      <c r="A35" s="185" t="s">
        <v>179</v>
      </c>
      <c r="B35" s="185"/>
      <c r="C35" s="185"/>
      <c r="D35" s="204"/>
      <c r="E35" s="181"/>
      <c r="F35" s="185" t="s">
        <v>179</v>
      </c>
      <c r="G35" s="185"/>
      <c r="H35" s="185"/>
      <c r="I35" s="204"/>
      <c r="J35" s="181"/>
      <c r="K35" s="185" t="s">
        <v>179</v>
      </c>
      <c r="L35" s="185"/>
      <c r="M35" s="185"/>
      <c r="N35" s="204"/>
      <c r="O35" s="181"/>
      <c r="P35" s="181"/>
    </row>
    <row r="36" spans="1:16" x14ac:dyDescent="0.15">
      <c r="A36" s="185" t="s">
        <v>180</v>
      </c>
      <c r="B36" s="185"/>
      <c r="C36" s="185"/>
      <c r="D36" s="204"/>
      <c r="E36" s="181"/>
      <c r="F36" s="185" t="s">
        <v>180</v>
      </c>
      <c r="G36" s="185"/>
      <c r="H36" s="185"/>
      <c r="I36" s="204"/>
      <c r="J36" s="181"/>
      <c r="K36" s="185" t="s">
        <v>180</v>
      </c>
      <c r="L36" s="185"/>
      <c r="M36" s="185"/>
      <c r="N36" s="204"/>
      <c r="O36" s="181"/>
      <c r="P36" s="181"/>
    </row>
    <row r="37" spans="1:16" x14ac:dyDescent="0.15">
      <c r="A37" s="185" t="s">
        <v>181</v>
      </c>
      <c r="B37" s="186"/>
      <c r="C37" s="186"/>
      <c r="D37" s="204"/>
      <c r="E37" s="181"/>
      <c r="F37" s="185" t="s">
        <v>181</v>
      </c>
      <c r="G37" s="186"/>
      <c r="H37" s="186"/>
      <c r="I37" s="204"/>
      <c r="J37" s="181"/>
      <c r="K37" s="185" t="s">
        <v>181</v>
      </c>
      <c r="L37" s="186"/>
      <c r="M37" s="186"/>
      <c r="N37" s="204"/>
      <c r="O37" s="181"/>
      <c r="P37" s="181"/>
    </row>
    <row r="38" spans="1:16" x14ac:dyDescent="0.15">
      <c r="A38" s="50" t="s">
        <v>102</v>
      </c>
      <c r="B38" s="50"/>
      <c r="C38" s="187"/>
      <c r="D38" s="204">
        <f>SUM('Cash Flow'!B12:M12)</f>
        <v>85.993081300813017</v>
      </c>
      <c r="E38" s="181"/>
      <c r="F38" s="50" t="s">
        <v>102</v>
      </c>
      <c r="G38" s="50"/>
      <c r="H38" s="187"/>
      <c r="I38" s="204">
        <f>SUM('Cash Flow'!O12)+D38</f>
        <v>785.09378861788616</v>
      </c>
      <c r="J38" s="181"/>
      <c r="K38" s="50" t="s">
        <v>102</v>
      </c>
      <c r="L38" s="50"/>
      <c r="M38" s="187"/>
      <c r="N38" s="204">
        <f>SUM('Cash Flow'!P12)+I38</f>
        <v>2832.5411382113821</v>
      </c>
      <c r="O38" s="181"/>
      <c r="P38" s="181"/>
    </row>
    <row r="39" spans="1:16" x14ac:dyDescent="0.15">
      <c r="A39" s="50" t="s">
        <v>182</v>
      </c>
      <c r="B39" s="50"/>
      <c r="C39" s="187"/>
      <c r="D39" s="204">
        <f>SUM('Cash Flow'!B11:M11)-SUM('Cash Flow'!B16:M16)</f>
        <v>6587.1943902439052</v>
      </c>
      <c r="E39" s="181"/>
      <c r="F39" s="50" t="s">
        <v>182</v>
      </c>
      <c r="G39" s="50"/>
      <c r="H39" s="187"/>
      <c r="I39" s="204">
        <f>'Cash Flow'!O11-'Cash Flow'!O16+D39</f>
        <v>63280.257154471547</v>
      </c>
      <c r="J39" s="181"/>
      <c r="K39" s="50" t="s">
        <v>182</v>
      </c>
      <c r="L39" s="50"/>
      <c r="M39" s="187"/>
      <c r="N39" s="204">
        <f>'Cash Flow'!P11-'Cash Flow'!P16+I39</f>
        <v>127148.45115447156</v>
      </c>
      <c r="O39" s="181"/>
      <c r="P39" s="181"/>
    </row>
    <row r="40" spans="1:16" x14ac:dyDescent="0.15">
      <c r="A40" s="50"/>
      <c r="B40" s="50"/>
      <c r="C40" s="187"/>
      <c r="D40" s="204"/>
      <c r="E40" s="181"/>
      <c r="F40" s="50"/>
      <c r="G40" s="50"/>
      <c r="H40" s="187"/>
      <c r="I40" s="204"/>
      <c r="J40" s="181"/>
      <c r="K40" s="50"/>
      <c r="L40" s="50"/>
      <c r="M40" s="187"/>
      <c r="N40" s="204"/>
      <c r="O40" s="181"/>
      <c r="P40" s="181"/>
    </row>
    <row r="41" spans="1:16" x14ac:dyDescent="0.15">
      <c r="A41" s="50"/>
      <c r="B41" s="50"/>
      <c r="C41" s="187"/>
      <c r="D41" s="204"/>
      <c r="E41" s="181"/>
      <c r="F41" s="50"/>
      <c r="G41" s="50"/>
      <c r="H41" s="187"/>
      <c r="I41" s="204"/>
      <c r="J41" s="181"/>
      <c r="K41" s="50"/>
      <c r="L41" s="50"/>
      <c r="M41" s="187"/>
      <c r="N41" s="204"/>
      <c r="O41" s="181"/>
      <c r="P41" s="181"/>
    </row>
    <row r="42" spans="1:16" x14ac:dyDescent="0.15">
      <c r="A42" s="50"/>
      <c r="B42" s="50"/>
      <c r="C42" s="187"/>
      <c r="D42" s="204"/>
      <c r="E42" s="181"/>
      <c r="F42" s="50"/>
      <c r="G42" s="50"/>
      <c r="H42" s="187"/>
      <c r="I42" s="204"/>
      <c r="J42" s="181"/>
      <c r="K42" s="50"/>
      <c r="L42" s="50"/>
      <c r="M42" s="187"/>
      <c r="N42" s="204"/>
      <c r="O42" s="181"/>
      <c r="P42" s="181"/>
    </row>
    <row r="43" spans="1:16" x14ac:dyDescent="0.15">
      <c r="A43" s="190" t="s">
        <v>183</v>
      </c>
      <c r="B43" s="190"/>
      <c r="C43" s="190"/>
      <c r="D43" s="206">
        <f>SUM(D44:D49)</f>
        <v>61980.77</v>
      </c>
      <c r="E43" s="181"/>
      <c r="F43" s="190" t="s">
        <v>183</v>
      </c>
      <c r="G43" s="190"/>
      <c r="H43" s="190"/>
      <c r="I43" s="206">
        <f>SUM(I44:I49)</f>
        <v>53377.56</v>
      </c>
      <c r="J43" s="181"/>
      <c r="K43" s="190" t="s">
        <v>183</v>
      </c>
      <c r="L43" s="190"/>
      <c r="M43" s="190"/>
      <c r="N43" s="206">
        <f>SUM(N44:N49)</f>
        <v>44147.839999999997</v>
      </c>
      <c r="O43" s="181"/>
      <c r="P43" s="181"/>
    </row>
    <row r="44" spans="1:16" x14ac:dyDescent="0.15">
      <c r="A44" s="186" t="s">
        <v>52</v>
      </c>
      <c r="B44" s="144"/>
      <c r="C44" s="144"/>
      <c r="D44" s="204">
        <v>61980.77</v>
      </c>
      <c r="E44" s="181"/>
      <c r="F44" s="186" t="s">
        <v>52</v>
      </c>
      <c r="G44" s="144"/>
      <c r="H44" s="144"/>
      <c r="I44" s="204">
        <f>D44-'Additional Financial Accounts'!G26</f>
        <v>53377.56</v>
      </c>
      <c r="J44" s="181"/>
      <c r="K44" s="186" t="s">
        <v>52</v>
      </c>
      <c r="L44" s="144"/>
      <c r="M44" s="144"/>
      <c r="N44" s="204">
        <f>I44-'Additional Financial Accounts'!G38</f>
        <v>44147.839999999997</v>
      </c>
      <c r="O44" s="181"/>
      <c r="P44" s="181" t="s">
        <v>184</v>
      </c>
    </row>
    <row r="45" spans="1:16" x14ac:dyDescent="0.15">
      <c r="A45" s="50"/>
      <c r="B45" s="50"/>
      <c r="C45" s="187"/>
      <c r="D45" s="204"/>
      <c r="E45" s="181"/>
      <c r="F45" s="50"/>
      <c r="G45" s="50"/>
      <c r="H45" s="187"/>
      <c r="I45" s="204"/>
      <c r="J45" s="181"/>
      <c r="K45" s="50"/>
      <c r="L45" s="50"/>
      <c r="M45" s="187"/>
      <c r="N45" s="204"/>
      <c r="O45" s="181"/>
      <c r="P45" s="181"/>
    </row>
    <row r="46" spans="1:16" x14ac:dyDescent="0.15">
      <c r="A46" s="50"/>
      <c r="B46" s="50"/>
      <c r="C46" s="187"/>
      <c r="D46" s="204"/>
      <c r="E46" s="181"/>
      <c r="F46" s="50"/>
      <c r="G46" s="50"/>
      <c r="H46" s="187"/>
      <c r="I46" s="204"/>
      <c r="J46" s="181"/>
      <c r="K46" s="50"/>
      <c r="L46" s="50"/>
      <c r="M46" s="187"/>
      <c r="N46" s="204"/>
      <c r="O46" s="181"/>
      <c r="P46" s="181"/>
    </row>
    <row r="47" spans="1:16" x14ac:dyDescent="0.15">
      <c r="A47" s="50"/>
      <c r="B47" s="50"/>
      <c r="C47" s="187"/>
      <c r="D47" s="204"/>
      <c r="E47" s="181"/>
      <c r="F47" s="50"/>
      <c r="G47" s="50"/>
      <c r="H47" s="187"/>
      <c r="I47" s="204"/>
      <c r="J47" s="181"/>
      <c r="K47" s="50"/>
      <c r="L47" s="50"/>
      <c r="M47" s="187"/>
      <c r="N47" s="204"/>
      <c r="O47" s="181"/>
      <c r="P47" s="181"/>
    </row>
    <row r="48" spans="1:16" x14ac:dyDescent="0.15">
      <c r="A48" s="50"/>
      <c r="B48" s="50"/>
      <c r="C48" s="187"/>
      <c r="D48" s="204"/>
      <c r="E48" s="181"/>
      <c r="F48" s="50"/>
      <c r="G48" s="50"/>
      <c r="H48" s="187"/>
      <c r="I48" s="204"/>
      <c r="J48" s="181"/>
      <c r="K48" s="50"/>
      <c r="L48" s="50"/>
      <c r="M48" s="187"/>
      <c r="N48" s="204"/>
      <c r="O48" s="181"/>
      <c r="P48" s="181"/>
    </row>
    <row r="49" spans="1:14" x14ac:dyDescent="0.15">
      <c r="A49" s="50"/>
      <c r="B49" s="50"/>
      <c r="C49" s="187"/>
      <c r="D49" s="204"/>
      <c r="E49" s="181"/>
      <c r="F49" s="50"/>
      <c r="G49" s="50"/>
      <c r="H49" s="187"/>
      <c r="I49" s="204"/>
      <c r="J49" s="181"/>
      <c r="K49" s="50"/>
      <c r="L49" s="50"/>
      <c r="M49" s="187"/>
      <c r="N49" s="204"/>
    </row>
    <row r="50" spans="1:14" x14ac:dyDescent="0.15">
      <c r="A50" s="34" t="s">
        <v>185</v>
      </c>
      <c r="B50" s="34"/>
      <c r="C50" s="34"/>
      <c r="D50" s="207">
        <f>D31+D43</f>
        <v>68653.957471544709</v>
      </c>
      <c r="E50" s="181"/>
      <c r="F50" s="34" t="s">
        <v>185</v>
      </c>
      <c r="G50" s="34"/>
      <c r="H50" s="34"/>
      <c r="I50" s="207">
        <f>I31+I43</f>
        <v>117442.91094308943</v>
      </c>
      <c r="J50" s="181"/>
      <c r="K50" s="34" t="s">
        <v>185</v>
      </c>
      <c r="L50" s="34"/>
      <c r="M50" s="34"/>
      <c r="N50" s="207">
        <f>N31+N43</f>
        <v>174128.83229268296</v>
      </c>
    </row>
    <row r="51" spans="1:14" x14ac:dyDescent="0.15">
      <c r="A51" s="34" t="s">
        <v>186</v>
      </c>
      <c r="B51" s="34"/>
      <c r="C51" s="34"/>
      <c r="D51" s="207">
        <f>D29-D50</f>
        <v>80777.986325045553</v>
      </c>
      <c r="E51" s="181"/>
      <c r="F51" s="34" t="s">
        <v>186</v>
      </c>
      <c r="G51" s="34"/>
      <c r="H51" s="34"/>
      <c r="I51" s="207">
        <f>I29-I50</f>
        <v>1023296.99999533</v>
      </c>
      <c r="J51" s="181"/>
      <c r="K51" s="34" t="s">
        <v>186</v>
      </c>
      <c r="L51" s="34"/>
      <c r="M51" s="34"/>
      <c r="N51" s="207">
        <f>N29-N50</f>
        <v>1335868.5461835102</v>
      </c>
    </row>
    <row r="52" spans="1:14" ht="24" customHeight="1" x14ac:dyDescent="0.15">
      <c r="A52" s="33" t="s">
        <v>187</v>
      </c>
      <c r="B52" s="33"/>
      <c r="C52" s="33"/>
      <c r="D52" s="208" t="str">
        <f>IF(D51=D56," ","Does not balance by " &amp; DOLLAR(D56-D51,2))</f>
        <v>Does not balance by -0,00 €</v>
      </c>
      <c r="E52" s="181"/>
      <c r="F52" s="33" t="s">
        <v>187</v>
      </c>
      <c r="G52" s="33"/>
      <c r="H52" s="33"/>
      <c r="I52" s="208" t="str">
        <f>IF(I51=I56," ","Does not balance by " &amp; DOLLAR(I56-I51,2))</f>
        <v xml:space="preserve"> </v>
      </c>
      <c r="J52" s="181"/>
      <c r="K52" s="33" t="s">
        <v>187</v>
      </c>
      <c r="L52" s="33"/>
      <c r="M52" s="33"/>
      <c r="N52" s="208" t="str">
        <f>IF(N51=N56," ","Does not balance by " &amp; DOLLAR(N56-N51,0))</f>
        <v xml:space="preserve"> </v>
      </c>
    </row>
    <row r="53" spans="1:14" x14ac:dyDescent="0.15">
      <c r="A53" s="184" t="s">
        <v>188</v>
      </c>
      <c r="B53" s="184"/>
      <c r="C53" s="184"/>
      <c r="D53" s="209">
        <v>230000</v>
      </c>
      <c r="E53" s="181"/>
      <c r="F53" s="184" t="s">
        <v>188</v>
      </c>
      <c r="G53" s="184"/>
      <c r="H53" s="184"/>
      <c r="I53" s="209">
        <f>D56</f>
        <v>80777.986325045495</v>
      </c>
      <c r="J53" s="181"/>
      <c r="K53" s="184" t="s">
        <v>188</v>
      </c>
      <c r="L53" s="184"/>
      <c r="M53" s="184"/>
      <c r="N53" s="209">
        <f>I56</f>
        <v>1023296.9999953299</v>
      </c>
    </row>
    <row r="54" spans="1:14" x14ac:dyDescent="0.15">
      <c r="A54" s="184" t="s">
        <v>189</v>
      </c>
      <c r="B54" s="184"/>
      <c r="C54" s="184"/>
      <c r="D54" s="206">
        <f>'Profit and loss forecast'!N49</f>
        <v>-149222.01367495451</v>
      </c>
      <c r="E54" s="181"/>
      <c r="F54" s="184" t="s">
        <v>189</v>
      </c>
      <c r="G54" s="184"/>
      <c r="H54" s="184"/>
      <c r="I54" s="206">
        <f>'Profit and loss forecast'!O49</f>
        <v>-57480.986329715553</v>
      </c>
      <c r="J54" s="181"/>
      <c r="K54" s="184" t="s">
        <v>189</v>
      </c>
      <c r="L54" s="184"/>
      <c r="M54" s="184"/>
      <c r="N54" s="206">
        <f>'Profit and loss forecast'!P49</f>
        <v>312571.54618818028</v>
      </c>
    </row>
    <row r="55" spans="1:14" x14ac:dyDescent="0.15">
      <c r="A55" s="184" t="s">
        <v>190</v>
      </c>
      <c r="B55" s="184"/>
      <c r="C55" s="184"/>
      <c r="D55" s="206">
        <v>0</v>
      </c>
      <c r="E55" s="181"/>
      <c r="F55" s="184" t="s">
        <v>190</v>
      </c>
      <c r="G55" s="184"/>
      <c r="H55" s="184"/>
      <c r="I55" s="206">
        <f>'Additional Financial Accounts'!L15</f>
        <v>1000000</v>
      </c>
      <c r="J55" s="181"/>
      <c r="K55" s="184"/>
      <c r="L55" s="184"/>
      <c r="M55" s="184"/>
      <c r="N55" s="206"/>
    </row>
    <row r="56" spans="1:14" x14ac:dyDescent="0.15">
      <c r="A56" s="34" t="s">
        <v>191</v>
      </c>
      <c r="B56" s="34"/>
      <c r="C56" s="34"/>
      <c r="D56" s="206">
        <f>SUM(D53:D54)</f>
        <v>80777.986325045495</v>
      </c>
      <c r="E56" s="181"/>
      <c r="F56" s="34" t="s">
        <v>191</v>
      </c>
      <c r="G56" s="34"/>
      <c r="H56" s="34"/>
      <c r="I56" s="206">
        <f>I53+I54+I55</f>
        <v>1023296.9999953299</v>
      </c>
      <c r="J56" s="181"/>
      <c r="K56" s="34" t="s">
        <v>191</v>
      </c>
      <c r="L56" s="34"/>
      <c r="M56" s="34"/>
      <c r="N56" s="206">
        <f>SUM(N53:N54)</f>
        <v>1335868.5461835102</v>
      </c>
    </row>
  </sheetData>
  <phoneticPr fontId="17" type="noConversion"/>
  <pageMargins left="0.7" right="0.7" top="0.75" bottom="0.75" header="0.3" footer="0.3"/>
  <pageSetup paperSize="9" orientation="portrait"/>
  <ignoredErrors>
    <ignoredError sqref="D56 D29" unlockedFormula="1"/>
  </ignoredError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10A83D-E1B1-E441-AFE8-FC25BD13EBE2}">
  <dimension ref="A1:N34"/>
  <sheetViews>
    <sheetView zoomScale="75" workbookViewId="0">
      <selection activeCell="L4" sqref="L4"/>
    </sheetView>
  </sheetViews>
  <sheetFormatPr baseColWidth="10" defaultColWidth="10.83203125" defaultRowHeight="16" x14ac:dyDescent="0.2"/>
  <cols>
    <col min="1" max="1" width="25.5" style="53" bestFit="1" customWidth="1"/>
    <col min="2" max="2" width="12.83203125" style="53" bestFit="1" customWidth="1"/>
    <col min="3" max="3" width="10.83203125" style="53" bestFit="1"/>
    <col min="4" max="4" width="15.6640625" style="53" customWidth="1"/>
    <col min="5" max="5" width="12.1640625" style="53" bestFit="1" customWidth="1"/>
    <col min="6" max="6" width="10.83203125" style="53"/>
    <col min="7" max="7" width="19.5" style="53" bestFit="1" customWidth="1"/>
    <col min="8" max="8" width="11.5" style="53" bestFit="1" customWidth="1"/>
    <col min="9" max="9" width="10.83203125" style="53"/>
    <col min="10" max="10" width="25.5" style="53" bestFit="1" customWidth="1"/>
    <col min="11" max="11" width="12" style="53" bestFit="1" customWidth="1"/>
    <col min="12" max="12" width="23.83203125" style="53" customWidth="1"/>
    <col min="13" max="16384" width="10.83203125" style="53"/>
  </cols>
  <sheetData>
    <row r="1" spans="1:12" ht="19" x14ac:dyDescent="0.25">
      <c r="A1" s="316" t="s">
        <v>192</v>
      </c>
      <c r="B1" s="317"/>
      <c r="D1" s="314" t="s">
        <v>193</v>
      </c>
      <c r="E1" s="315"/>
      <c r="G1" s="314" t="s">
        <v>194</v>
      </c>
      <c r="H1" s="315"/>
      <c r="J1" s="253"/>
    </row>
    <row r="2" spans="1:12" ht="17" thickBot="1" x14ac:dyDescent="0.25">
      <c r="A2" s="54" t="s">
        <v>195</v>
      </c>
      <c r="B2" s="55">
        <v>3152782</v>
      </c>
      <c r="D2" s="56" t="s">
        <v>196</v>
      </c>
      <c r="E2" s="57">
        <v>275</v>
      </c>
      <c r="G2" s="248" t="s">
        <v>197</v>
      </c>
      <c r="H2" s="249">
        <f>'Profit and loss forecast'!N29/3000</f>
        <v>0.17199999999999999</v>
      </c>
      <c r="J2" s="253"/>
    </row>
    <row r="3" spans="1:12" x14ac:dyDescent="0.2">
      <c r="A3" s="56" t="s">
        <v>198</v>
      </c>
      <c r="B3" s="58">
        <v>44.99</v>
      </c>
      <c r="D3" s="56" t="s">
        <v>199</v>
      </c>
      <c r="E3" s="57">
        <v>7.0000000000000007E-2</v>
      </c>
    </row>
    <row r="4" spans="1:12" ht="51" x14ac:dyDescent="0.2">
      <c r="A4" s="60" t="s">
        <v>200</v>
      </c>
      <c r="B4" s="61">
        <v>0.54</v>
      </c>
      <c r="D4" s="62" t="s">
        <v>201</v>
      </c>
      <c r="E4" s="57">
        <v>0.19800000000000001</v>
      </c>
      <c r="L4" s="305"/>
    </row>
    <row r="5" spans="1:12" ht="35" thickBot="1" x14ac:dyDescent="0.25">
      <c r="A5" s="62" t="s">
        <v>202</v>
      </c>
      <c r="B5" s="61">
        <v>0.1</v>
      </c>
      <c r="D5" s="62" t="s">
        <v>203</v>
      </c>
      <c r="E5" s="199">
        <f>POWER(1+E4, 1/12)-1</f>
        <v>1.5168347460706055E-2</v>
      </c>
    </row>
    <row r="6" spans="1:12" ht="35" thickBot="1" x14ac:dyDescent="0.25">
      <c r="A6" s="63" t="s">
        <v>204</v>
      </c>
      <c r="B6" s="64">
        <f>(B2*B4)*B5</f>
        <v>170250.228</v>
      </c>
      <c r="D6" s="56" t="s">
        <v>112</v>
      </c>
      <c r="E6" s="259">
        <v>1.2033</v>
      </c>
      <c r="G6" s="314" t="s">
        <v>205</v>
      </c>
      <c r="H6" s="315"/>
    </row>
    <row r="7" spans="1:12" ht="17" thickBot="1" x14ac:dyDescent="0.25">
      <c r="D7" s="56" t="s">
        <v>113</v>
      </c>
      <c r="E7" s="57">
        <v>0.82830000000000004</v>
      </c>
      <c r="G7" s="248" t="s">
        <v>113</v>
      </c>
      <c r="H7" s="220">
        <v>0.2</v>
      </c>
    </row>
    <row r="8" spans="1:12" ht="19" x14ac:dyDescent="0.25">
      <c r="A8" s="316" t="s">
        <v>206</v>
      </c>
      <c r="B8" s="317"/>
      <c r="D8" s="56" t="s">
        <v>114</v>
      </c>
      <c r="E8" s="57">
        <v>0.6</v>
      </c>
    </row>
    <row r="9" spans="1:12" x14ac:dyDescent="0.2">
      <c r="A9" s="56" t="s">
        <v>207</v>
      </c>
      <c r="B9" s="65">
        <f>B3</f>
        <v>44.99</v>
      </c>
      <c r="D9" s="56" t="s">
        <v>208</v>
      </c>
      <c r="E9" s="200">
        <f>POWER(1+E6, 1/12)-1</f>
        <v>6.8044799092406238E-2</v>
      </c>
    </row>
    <row r="10" spans="1:12" x14ac:dyDescent="0.2">
      <c r="A10" s="56" t="s">
        <v>209</v>
      </c>
      <c r="B10" s="65">
        <f>Cost_calc!B29</f>
        <v>30.755025000000003</v>
      </c>
      <c r="D10" s="56" t="s">
        <v>208</v>
      </c>
      <c r="E10" s="200">
        <f>POWER(1+E7, 1/12)-1</f>
        <v>5.156782213429012E-2</v>
      </c>
    </row>
    <row r="11" spans="1:12" ht="18" thickBot="1" x14ac:dyDescent="0.25">
      <c r="A11" s="62" t="s">
        <v>210</v>
      </c>
      <c r="B11" s="65">
        <f>Cost_calc!B36</f>
        <v>6.6352189024390213</v>
      </c>
      <c r="D11" s="59" t="s">
        <v>211</v>
      </c>
      <c r="E11" s="198">
        <f>POWER(1+E8, 1/12)-1</f>
        <v>3.9944107690504271E-2</v>
      </c>
      <c r="K11" s="76"/>
    </row>
    <row r="12" spans="1:12" ht="17" x14ac:dyDescent="0.2">
      <c r="A12" s="62" t="s">
        <v>212</v>
      </c>
      <c r="B12" s="65">
        <f>B9*100/123</f>
        <v>36.577235772357724</v>
      </c>
      <c r="K12" s="76"/>
    </row>
    <row r="13" spans="1:12" ht="18" thickBot="1" x14ac:dyDescent="0.25">
      <c r="A13" s="63" t="s">
        <v>213</v>
      </c>
      <c r="B13" s="66">
        <f>B11/B12</f>
        <v>0.18140296176928197</v>
      </c>
    </row>
    <row r="14" spans="1:12" ht="17" thickBot="1" x14ac:dyDescent="0.25"/>
    <row r="15" spans="1:12" ht="19" customHeight="1" x14ac:dyDescent="0.25">
      <c r="A15" s="320" t="s">
        <v>214</v>
      </c>
      <c r="B15" s="321"/>
      <c r="D15" s="318" t="s">
        <v>215</v>
      </c>
      <c r="E15" s="319"/>
      <c r="G15" s="314" t="s">
        <v>216</v>
      </c>
      <c r="H15" s="315"/>
      <c r="J15" s="314" t="s">
        <v>217</v>
      </c>
      <c r="K15" s="315"/>
    </row>
    <row r="16" spans="1:12" ht="51" x14ac:dyDescent="0.2">
      <c r="A16" s="62" t="s">
        <v>218</v>
      </c>
      <c r="B16" s="57">
        <v>0.3</v>
      </c>
      <c r="D16" s="260" t="s">
        <v>219</v>
      </c>
      <c r="E16" s="65">
        <v>12</v>
      </c>
      <c r="G16" s="260" t="s">
        <v>219</v>
      </c>
      <c r="H16" s="261">
        <v>24</v>
      </c>
      <c r="J16" s="260" t="s">
        <v>220</v>
      </c>
      <c r="K16" s="57">
        <v>2</v>
      </c>
    </row>
    <row r="17" spans="1:14" ht="51" x14ac:dyDescent="0.2">
      <c r="A17" s="62" t="s">
        <v>221</v>
      </c>
      <c r="B17" s="57">
        <v>5.0000000000000001E-3</v>
      </c>
      <c r="D17" s="260" t="s">
        <v>222</v>
      </c>
      <c r="E17" s="65">
        <f>E16/12</f>
        <v>1</v>
      </c>
      <c r="G17" s="260" t="s">
        <v>222</v>
      </c>
      <c r="H17" s="65">
        <f>H16/12</f>
        <v>2</v>
      </c>
      <c r="J17" s="260" t="s">
        <v>223</v>
      </c>
      <c r="K17" s="57">
        <f>(K16/123)*100</f>
        <v>1.6260162601626018</v>
      </c>
      <c r="N17" s="251"/>
    </row>
    <row r="18" spans="1:14" ht="51" x14ac:dyDescent="0.2">
      <c r="A18" s="62" t="s">
        <v>224</v>
      </c>
      <c r="B18" s="57">
        <v>2E-3</v>
      </c>
      <c r="D18" s="260" t="s">
        <v>225</v>
      </c>
      <c r="E18" s="65">
        <f>(E16/123)*100</f>
        <v>9.7560975609756095</v>
      </c>
      <c r="G18" s="260" t="s">
        <v>225</v>
      </c>
      <c r="H18" s="65">
        <f>(H16/123)*100</f>
        <v>19.512195121951219</v>
      </c>
      <c r="J18" s="262" t="s">
        <v>226</v>
      </c>
      <c r="K18" s="227">
        <f>B16+(B19*K20)</f>
        <v>0.32879999999999998</v>
      </c>
      <c r="M18" s="76"/>
    </row>
    <row r="19" spans="1:14" ht="52" thickBot="1" x14ac:dyDescent="0.25">
      <c r="A19" s="63" t="s">
        <v>227</v>
      </c>
      <c r="B19" s="225">
        <f>(24*60)*B18*B17</f>
        <v>1.44E-2</v>
      </c>
      <c r="D19" s="260" t="s">
        <v>228</v>
      </c>
      <c r="E19" s="65">
        <f>E18/12</f>
        <v>0.81300813008130079</v>
      </c>
      <c r="G19" s="260" t="s">
        <v>228</v>
      </c>
      <c r="H19" s="65">
        <f>H18/12</f>
        <v>1.6260162601626016</v>
      </c>
      <c r="J19" s="262" t="s">
        <v>229</v>
      </c>
      <c r="K19" s="263">
        <f>(K17-K18)/K17</f>
        <v>0.79778800000000005</v>
      </c>
    </row>
    <row r="20" spans="1:14" ht="34" x14ac:dyDescent="0.2">
      <c r="D20" s="62" t="s">
        <v>229</v>
      </c>
      <c r="E20" s="61">
        <f>(E19-E22)/E19</f>
        <v>0.52472800000000008</v>
      </c>
      <c r="G20" s="260" t="s">
        <v>229</v>
      </c>
      <c r="H20" s="263">
        <f>(H19-H22)/H19</f>
        <v>0.63837999999999995</v>
      </c>
      <c r="J20" s="262" t="s">
        <v>230</v>
      </c>
      <c r="K20" s="57">
        <v>2</v>
      </c>
    </row>
    <row r="21" spans="1:14" ht="34" x14ac:dyDescent="0.2">
      <c r="D21" s="260" t="s">
        <v>231</v>
      </c>
      <c r="E21" s="57">
        <v>6</v>
      </c>
      <c r="G21" s="260" t="s">
        <v>231</v>
      </c>
      <c r="H21" s="57">
        <v>20</v>
      </c>
      <c r="J21" s="262" t="s">
        <v>232</v>
      </c>
      <c r="K21" s="57">
        <v>0.4</v>
      </c>
    </row>
    <row r="22" spans="1:14" ht="35" thickBot="1" x14ac:dyDescent="0.25">
      <c r="D22" s="264" t="s">
        <v>226</v>
      </c>
      <c r="E22" s="67">
        <f>E21*B19+B16</f>
        <v>0.38639999999999997</v>
      </c>
      <c r="G22" s="264" t="s">
        <v>226</v>
      </c>
      <c r="H22" s="265">
        <f>H21*B19+B16</f>
        <v>0.58799999999999997</v>
      </c>
      <c r="J22" s="262" t="s">
        <v>233</v>
      </c>
      <c r="K22" s="57">
        <f>K17*K21</f>
        <v>0.65040650406504075</v>
      </c>
    </row>
    <row r="23" spans="1:14" ht="17" thickBot="1" x14ac:dyDescent="0.25">
      <c r="J23" s="248" t="s">
        <v>234</v>
      </c>
      <c r="K23" s="67">
        <f>K18*K21</f>
        <v>0.13152</v>
      </c>
    </row>
    <row r="24" spans="1:14" ht="17" thickBot="1" x14ac:dyDescent="0.25"/>
    <row r="25" spans="1:14" x14ac:dyDescent="0.2">
      <c r="G25" s="244"/>
      <c r="H25" s="245"/>
    </row>
    <row r="26" spans="1:14" ht="17" thickBot="1" x14ac:dyDescent="0.25">
      <c r="G26" s="262" t="s">
        <v>235</v>
      </c>
      <c r="H26" s="266">
        <v>1E-3</v>
      </c>
    </row>
    <row r="27" spans="1:14" ht="16" customHeight="1" thickBot="1" x14ac:dyDescent="0.25">
      <c r="A27" s="226" t="s">
        <v>236</v>
      </c>
      <c r="B27" s="267" t="s">
        <v>112</v>
      </c>
      <c r="C27" s="268" t="s">
        <v>113</v>
      </c>
      <c r="D27" s="269" t="s">
        <v>114</v>
      </c>
      <c r="G27" s="59"/>
      <c r="H27" s="220"/>
    </row>
    <row r="28" spans="1:14" x14ac:dyDescent="0.2">
      <c r="A28" s="262" t="s">
        <v>237</v>
      </c>
      <c r="B28" s="255">
        <v>0.85</v>
      </c>
      <c r="C28" s="255">
        <v>0.85</v>
      </c>
      <c r="D28" s="256">
        <v>0.85</v>
      </c>
    </row>
    <row r="29" spans="1:14" ht="34" x14ac:dyDescent="0.2">
      <c r="A29" s="260" t="s">
        <v>238</v>
      </c>
      <c r="B29" s="255">
        <v>0.74</v>
      </c>
      <c r="C29" s="255">
        <v>0.55000000000000004</v>
      </c>
      <c r="D29" s="256">
        <v>0.56000000000000005</v>
      </c>
    </row>
    <row r="30" spans="1:14" ht="34" x14ac:dyDescent="0.2">
      <c r="A30" s="260" t="s">
        <v>239</v>
      </c>
      <c r="B30" s="255">
        <v>0.18</v>
      </c>
      <c r="C30" s="255">
        <v>0.33</v>
      </c>
      <c r="D30" s="256">
        <v>0.38</v>
      </c>
    </row>
    <row r="31" spans="1:14" ht="35" thickBot="1" x14ac:dyDescent="0.25">
      <c r="A31" s="264" t="s">
        <v>240</v>
      </c>
      <c r="B31" s="257">
        <v>0.08</v>
      </c>
      <c r="C31" s="257">
        <v>0.12</v>
      </c>
      <c r="D31" s="258">
        <v>0.06</v>
      </c>
    </row>
    <row r="32" spans="1:14" x14ac:dyDescent="0.2">
      <c r="A32" s="253"/>
    </row>
    <row r="33" spans="1:1" x14ac:dyDescent="0.2">
      <c r="A33" s="253"/>
    </row>
    <row r="34" spans="1:1" x14ac:dyDescent="0.2">
      <c r="A34" s="253"/>
    </row>
  </sheetData>
  <mergeCells count="9">
    <mergeCell ref="G6:H6"/>
    <mergeCell ref="G15:H15"/>
    <mergeCell ref="J15:K15"/>
    <mergeCell ref="A1:B1"/>
    <mergeCell ref="D1:E1"/>
    <mergeCell ref="D15:E15"/>
    <mergeCell ref="A8:B8"/>
    <mergeCell ref="A15:B15"/>
    <mergeCell ref="G1:H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09FEA1-25B7-274F-8D8D-21CEA1F5EDB1}">
  <dimension ref="A1:AF66"/>
  <sheetViews>
    <sheetView tabSelected="1" zoomScale="83" workbookViewId="0">
      <pane ySplit="1" topLeftCell="A2" activePane="bottomLeft" state="frozen"/>
      <selection pane="bottomLeft" sqref="A1:XFD1"/>
    </sheetView>
  </sheetViews>
  <sheetFormatPr baseColWidth="10" defaultColWidth="10.83203125" defaultRowHeight="16" x14ac:dyDescent="0.2"/>
  <cols>
    <col min="1" max="1" width="7.5" style="197" customWidth="1"/>
    <col min="2" max="2" width="22.33203125" style="53" bestFit="1" customWidth="1"/>
    <col min="3" max="3" width="31" style="53" bestFit="1" customWidth="1"/>
    <col min="4" max="4" width="15.1640625" style="53" customWidth="1"/>
    <col min="5" max="5" width="18.5" style="53" customWidth="1"/>
    <col min="6" max="6" width="16.5" style="53" bestFit="1" customWidth="1"/>
    <col min="7" max="7" width="22.6640625" style="53" bestFit="1" customWidth="1"/>
    <col min="8" max="8" width="17.83203125" style="53" customWidth="1"/>
    <col min="9" max="9" width="19" style="53" bestFit="1" customWidth="1"/>
    <col min="10" max="10" width="23" style="53" bestFit="1" customWidth="1"/>
    <col min="11" max="11" width="28.1640625" style="53" customWidth="1"/>
    <col min="12" max="13" width="11" style="53" bestFit="1" customWidth="1"/>
    <col min="14" max="14" width="14.1640625" style="53" customWidth="1"/>
    <col min="15" max="15" width="14" style="53" bestFit="1" customWidth="1"/>
    <col min="16" max="16" width="13" style="53" bestFit="1" customWidth="1"/>
    <col min="17" max="17" width="16.33203125" style="53" bestFit="1" customWidth="1"/>
    <col min="18" max="18" width="15.5" style="53" bestFit="1" customWidth="1"/>
    <col min="19" max="19" width="19.1640625" style="53" bestFit="1" customWidth="1"/>
    <col min="20" max="20" width="13.33203125" style="53" bestFit="1" customWidth="1"/>
    <col min="21" max="21" width="24.5" style="53" bestFit="1" customWidth="1"/>
    <col min="22" max="22" width="22.83203125" style="53" bestFit="1" customWidth="1"/>
    <col min="23" max="23" width="17.5" style="53" bestFit="1" customWidth="1"/>
    <col min="24" max="24" width="27.6640625" style="53" bestFit="1" customWidth="1"/>
    <col min="25" max="25" width="26.6640625" style="53" customWidth="1"/>
    <col min="26" max="26" width="10.83203125" style="53" bestFit="1"/>
    <col min="27" max="27" width="15.1640625" style="53" customWidth="1"/>
    <col min="28" max="28" width="16.6640625" style="53" customWidth="1"/>
    <col min="29" max="30" width="17" style="53" customWidth="1"/>
    <col min="31" max="31" width="20.5" style="53" bestFit="1" customWidth="1"/>
    <col min="32" max="32" width="19.6640625" style="53" bestFit="1" customWidth="1"/>
    <col min="33" max="16384" width="10.83203125" style="53"/>
  </cols>
  <sheetData>
    <row r="1" spans="1:32" x14ac:dyDescent="0.2">
      <c r="A1" s="322" t="s">
        <v>63</v>
      </c>
      <c r="B1" s="323" t="s">
        <v>241</v>
      </c>
      <c r="C1" s="323" t="s">
        <v>242</v>
      </c>
      <c r="D1" s="322" t="s">
        <v>243</v>
      </c>
      <c r="E1" s="323" t="s">
        <v>244</v>
      </c>
      <c r="F1" s="324" t="s">
        <v>245</v>
      </c>
      <c r="G1" s="324" t="s">
        <v>246</v>
      </c>
      <c r="H1" s="323" t="s">
        <v>247</v>
      </c>
      <c r="I1" s="323" t="s">
        <v>248</v>
      </c>
      <c r="J1" s="323" t="s">
        <v>249</v>
      </c>
      <c r="K1" s="324" t="s">
        <v>250</v>
      </c>
      <c r="L1" s="324" t="s">
        <v>251</v>
      </c>
      <c r="M1" s="324" t="s">
        <v>252</v>
      </c>
      <c r="N1" s="324" t="s">
        <v>253</v>
      </c>
      <c r="O1" s="324" t="s">
        <v>254</v>
      </c>
      <c r="P1" s="324" t="s">
        <v>255</v>
      </c>
      <c r="Q1" s="324" t="s">
        <v>256</v>
      </c>
      <c r="R1" s="324" t="s">
        <v>257</v>
      </c>
      <c r="S1" s="324" t="s">
        <v>258</v>
      </c>
      <c r="T1" s="324" t="s">
        <v>259</v>
      </c>
      <c r="U1" s="324" t="s">
        <v>260</v>
      </c>
      <c r="V1" s="324" t="s">
        <v>261</v>
      </c>
      <c r="W1" s="324" t="s">
        <v>262</v>
      </c>
      <c r="X1" s="324" t="s">
        <v>263</v>
      </c>
      <c r="Y1" s="324" t="s">
        <v>264</v>
      </c>
      <c r="Z1" s="325"/>
      <c r="AA1" s="324" t="s">
        <v>265</v>
      </c>
      <c r="AB1" s="324" t="s">
        <v>266</v>
      </c>
      <c r="AC1" s="324" t="s">
        <v>267</v>
      </c>
      <c r="AD1" s="324" t="s">
        <v>268</v>
      </c>
      <c r="AE1" s="324" t="s">
        <v>269</v>
      </c>
      <c r="AF1" s="324" t="s">
        <v>270</v>
      </c>
    </row>
    <row r="2" spans="1:32" x14ac:dyDescent="0.2">
      <c r="A2" s="326">
        <v>1</v>
      </c>
      <c r="B2" s="327">
        <v>0</v>
      </c>
      <c r="C2" s="327">
        <v>0</v>
      </c>
      <c r="D2" s="327">
        <v>0</v>
      </c>
      <c r="E2" s="327">
        <v>0</v>
      </c>
      <c r="F2" s="327">
        <v>0</v>
      </c>
      <c r="G2" s="327"/>
      <c r="H2" s="327"/>
      <c r="I2" s="328"/>
      <c r="J2" s="328"/>
      <c r="K2" s="327">
        <f>SUM(B$2:B2)</f>
        <v>0</v>
      </c>
      <c r="L2" s="328">
        <f>SUM(B$1:B1)</f>
        <v>0</v>
      </c>
      <c r="M2" s="329">
        <f>ROUNDDOWN(L2*'Assumption Sheet'!B28, 0)</f>
        <v>0</v>
      </c>
      <c r="N2" s="330">
        <f>(M2*'Assumption Sheet'!B$29)*'Assumption Sheet'!E$22</f>
        <v>0</v>
      </c>
      <c r="O2" s="330">
        <f>(M2*'Assumption Sheet'!B$29)*'Assumption Sheet'!E$19</f>
        <v>0</v>
      </c>
      <c r="P2" s="330">
        <f>M2*'Assumption Sheet'!$B$30*'Assumption Sheet'!$H$22</f>
        <v>0</v>
      </c>
      <c r="Q2" s="330">
        <f>M2*'Assumption Sheet'!$B$30*'Assumption Sheet'!$H$19</f>
        <v>0</v>
      </c>
      <c r="R2" s="330">
        <f>(M2*'Assumption Sheet'!B$31)*'Assumption Sheet'!K$23</f>
        <v>0</v>
      </c>
      <c r="S2" s="330">
        <f>(M2*'Assumption Sheet'!B$31)*'Assumption Sheet'!K$22</f>
        <v>0</v>
      </c>
      <c r="T2" s="330">
        <f>N2+P2+R2</f>
        <v>0</v>
      </c>
      <c r="U2" s="330">
        <f>O2+Q2+S2</f>
        <v>0</v>
      </c>
      <c r="V2" s="330">
        <f t="shared" ref="V2:V33" si="0">U2-T2</f>
        <v>0</v>
      </c>
      <c r="W2" s="330"/>
      <c r="X2" s="330"/>
      <c r="Y2" s="330"/>
      <c r="Z2" s="327"/>
      <c r="AA2" s="330">
        <f t="shared" ref="AA2:AA33" si="1">D2+T2</f>
        <v>0</v>
      </c>
      <c r="AB2" s="330">
        <f t="shared" ref="AB2:AB33" si="2">C2+U2</f>
        <v>0</v>
      </c>
      <c r="AC2" s="330">
        <f t="shared" ref="AC2:AC33" si="3">AB2-AA2</f>
        <v>0</v>
      </c>
      <c r="AD2" s="331"/>
      <c r="AE2" s="331"/>
      <c r="AF2" s="331"/>
    </row>
    <row r="3" spans="1:32" x14ac:dyDescent="0.2">
      <c r="A3" s="326">
        <v>2</v>
      </c>
      <c r="B3" s="327">
        <v>0</v>
      </c>
      <c r="C3" s="327">
        <v>0</v>
      </c>
      <c r="D3" s="327">
        <v>0</v>
      </c>
      <c r="E3" s="327">
        <v>0</v>
      </c>
      <c r="F3" s="327">
        <v>0</v>
      </c>
      <c r="G3" s="327"/>
      <c r="H3" s="327"/>
      <c r="I3" s="328"/>
      <c r="J3" s="328"/>
      <c r="K3" s="327">
        <f>SUM(B$2:B3)</f>
        <v>0</v>
      </c>
      <c r="L3" s="328">
        <f>SUM(B$1:B2)</f>
        <v>0</v>
      </c>
      <c r="M3" s="329">
        <f>ROUNDDOWN(L3*'Assumption Sheet'!B29, 0)</f>
        <v>0</v>
      </c>
      <c r="N3" s="330">
        <f>(M3*'Assumption Sheet'!B$29)*'Assumption Sheet'!E$22</f>
        <v>0</v>
      </c>
      <c r="O3" s="330">
        <f>(M3*'Assumption Sheet'!B$29)*'Assumption Sheet'!E$19</f>
        <v>0</v>
      </c>
      <c r="P3" s="330">
        <f>M3*'Assumption Sheet'!$B$30*'Assumption Sheet'!$H$22</f>
        <v>0</v>
      </c>
      <c r="Q3" s="330">
        <f>M3*'Assumption Sheet'!$B$30*'Assumption Sheet'!$H$19</f>
        <v>0</v>
      </c>
      <c r="R3" s="330">
        <f>(M3*'Assumption Sheet'!B$31)*'Assumption Sheet'!K$23</f>
        <v>0</v>
      </c>
      <c r="S3" s="330">
        <f>(M3*'Assumption Sheet'!B$31)*'Assumption Sheet'!K$22</f>
        <v>0</v>
      </c>
      <c r="T3" s="330">
        <f t="shared" ref="T3:T61" si="4">N3+P3+R3</f>
        <v>0</v>
      </c>
      <c r="U3" s="330">
        <f t="shared" ref="U3:U34" si="5">O3+Q3+S3</f>
        <v>0</v>
      </c>
      <c r="V3" s="330">
        <f t="shared" si="0"/>
        <v>0</v>
      </c>
      <c r="W3" s="330"/>
      <c r="X3" s="330"/>
      <c r="Y3" s="330"/>
      <c r="Z3" s="327"/>
      <c r="AA3" s="330">
        <f t="shared" si="1"/>
        <v>0</v>
      </c>
      <c r="AB3" s="330">
        <f t="shared" si="2"/>
        <v>0</v>
      </c>
      <c r="AC3" s="330">
        <f t="shared" si="3"/>
        <v>0</v>
      </c>
      <c r="AD3" s="331"/>
      <c r="AE3" s="331"/>
      <c r="AF3" s="331"/>
    </row>
    <row r="4" spans="1:32" x14ac:dyDescent="0.2">
      <c r="A4" s="326">
        <v>3</v>
      </c>
      <c r="B4" s="327">
        <v>0</v>
      </c>
      <c r="C4" s="327">
        <v>0</v>
      </c>
      <c r="D4" s="327">
        <v>0</v>
      </c>
      <c r="E4" s="327">
        <v>0</v>
      </c>
      <c r="F4" s="327">
        <v>0</v>
      </c>
      <c r="G4" s="327"/>
      <c r="H4" s="327"/>
      <c r="I4" s="328"/>
      <c r="J4" s="328"/>
      <c r="K4" s="327">
        <f>SUM(B$2:B4)</f>
        <v>0</v>
      </c>
      <c r="L4" s="328">
        <f>SUM(B$1:B3)</f>
        <v>0</v>
      </c>
      <c r="M4" s="329">
        <f>ROUNDDOWN(L4*'Assumption Sheet'!B30, 0)</f>
        <v>0</v>
      </c>
      <c r="N4" s="330">
        <f>(M4*'Assumption Sheet'!B$29)*'Assumption Sheet'!E$22</f>
        <v>0</v>
      </c>
      <c r="O4" s="330">
        <f>(M4*'Assumption Sheet'!B$29)*'Assumption Sheet'!E$19</f>
        <v>0</v>
      </c>
      <c r="P4" s="330">
        <f>M4*'Assumption Sheet'!$B$30*'Assumption Sheet'!$H$22</f>
        <v>0</v>
      </c>
      <c r="Q4" s="330">
        <f>M4*'Assumption Sheet'!$B$30*'Assumption Sheet'!$H$19</f>
        <v>0</v>
      </c>
      <c r="R4" s="330">
        <f>(M4*'Assumption Sheet'!B$31)*'Assumption Sheet'!K$23</f>
        <v>0</v>
      </c>
      <c r="S4" s="330">
        <f>(M4*'Assumption Sheet'!B$31)*'Assumption Sheet'!K$22</f>
        <v>0</v>
      </c>
      <c r="T4" s="330">
        <f t="shared" si="4"/>
        <v>0</v>
      </c>
      <c r="U4" s="330">
        <f t="shared" si="5"/>
        <v>0</v>
      </c>
      <c r="V4" s="330">
        <f t="shared" si="0"/>
        <v>0</v>
      </c>
      <c r="W4" s="330"/>
      <c r="X4" s="330"/>
      <c r="Y4" s="330"/>
      <c r="Z4" s="327"/>
      <c r="AA4" s="330">
        <f t="shared" si="1"/>
        <v>0</v>
      </c>
      <c r="AB4" s="330">
        <f t="shared" si="2"/>
        <v>0</v>
      </c>
      <c r="AC4" s="330">
        <f t="shared" si="3"/>
        <v>0</v>
      </c>
      <c r="AD4" s="331"/>
      <c r="AE4" s="331"/>
      <c r="AF4" s="331"/>
    </row>
    <row r="5" spans="1:32" x14ac:dyDescent="0.2">
      <c r="A5" s="326">
        <v>4</v>
      </c>
      <c r="B5" s="327">
        <v>0</v>
      </c>
      <c r="C5" s="327">
        <v>0</v>
      </c>
      <c r="D5" s="327">
        <v>0</v>
      </c>
      <c r="E5" s="327">
        <v>0</v>
      </c>
      <c r="F5" s="327">
        <v>0</v>
      </c>
      <c r="G5" s="327"/>
      <c r="H5" s="327"/>
      <c r="I5" s="328"/>
      <c r="J5" s="328"/>
      <c r="K5" s="327">
        <f>SUM(B$2:B5)</f>
        <v>0</v>
      </c>
      <c r="L5" s="328">
        <f>SUM(B$1:B4)</f>
        <v>0</v>
      </c>
      <c r="M5" s="329">
        <f>ROUNDDOWN(L5*'Assumption Sheet'!B31, 0)</f>
        <v>0</v>
      </c>
      <c r="N5" s="330">
        <f>(M5*'Assumption Sheet'!B$29)*'Assumption Sheet'!E$22</f>
        <v>0</v>
      </c>
      <c r="O5" s="330">
        <f>(M5*'Assumption Sheet'!B$29)*'Assumption Sheet'!E$19</f>
        <v>0</v>
      </c>
      <c r="P5" s="330">
        <f>M5*'Assumption Sheet'!$B$30*'Assumption Sheet'!$H$22</f>
        <v>0</v>
      </c>
      <c r="Q5" s="330">
        <f>M5*'Assumption Sheet'!$B$30*'Assumption Sheet'!$H$19</f>
        <v>0</v>
      </c>
      <c r="R5" s="330">
        <f>(M5*'Assumption Sheet'!B$31)*'Assumption Sheet'!K$23</f>
        <v>0</v>
      </c>
      <c r="S5" s="330">
        <f>(M5*'Assumption Sheet'!B$31)*'Assumption Sheet'!K$22</f>
        <v>0</v>
      </c>
      <c r="T5" s="330">
        <f t="shared" si="4"/>
        <v>0</v>
      </c>
      <c r="U5" s="330">
        <f t="shared" si="5"/>
        <v>0</v>
      </c>
      <c r="V5" s="330">
        <f t="shared" si="0"/>
        <v>0</v>
      </c>
      <c r="W5" s="330"/>
      <c r="X5" s="330"/>
      <c r="Y5" s="330"/>
      <c r="Z5" s="330"/>
      <c r="AA5" s="330">
        <f t="shared" si="1"/>
        <v>0</v>
      </c>
      <c r="AB5" s="330">
        <f t="shared" si="2"/>
        <v>0</v>
      </c>
      <c r="AC5" s="330">
        <f t="shared" si="3"/>
        <v>0</v>
      </c>
      <c r="AD5" s="331"/>
      <c r="AE5" s="331"/>
      <c r="AF5" s="331"/>
    </row>
    <row r="6" spans="1:32" x14ac:dyDescent="0.2">
      <c r="A6" s="326">
        <v>5</v>
      </c>
      <c r="B6" s="327">
        <v>0</v>
      </c>
      <c r="C6" s="327">
        <v>0</v>
      </c>
      <c r="D6" s="327">
        <v>0</v>
      </c>
      <c r="E6" s="327">
        <v>0</v>
      </c>
      <c r="F6" s="332">
        <v>3000</v>
      </c>
      <c r="G6" s="332">
        <v>3000</v>
      </c>
      <c r="H6" s="333">
        <f>G6*'Assumption Sheet'!B$10</f>
        <v>92265.075000000012</v>
      </c>
      <c r="I6" s="328"/>
      <c r="J6" s="328"/>
      <c r="K6" s="327">
        <f>SUM(B$2:B6)</f>
        <v>0</v>
      </c>
      <c r="L6" s="328">
        <f>SUM(B$1:B5)</f>
        <v>0</v>
      </c>
      <c r="M6" s="329">
        <f>ROUNDDOWN(L6*'Assumption Sheet'!B32, 0)</f>
        <v>0</v>
      </c>
      <c r="N6" s="330">
        <f>(M6*'Assumption Sheet'!B$29)*'Assumption Sheet'!E$22</f>
        <v>0</v>
      </c>
      <c r="O6" s="330">
        <f>(M6*'Assumption Sheet'!B$29)*'Assumption Sheet'!E$19</f>
        <v>0</v>
      </c>
      <c r="P6" s="330">
        <f>M6*'Assumption Sheet'!$B$30*'Assumption Sheet'!$H$22</f>
        <v>0</v>
      </c>
      <c r="Q6" s="330">
        <f>M6*'Assumption Sheet'!$B$30*'Assumption Sheet'!$H$19</f>
        <v>0</v>
      </c>
      <c r="R6" s="330">
        <f>(M6*'Assumption Sheet'!B$31)*'Assumption Sheet'!K$23</f>
        <v>0</v>
      </c>
      <c r="S6" s="330">
        <f>(M6*'Assumption Sheet'!B$31)*'Assumption Sheet'!K$22</f>
        <v>0</v>
      </c>
      <c r="T6" s="330">
        <f t="shared" si="4"/>
        <v>0</v>
      </c>
      <c r="U6" s="330">
        <f t="shared" si="5"/>
        <v>0</v>
      </c>
      <c r="V6" s="330">
        <f t="shared" si="0"/>
        <v>0</v>
      </c>
      <c r="W6" s="330"/>
      <c r="X6" s="330"/>
      <c r="Y6" s="330"/>
      <c r="Z6" s="327"/>
      <c r="AA6" s="330">
        <f t="shared" si="1"/>
        <v>0</v>
      </c>
      <c r="AB6" s="330">
        <f t="shared" si="2"/>
        <v>0</v>
      </c>
      <c r="AC6" s="330">
        <f t="shared" si="3"/>
        <v>0</v>
      </c>
      <c r="AD6" s="331"/>
      <c r="AE6" s="331"/>
      <c r="AF6" s="331"/>
    </row>
    <row r="7" spans="1:32" x14ac:dyDescent="0.2">
      <c r="A7" s="326">
        <v>6</v>
      </c>
      <c r="B7" s="334">
        <f>ROUNDDOWN('Assumption Sheet'!E2, 0)</f>
        <v>275</v>
      </c>
      <c r="C7" s="333">
        <f>'Assumption Sheet'!B$12*B7</f>
        <v>10058.739837398374</v>
      </c>
      <c r="D7" s="333">
        <f>'Assumption Sheet'!B$10*B7</f>
        <v>8457.6318750000009</v>
      </c>
      <c r="E7" s="335">
        <f>'Assumption Sheet'!B$11*B7</f>
        <v>1824.6851981707309</v>
      </c>
      <c r="F7" s="332">
        <f>F6-ROUNDDOWN(B7, 0)</f>
        <v>2725</v>
      </c>
      <c r="G7" s="327"/>
      <c r="H7" s="333"/>
      <c r="I7" s="328"/>
      <c r="J7" s="328"/>
      <c r="K7" s="327">
        <f>SUM(B$2:B7)</f>
        <v>275</v>
      </c>
      <c r="L7" s="328">
        <f>SUM(B$1:B7)</f>
        <v>275</v>
      </c>
      <c r="M7" s="329">
        <f>ROUNDDOWN(L7*'Assumption Sheet'!B$28, 0)</f>
        <v>233</v>
      </c>
      <c r="N7" s="330">
        <f>(M7*'Assumption Sheet'!B$29)*'Assumption Sheet'!E$22</f>
        <v>66.623087999999996</v>
      </c>
      <c r="O7" s="330">
        <f>(M7*'Assumption Sheet'!B$29)*'Assumption Sheet'!E$19</f>
        <v>140.17886178861787</v>
      </c>
      <c r="P7" s="330">
        <f>M7*'Assumption Sheet'!$B$30*'Assumption Sheet'!$H$22</f>
        <v>24.660719999999998</v>
      </c>
      <c r="Q7" s="330">
        <f>M7*'Assumption Sheet'!$B$30*'Assumption Sheet'!$H$19</f>
        <v>68.195121951219505</v>
      </c>
      <c r="R7" s="330">
        <f>(M7*'Assumption Sheet'!B$31)*'Assumption Sheet'!K$23</f>
        <v>2.4515327999999998</v>
      </c>
      <c r="S7" s="330">
        <f>(M7*'Assumption Sheet'!B$31)*'Assumption Sheet'!K$22</f>
        <v>12.123577235772359</v>
      </c>
      <c r="T7" s="330">
        <f t="shared" si="4"/>
        <v>93.735340799999989</v>
      </c>
      <c r="U7" s="330">
        <f t="shared" si="5"/>
        <v>220.49756097560973</v>
      </c>
      <c r="V7" s="330">
        <f t="shared" si="0"/>
        <v>126.76222017560974</v>
      </c>
      <c r="W7" s="330"/>
      <c r="X7" s="330"/>
      <c r="Y7" s="330"/>
      <c r="Z7" s="327"/>
      <c r="AA7" s="330">
        <f t="shared" si="1"/>
        <v>8551.3672158000008</v>
      </c>
      <c r="AB7" s="330">
        <f t="shared" si="2"/>
        <v>10279.237398373984</v>
      </c>
      <c r="AC7" s="330">
        <f t="shared" si="3"/>
        <v>1727.8701825739827</v>
      </c>
      <c r="AD7" s="331"/>
      <c r="AE7" s="331"/>
      <c r="AF7" s="331"/>
    </row>
    <row r="8" spans="1:32" x14ac:dyDescent="0.2">
      <c r="A8" s="326">
        <v>7</v>
      </c>
      <c r="B8" s="334">
        <f>ROUNDDOWN(B7*(1+'Assumption Sheet'!E$9), 0)</f>
        <v>293</v>
      </c>
      <c r="C8" s="333">
        <f>'Assumption Sheet'!B$12*B8</f>
        <v>10717.130081300813</v>
      </c>
      <c r="D8" s="333">
        <f>'Assumption Sheet'!B$10*B8</f>
        <v>9011.2223250000006</v>
      </c>
      <c r="E8" s="335">
        <f>'Assumption Sheet'!B$11*B8</f>
        <v>1944.1191384146332</v>
      </c>
      <c r="F8" s="332">
        <f t="shared" ref="F8:F39" si="6">F7-ROUNDDOWN(B8, 0)+G7</f>
        <v>2432</v>
      </c>
      <c r="G8" s="327"/>
      <c r="H8" s="333"/>
      <c r="I8" s="328"/>
      <c r="J8" s="328"/>
      <c r="K8" s="327">
        <f>SUM(B$2:B8)</f>
        <v>568</v>
      </c>
      <c r="L8" s="328">
        <f>SUM(B$2:B8)</f>
        <v>568</v>
      </c>
      <c r="M8" s="329">
        <f>ROUNDDOWN(L8*'Assumption Sheet'!B$28, 0)</f>
        <v>482</v>
      </c>
      <c r="N8" s="330">
        <f>(M8*'Assumption Sheet'!B$29)*'Assumption Sheet'!E$22</f>
        <v>137.82115199999998</v>
      </c>
      <c r="O8" s="330">
        <f>(M8*'Assumption Sheet'!B$29)*'Assumption Sheet'!E$19</f>
        <v>289.98373983739839</v>
      </c>
      <c r="P8" s="330">
        <f>M8*'Assumption Sheet'!$B$30*'Assumption Sheet'!$H$22</f>
        <v>51.014879999999991</v>
      </c>
      <c r="Q8" s="330">
        <f>M8*'Assumption Sheet'!$B$30*'Assumption Sheet'!$H$19</f>
        <v>141.07317073170731</v>
      </c>
      <c r="R8" s="330">
        <f>(M8*'Assumption Sheet'!B$31)*'Assumption Sheet'!K$23</f>
        <v>5.0714112</v>
      </c>
      <c r="S8" s="330">
        <f>(M8*'Assumption Sheet'!B$31)*'Assumption Sheet'!K$22</f>
        <v>25.079674796747973</v>
      </c>
      <c r="T8" s="330">
        <f t="shared" si="4"/>
        <v>193.90744319999999</v>
      </c>
      <c r="U8" s="330">
        <f t="shared" si="5"/>
        <v>456.13658536585365</v>
      </c>
      <c r="V8" s="330">
        <f t="shared" si="0"/>
        <v>262.22914216585366</v>
      </c>
      <c r="W8" s="330"/>
      <c r="X8" s="330"/>
      <c r="Y8" s="330"/>
      <c r="Z8" s="327"/>
      <c r="AA8" s="330">
        <f t="shared" si="1"/>
        <v>9205.1297682000004</v>
      </c>
      <c r="AB8" s="330">
        <f t="shared" si="2"/>
        <v>11173.266666666666</v>
      </c>
      <c r="AC8" s="330">
        <f t="shared" si="3"/>
        <v>1968.136898466666</v>
      </c>
      <c r="AD8" s="331"/>
      <c r="AE8" s="331"/>
      <c r="AF8" s="331"/>
    </row>
    <row r="9" spans="1:32" x14ac:dyDescent="0.2">
      <c r="A9" s="326">
        <v>8</v>
      </c>
      <c r="B9" s="334">
        <f>ROUNDDOWN(B8*(1+'Assumption Sheet'!E$9), 0)</f>
        <v>312</v>
      </c>
      <c r="C9" s="333">
        <f>'Assumption Sheet'!B$12*B9</f>
        <v>11412.09756097561</v>
      </c>
      <c r="D9" s="333">
        <f>'Assumption Sheet'!B$10*B9</f>
        <v>9595.5678000000007</v>
      </c>
      <c r="E9" s="335">
        <f>'Assumption Sheet'!B$11*B9</f>
        <v>2070.1882975609747</v>
      </c>
      <c r="F9" s="332">
        <f t="shared" si="6"/>
        <v>2120</v>
      </c>
      <c r="G9" s="327"/>
      <c r="H9" s="333"/>
      <c r="I9" s="328"/>
      <c r="J9" s="328"/>
      <c r="K9" s="327">
        <f>SUM(B$2:B9)</f>
        <v>880</v>
      </c>
      <c r="L9" s="328">
        <f>SUM(B$2:B9)</f>
        <v>880</v>
      </c>
      <c r="M9" s="329">
        <f>ROUNDDOWN(L9*'Assumption Sheet'!B$28, 0)</f>
        <v>748</v>
      </c>
      <c r="N9" s="330">
        <f>(M9*'Assumption Sheet'!B$29)*'Assumption Sheet'!E$22</f>
        <v>213.88012799999998</v>
      </c>
      <c r="O9" s="330">
        <f>(M9*'Assumption Sheet'!B$29)*'Assumption Sheet'!E$19</f>
        <v>450.01626016260161</v>
      </c>
      <c r="P9" s="330">
        <f>M9*'Assumption Sheet'!$B$30*'Assumption Sheet'!$H$22</f>
        <v>79.168319999999994</v>
      </c>
      <c r="Q9" s="330">
        <f>M9*'Assumption Sheet'!$B$30*'Assumption Sheet'!$H$19</f>
        <v>218.92682926829266</v>
      </c>
      <c r="R9" s="330">
        <f>(M9*'Assumption Sheet'!B$31)*'Assumption Sheet'!K$23</f>
        <v>7.8701568000000002</v>
      </c>
      <c r="S9" s="330">
        <f>(M9*'Assumption Sheet'!B$31)*'Assumption Sheet'!K$22</f>
        <v>38.920325203252041</v>
      </c>
      <c r="T9" s="330">
        <f t="shared" si="4"/>
        <v>300.91860480000003</v>
      </c>
      <c r="U9" s="330">
        <f t="shared" si="5"/>
        <v>707.86341463414624</v>
      </c>
      <c r="V9" s="330">
        <f t="shared" si="0"/>
        <v>406.94480983414621</v>
      </c>
      <c r="W9" s="330"/>
      <c r="X9" s="330"/>
      <c r="Y9" s="330"/>
      <c r="Z9" s="327"/>
      <c r="AA9" s="330">
        <f t="shared" si="1"/>
        <v>9896.4864047999999</v>
      </c>
      <c r="AB9" s="330">
        <f t="shared" si="2"/>
        <v>12119.960975609756</v>
      </c>
      <c r="AC9" s="330">
        <f t="shared" si="3"/>
        <v>2223.4745708097562</v>
      </c>
      <c r="AD9" s="331"/>
      <c r="AE9" s="331"/>
      <c r="AF9" s="331"/>
    </row>
    <row r="10" spans="1:32" x14ac:dyDescent="0.2">
      <c r="A10" s="326">
        <v>9</v>
      </c>
      <c r="B10" s="334">
        <f>ROUNDDOWN(B9*(1+'Assumption Sheet'!E$9), 0)</f>
        <v>333</v>
      </c>
      <c r="C10" s="333">
        <f>'Assumption Sheet'!B$12*B10</f>
        <v>12180.219512195123</v>
      </c>
      <c r="D10" s="333">
        <f>'Assumption Sheet'!B$10*B10</f>
        <v>10241.423325000002</v>
      </c>
      <c r="E10" s="335">
        <f>'Assumption Sheet'!B$11*B10</f>
        <v>2209.5278945121941</v>
      </c>
      <c r="F10" s="332">
        <f t="shared" si="6"/>
        <v>1787</v>
      </c>
      <c r="G10" s="327"/>
      <c r="H10" s="333"/>
      <c r="I10" s="328"/>
      <c r="J10" s="328"/>
      <c r="K10" s="327">
        <f>SUM(B$2:B10)</f>
        <v>1213</v>
      </c>
      <c r="L10" s="328">
        <f>SUM(B$2:B10)</f>
        <v>1213</v>
      </c>
      <c r="M10" s="329">
        <f>ROUNDDOWN(L10*'Assumption Sheet'!B$28, 0)</f>
        <v>1031</v>
      </c>
      <c r="N10" s="330">
        <f>(M10*'Assumption Sheet'!B$29)*'Assumption Sheet'!E$22</f>
        <v>294.80001599999997</v>
      </c>
      <c r="O10" s="330">
        <f>(M10*'Assumption Sheet'!B$29)*'Assumption Sheet'!E$19</f>
        <v>620.27642276422762</v>
      </c>
      <c r="P10" s="330">
        <f>M10*'Assumption Sheet'!$B$30*'Assumption Sheet'!$H$22</f>
        <v>109.12103999999998</v>
      </c>
      <c r="Q10" s="330">
        <f>M10*'Assumption Sheet'!$B$30*'Assumption Sheet'!$H$19</f>
        <v>301.7560975609756</v>
      </c>
      <c r="R10" s="330">
        <f>(M10*'Assumption Sheet'!B$31)*'Assumption Sheet'!K$23</f>
        <v>10.847769600000001</v>
      </c>
      <c r="S10" s="330">
        <f>(M10*'Assumption Sheet'!B$31)*'Assumption Sheet'!K$22</f>
        <v>53.645528455284563</v>
      </c>
      <c r="T10" s="330">
        <f t="shared" si="4"/>
        <v>414.76882559999996</v>
      </c>
      <c r="U10" s="330">
        <f t="shared" si="5"/>
        <v>975.67804878048776</v>
      </c>
      <c r="V10" s="330">
        <f t="shared" si="0"/>
        <v>560.90922318048774</v>
      </c>
      <c r="W10" s="330"/>
      <c r="X10" s="330"/>
      <c r="Y10" s="330"/>
      <c r="Z10" s="327"/>
      <c r="AA10" s="330">
        <f t="shared" si="1"/>
        <v>10656.192150600002</v>
      </c>
      <c r="AB10" s="330">
        <f t="shared" si="2"/>
        <v>13155.897560975611</v>
      </c>
      <c r="AC10" s="330">
        <f t="shared" si="3"/>
        <v>2499.7054103756091</v>
      </c>
      <c r="AD10" s="331"/>
      <c r="AE10" s="331"/>
      <c r="AF10" s="331"/>
    </row>
    <row r="11" spans="1:32" x14ac:dyDescent="0.2">
      <c r="A11" s="326">
        <v>10</v>
      </c>
      <c r="B11" s="334">
        <f>ROUNDDOWN(B10*(1+'Assumption Sheet'!E$9), 0)</f>
        <v>355</v>
      </c>
      <c r="C11" s="333">
        <f>'Assumption Sheet'!B$12*B11</f>
        <v>12984.918699186992</v>
      </c>
      <c r="D11" s="333">
        <f>'Assumption Sheet'!B$10*B11</f>
        <v>10918.033875000001</v>
      </c>
      <c r="E11" s="335">
        <f>'Assumption Sheet'!B$11*B11</f>
        <v>2355.5027103658526</v>
      </c>
      <c r="F11" s="332">
        <f t="shared" si="6"/>
        <v>1432</v>
      </c>
      <c r="G11" s="327"/>
      <c r="H11" s="333"/>
      <c r="I11" s="328"/>
      <c r="J11" s="328"/>
      <c r="K11" s="327">
        <f>SUM(B$2:B11)</f>
        <v>1568</v>
      </c>
      <c r="L11" s="328">
        <f>SUM(B$2:B11)</f>
        <v>1568</v>
      </c>
      <c r="M11" s="329">
        <f>ROUNDDOWN(L11*'Assumption Sheet'!B$28, 0)</f>
        <v>1332</v>
      </c>
      <c r="N11" s="330">
        <f>(M11*'Assumption Sheet'!B$29)*'Assumption Sheet'!E$22</f>
        <v>380.86675199999996</v>
      </c>
      <c r="O11" s="330">
        <f>(M11*'Assumption Sheet'!B$29)*'Assumption Sheet'!E$19</f>
        <v>801.36585365853648</v>
      </c>
      <c r="P11" s="330">
        <f>M11*'Assumption Sheet'!$B$30*'Assumption Sheet'!$H$22</f>
        <v>140.97887999999998</v>
      </c>
      <c r="Q11" s="330">
        <f>M11*'Assumption Sheet'!$B$30*'Assumption Sheet'!$H$19</f>
        <v>389.85365853658533</v>
      </c>
      <c r="R11" s="330">
        <f>(M11*'Assumption Sheet'!B$31)*'Assumption Sheet'!K$23</f>
        <v>14.0147712</v>
      </c>
      <c r="S11" s="330">
        <f>(M11*'Assumption Sheet'!B$31)*'Assumption Sheet'!K$22</f>
        <v>69.307317073170736</v>
      </c>
      <c r="T11" s="330">
        <f t="shared" si="4"/>
        <v>535.86040319999995</v>
      </c>
      <c r="U11" s="330">
        <f t="shared" si="5"/>
        <v>1260.5268292682924</v>
      </c>
      <c r="V11" s="330">
        <f t="shared" si="0"/>
        <v>724.66642606829248</v>
      </c>
      <c r="W11" s="330"/>
      <c r="X11" s="330"/>
      <c r="Y11" s="330"/>
      <c r="Z11" s="327"/>
      <c r="AA11" s="330">
        <f t="shared" si="1"/>
        <v>11453.894278200001</v>
      </c>
      <c r="AB11" s="330">
        <f t="shared" si="2"/>
        <v>14245.445528455284</v>
      </c>
      <c r="AC11" s="330">
        <f t="shared" si="3"/>
        <v>2791.5512502552829</v>
      </c>
      <c r="AD11" s="331"/>
      <c r="AE11" s="331"/>
      <c r="AF11" s="331"/>
    </row>
    <row r="12" spans="1:32" x14ac:dyDescent="0.2">
      <c r="A12" s="326">
        <v>11</v>
      </c>
      <c r="B12" s="334">
        <f>ROUNDDOWN(B11*(1+'Assumption Sheet'!E$9), 0)</f>
        <v>379</v>
      </c>
      <c r="C12" s="333">
        <f>'Assumption Sheet'!B$12*B12</f>
        <v>13862.772357723577</v>
      </c>
      <c r="D12" s="333">
        <f>'Assumption Sheet'!B$10*B12</f>
        <v>11656.154475000001</v>
      </c>
      <c r="E12" s="335">
        <f>'Assumption Sheet'!B$11*B12</f>
        <v>2514.7479640243891</v>
      </c>
      <c r="F12" s="332">
        <f t="shared" si="6"/>
        <v>1053</v>
      </c>
      <c r="G12" s="327"/>
      <c r="H12" s="333"/>
      <c r="I12" s="328"/>
      <c r="J12" s="328"/>
      <c r="K12" s="327">
        <f>SUM(B$2:B12)</f>
        <v>1947</v>
      </c>
      <c r="L12" s="328">
        <f>SUM(B$2:B12)</f>
        <v>1947</v>
      </c>
      <c r="M12" s="329">
        <f>ROUNDDOWN(L12*'Assumption Sheet'!B$28, 0)</f>
        <v>1654</v>
      </c>
      <c r="N12" s="330">
        <f>(M12*'Assumption Sheet'!B$29)*'Assumption Sheet'!E$22</f>
        <v>472.93814399999997</v>
      </c>
      <c r="O12" s="330">
        <f>(M12*'Assumption Sheet'!B$29)*'Assumption Sheet'!E$19</f>
        <v>995.08943089430898</v>
      </c>
      <c r="P12" s="330">
        <f>M12*'Assumption Sheet'!$B$30*'Assumption Sheet'!$H$22</f>
        <v>175.05935999999997</v>
      </c>
      <c r="Q12" s="330">
        <f>M12*'Assumption Sheet'!$B$30*'Assumption Sheet'!$H$19</f>
        <v>484.09756097560972</v>
      </c>
      <c r="R12" s="330">
        <f>(M12*'Assumption Sheet'!B$31)*'Assumption Sheet'!K$23</f>
        <v>17.402726399999999</v>
      </c>
      <c r="S12" s="330">
        <f>(M12*'Assumption Sheet'!B$31)*'Assumption Sheet'!K$22</f>
        <v>86.061788617886194</v>
      </c>
      <c r="T12" s="330">
        <f t="shared" si="4"/>
        <v>665.40023039999994</v>
      </c>
      <c r="U12" s="330">
        <f t="shared" si="5"/>
        <v>1565.2487804878049</v>
      </c>
      <c r="V12" s="330">
        <f t="shared" si="0"/>
        <v>899.84855008780494</v>
      </c>
      <c r="W12" s="330"/>
      <c r="X12" s="330"/>
      <c r="Y12" s="330"/>
      <c r="Z12" s="327"/>
      <c r="AA12" s="330">
        <f t="shared" si="1"/>
        <v>12321.554705400002</v>
      </c>
      <c r="AB12" s="330">
        <f t="shared" si="2"/>
        <v>15428.021138211383</v>
      </c>
      <c r="AC12" s="330">
        <f t="shared" si="3"/>
        <v>3106.4664328113813</v>
      </c>
      <c r="AD12" s="331"/>
      <c r="AE12" s="331"/>
      <c r="AF12" s="331"/>
    </row>
    <row r="13" spans="1:32" ht="17" thickBot="1" x14ac:dyDescent="0.25">
      <c r="A13" s="336">
        <v>12</v>
      </c>
      <c r="B13" s="337">
        <f>ROUNDDOWN(B12*(1+'Assumption Sheet'!E$9), 0)</f>
        <v>404</v>
      </c>
      <c r="C13" s="338">
        <f>'Assumption Sheet'!B$12*B13</f>
        <v>14777.203252032521</v>
      </c>
      <c r="D13" s="338">
        <f>'Assumption Sheet'!B$10*B13</f>
        <v>12425.030100000002</v>
      </c>
      <c r="E13" s="339">
        <f>'Assumption Sheet'!B$11*B13</f>
        <v>2680.6284365853644</v>
      </c>
      <c r="F13" s="340">
        <f t="shared" si="6"/>
        <v>649</v>
      </c>
      <c r="G13" s="341"/>
      <c r="H13" s="338"/>
      <c r="I13" s="342">
        <f>SUM(B2:B13)</f>
        <v>2351</v>
      </c>
      <c r="J13" s="342">
        <f>SUM(C2:C13)</f>
        <v>85993.081300813006</v>
      </c>
      <c r="K13" s="343">
        <f>SUM(B$2:B13)</f>
        <v>2351</v>
      </c>
      <c r="L13" s="344">
        <f>SUM(B$2:B13)</f>
        <v>2351</v>
      </c>
      <c r="M13" s="345">
        <f>ROUNDDOWN(L13*'Assumption Sheet'!B$28, 0)</f>
        <v>1998</v>
      </c>
      <c r="N13" s="346">
        <f>(M13*'Assumption Sheet'!B$29)*'Assumption Sheet'!E$22</f>
        <v>571.30012799999997</v>
      </c>
      <c r="O13" s="346">
        <f>(M13*'Assumption Sheet'!B$29)*'Assumption Sheet'!E$19</f>
        <v>1202.0487804878048</v>
      </c>
      <c r="P13" s="346">
        <f>M13*'Assumption Sheet'!$B$30*'Assumption Sheet'!$H$22</f>
        <v>211.46831999999998</v>
      </c>
      <c r="Q13" s="346">
        <f>M13*'Assumption Sheet'!$B$30*'Assumption Sheet'!$H$19</f>
        <v>584.78048780487802</v>
      </c>
      <c r="R13" s="346">
        <f>(M13*'Assumption Sheet'!B$31)*'Assumption Sheet'!K$23</f>
        <v>21.022156800000001</v>
      </c>
      <c r="S13" s="346">
        <f>(M13*'Assumption Sheet'!B$31)*'Assumption Sheet'!K$22</f>
        <v>103.96097560975612</v>
      </c>
      <c r="T13" s="346">
        <f t="shared" si="4"/>
        <v>803.79060479999987</v>
      </c>
      <c r="U13" s="346">
        <f t="shared" si="5"/>
        <v>1890.790243902439</v>
      </c>
      <c r="V13" s="346">
        <f t="shared" si="0"/>
        <v>1086.9996391024392</v>
      </c>
      <c r="W13" s="347">
        <f>L13</f>
        <v>2351</v>
      </c>
      <c r="X13" s="348">
        <f>SUM(U2:U13)</f>
        <v>7076.7414634146335</v>
      </c>
      <c r="Y13" s="348">
        <f>SUM(T2:T13)</f>
        <v>3008.3814527999998</v>
      </c>
      <c r="Z13" s="341"/>
      <c r="AA13" s="346">
        <f t="shared" si="1"/>
        <v>13228.820704800002</v>
      </c>
      <c r="AB13" s="346">
        <f t="shared" si="2"/>
        <v>16667.993495934959</v>
      </c>
      <c r="AC13" s="346">
        <f t="shared" si="3"/>
        <v>3439.1727911349572</v>
      </c>
      <c r="AD13" s="348">
        <f>SUM(AA2:AA13)</f>
        <v>75313.44522780001</v>
      </c>
      <c r="AE13" s="348">
        <f>SUM(AB2:AB13)</f>
        <v>93069.822764227647</v>
      </c>
      <c r="AF13" s="348">
        <f>SUM(AC2:AC13)</f>
        <v>17756.377536427637</v>
      </c>
    </row>
    <row r="14" spans="1:32" ht="17" thickTop="1" x14ac:dyDescent="0.2">
      <c r="A14" s="326">
        <v>13</v>
      </c>
      <c r="B14" s="334">
        <f>ROUNDDOWN(B13*(1+'Assumption Sheet'!H$7), 0)</f>
        <v>484</v>
      </c>
      <c r="C14" s="333">
        <f>'Assumption Sheet'!B$12*B14</f>
        <v>17703.382113821139</v>
      </c>
      <c r="D14" s="333">
        <f>'Assumption Sheet'!B$10*B14</f>
        <v>14885.432100000002</v>
      </c>
      <c r="E14" s="335">
        <f>'Assumption Sheet'!B$11*B14</f>
        <v>3211.4459487804861</v>
      </c>
      <c r="F14" s="349">
        <f t="shared" si="6"/>
        <v>165</v>
      </c>
      <c r="G14" s="327">
        <v>20000</v>
      </c>
      <c r="H14" s="333">
        <f>G14*'Assumption Sheet'!B$10</f>
        <v>615100.50000000012</v>
      </c>
      <c r="I14" s="328"/>
      <c r="J14" s="328"/>
      <c r="K14" s="327">
        <f>SUM(B$2:B14)</f>
        <v>2835</v>
      </c>
      <c r="L14" s="328">
        <f>SUM(B$2:B14)</f>
        <v>2835</v>
      </c>
      <c r="M14" s="329">
        <f>ROUNDDOWN(L14*'Assumption Sheet'!C$28, 0)</f>
        <v>2409</v>
      </c>
      <c r="N14" s="330">
        <f>(M14*'Assumption Sheet'!C$29)*'Assumption Sheet'!E$22</f>
        <v>511.96067999999997</v>
      </c>
      <c r="O14" s="330">
        <f>(M14*'Assumption Sheet'!C$29)*'Assumption Sheet'!E$19</f>
        <v>1077.1951219512196</v>
      </c>
      <c r="P14" s="350">
        <f>M14*'Assumption Sheet'!$C$30*'Assumption Sheet'!$H$22</f>
        <v>467.44236000000001</v>
      </c>
      <c r="Q14" s="330">
        <f>M14*'Assumption Sheet'!$C$30*'Assumption Sheet'!$H$19</f>
        <v>1292.6341463414635</v>
      </c>
      <c r="R14" s="350">
        <f>(M14*'Assumption Sheet'!B$31)*'Assumption Sheet'!K$23</f>
        <v>25.346534399999999</v>
      </c>
      <c r="S14" s="350">
        <f>(M14*'Assumption Sheet'!B$31)*'Assumption Sheet'!K$22</f>
        <v>125.34634146341465</v>
      </c>
      <c r="T14" s="330">
        <f t="shared" si="4"/>
        <v>1004.7495743999999</v>
      </c>
      <c r="U14" s="350">
        <f t="shared" si="5"/>
        <v>2495.1756097560979</v>
      </c>
      <c r="V14" s="330">
        <f t="shared" si="0"/>
        <v>1490.4260353560981</v>
      </c>
      <c r="W14" s="351"/>
      <c r="X14" s="331"/>
      <c r="Y14" s="331"/>
      <c r="Z14" s="330"/>
      <c r="AA14" s="330">
        <f t="shared" si="1"/>
        <v>15890.181674400003</v>
      </c>
      <c r="AB14" s="330">
        <f t="shared" si="2"/>
        <v>20198.557723577236</v>
      </c>
      <c r="AC14" s="330">
        <f t="shared" si="3"/>
        <v>4308.3760491772337</v>
      </c>
      <c r="AD14" s="331"/>
      <c r="AE14" s="331"/>
      <c r="AF14" s="331"/>
    </row>
    <row r="15" spans="1:32" x14ac:dyDescent="0.2">
      <c r="A15" s="326">
        <v>14</v>
      </c>
      <c r="B15" s="334">
        <f>ROUNDDOWN(B14*(1+'Assumption Sheet'!H$7), 0)</f>
        <v>580</v>
      </c>
      <c r="C15" s="333">
        <f>'Assumption Sheet'!B$12*B15</f>
        <v>21214.796747967481</v>
      </c>
      <c r="D15" s="333">
        <f>'Assumption Sheet'!B$10*B15</f>
        <v>17837.914500000003</v>
      </c>
      <c r="E15" s="335">
        <f>'Assumption Sheet'!B$11*B15</f>
        <v>3848.4269634146322</v>
      </c>
      <c r="F15" s="349">
        <f t="shared" si="6"/>
        <v>19585</v>
      </c>
      <c r="G15" s="327"/>
      <c r="H15" s="333"/>
      <c r="I15" s="328"/>
      <c r="J15" s="328"/>
      <c r="K15" s="327">
        <f>SUM(B$2:B15)</f>
        <v>3415</v>
      </c>
      <c r="L15" s="328">
        <f>SUM(B$2:B15)</f>
        <v>3415</v>
      </c>
      <c r="M15" s="329">
        <f>ROUNDDOWN(L15*'Assumption Sheet'!C$28, 0)</f>
        <v>2902</v>
      </c>
      <c r="N15" s="330">
        <f>(M15*'Assumption Sheet'!C$29)*'Assumption Sheet'!E$22</f>
        <v>616.73303999999996</v>
      </c>
      <c r="O15" s="330">
        <f>(M15*'Assumption Sheet'!C$29)*'Assumption Sheet'!E$19</f>
        <v>1297.6422764227643</v>
      </c>
      <c r="P15" s="350">
        <f>M15*'Assumption Sheet'!$C$30*'Assumption Sheet'!$H$22</f>
        <v>563.10408000000007</v>
      </c>
      <c r="Q15" s="330">
        <f>M15*'Assumption Sheet'!$C$30*'Assumption Sheet'!$H$19</f>
        <v>1557.1707317073171</v>
      </c>
      <c r="R15" s="350">
        <f>(M15*'Assumption Sheet'!B$31)*'Assumption Sheet'!K$23</f>
        <v>30.533683199999999</v>
      </c>
      <c r="S15" s="350">
        <f>(M15*'Assumption Sheet'!B$31)*'Assumption Sheet'!K$22</f>
        <v>150.99837398373987</v>
      </c>
      <c r="T15" s="330">
        <f t="shared" si="4"/>
        <v>1210.3708032000002</v>
      </c>
      <c r="U15" s="350">
        <f t="shared" si="5"/>
        <v>3005.8113821138213</v>
      </c>
      <c r="V15" s="330">
        <f t="shared" si="0"/>
        <v>1795.4405789138211</v>
      </c>
      <c r="W15" s="351"/>
      <c r="X15" s="331"/>
      <c r="Y15" s="331"/>
      <c r="Z15" s="327"/>
      <c r="AA15" s="330">
        <f t="shared" si="1"/>
        <v>19048.285303200002</v>
      </c>
      <c r="AB15" s="330">
        <f t="shared" si="2"/>
        <v>24220.608130081302</v>
      </c>
      <c r="AC15" s="330">
        <f t="shared" si="3"/>
        <v>5172.3228268813</v>
      </c>
      <c r="AD15" s="331"/>
      <c r="AE15" s="331"/>
      <c r="AF15" s="331"/>
    </row>
    <row r="16" spans="1:32" x14ac:dyDescent="0.2">
      <c r="A16" s="326">
        <v>15</v>
      </c>
      <c r="B16" s="334">
        <f>ROUNDDOWN(B15*(1+'Assumption Sheet'!H$7), 0)</f>
        <v>696</v>
      </c>
      <c r="C16" s="333">
        <f>'Assumption Sheet'!B$12*B16</f>
        <v>25457.756097560978</v>
      </c>
      <c r="D16" s="333">
        <f>'Assumption Sheet'!B$10*B16</f>
        <v>21405.497400000004</v>
      </c>
      <c r="E16" s="335">
        <f>'Assumption Sheet'!B$11*B16</f>
        <v>4618.1123560975593</v>
      </c>
      <c r="F16" s="349">
        <f t="shared" si="6"/>
        <v>18889</v>
      </c>
      <c r="G16" s="327"/>
      <c r="H16" s="333"/>
      <c r="I16" s="328"/>
      <c r="J16" s="328"/>
      <c r="K16" s="327">
        <f>SUM(B$2:B16)</f>
        <v>4111</v>
      </c>
      <c r="L16" s="328">
        <f>SUM(B$2:B16)</f>
        <v>4111</v>
      </c>
      <c r="M16" s="329">
        <f>ROUNDDOWN(L16*'Assumption Sheet'!C$28, 0)</f>
        <v>3494</v>
      </c>
      <c r="N16" s="330">
        <f>(M16*'Assumption Sheet'!C$29)*'Assumption Sheet'!E$22</f>
        <v>742.54487999999992</v>
      </c>
      <c r="O16" s="330">
        <f>(M16*'Assumption Sheet'!C$29)*'Assumption Sheet'!E$19</f>
        <v>1562.3577235772357</v>
      </c>
      <c r="P16" s="350">
        <f>M16*'Assumption Sheet'!$C$30*'Assumption Sheet'!$H$22</f>
        <v>677.97575999999992</v>
      </c>
      <c r="Q16" s="330">
        <f>M16*'Assumption Sheet'!$C$30*'Assumption Sheet'!$H$19</f>
        <v>1874.8292682926829</v>
      </c>
      <c r="R16" s="350">
        <f>(M16*'Assumption Sheet'!B$31)*'Assumption Sheet'!K$23</f>
        <v>36.762470399999998</v>
      </c>
      <c r="S16" s="350">
        <f>(M16*'Assumption Sheet'!B$31)*'Assumption Sheet'!K$22</f>
        <v>181.80162601626017</v>
      </c>
      <c r="T16" s="330">
        <f t="shared" si="4"/>
        <v>1457.2831103999997</v>
      </c>
      <c r="U16" s="350">
        <f t="shared" si="5"/>
        <v>3618.9886178861789</v>
      </c>
      <c r="V16" s="330">
        <f t="shared" si="0"/>
        <v>2161.7055074861792</v>
      </c>
      <c r="W16" s="351"/>
      <c r="X16" s="331"/>
      <c r="Y16" s="331"/>
      <c r="Z16" s="327"/>
      <c r="AA16" s="330">
        <f t="shared" si="1"/>
        <v>22862.780510400004</v>
      </c>
      <c r="AB16" s="330">
        <f t="shared" si="2"/>
        <v>29076.744715447156</v>
      </c>
      <c r="AC16" s="330">
        <f t="shared" si="3"/>
        <v>6213.9642050471521</v>
      </c>
      <c r="AD16" s="331"/>
      <c r="AE16" s="331"/>
      <c r="AF16" s="331"/>
    </row>
    <row r="17" spans="1:32" x14ac:dyDescent="0.2">
      <c r="A17" s="326">
        <v>16</v>
      </c>
      <c r="B17" s="334">
        <f>ROUNDDOWN(B16*(1+'Assumption Sheet'!H$7), 0)</f>
        <v>835</v>
      </c>
      <c r="C17" s="333">
        <f>'Assumption Sheet'!B$12*B17</f>
        <v>30541.9918699187</v>
      </c>
      <c r="D17" s="333">
        <f>'Assumption Sheet'!B$10*B17</f>
        <v>25680.445875000001</v>
      </c>
      <c r="E17" s="335">
        <f>'Assumption Sheet'!B$11*B17</f>
        <v>5540.4077835365824</v>
      </c>
      <c r="F17" s="349">
        <f t="shared" si="6"/>
        <v>18054</v>
      </c>
      <c r="G17" s="327"/>
      <c r="H17" s="333"/>
      <c r="I17" s="328"/>
      <c r="J17" s="328"/>
      <c r="K17" s="327">
        <f>SUM(B$2:B17)</f>
        <v>4946</v>
      </c>
      <c r="L17" s="328">
        <f>SUM(B$2:B17)</f>
        <v>4946</v>
      </c>
      <c r="M17" s="329">
        <f>ROUNDDOWN(L17*'Assumption Sheet'!C$28, 0)</f>
        <v>4204</v>
      </c>
      <c r="N17" s="330">
        <f>(M17*'Assumption Sheet'!C$29)*'Assumption Sheet'!E$22</f>
        <v>893.43407999999999</v>
      </c>
      <c r="O17" s="330">
        <f>(M17*'Assumption Sheet'!C$29)*'Assumption Sheet'!E$19</f>
        <v>1879.8373983739839</v>
      </c>
      <c r="P17" s="350">
        <f>M17*'Assumption Sheet'!$C$30*'Assumption Sheet'!$H$22</f>
        <v>815.74416000000008</v>
      </c>
      <c r="Q17" s="330">
        <f>M17*'Assumption Sheet'!$C$30*'Assumption Sheet'!$H$19</f>
        <v>2255.8048780487807</v>
      </c>
      <c r="R17" s="350">
        <f>(M17*'Assumption Sheet'!B$31)*'Assumption Sheet'!K$23</f>
        <v>44.232806400000001</v>
      </c>
      <c r="S17" s="350">
        <f>(M17*'Assumption Sheet'!B$31)*'Assumption Sheet'!K$22</f>
        <v>218.7447154471545</v>
      </c>
      <c r="T17" s="330">
        <f t="shared" si="4"/>
        <v>1753.4110464000003</v>
      </c>
      <c r="U17" s="350">
        <f t="shared" si="5"/>
        <v>4354.3869918699193</v>
      </c>
      <c r="V17" s="330">
        <f t="shared" si="0"/>
        <v>2600.9759454699188</v>
      </c>
      <c r="W17" s="351"/>
      <c r="X17" s="331"/>
      <c r="Y17" s="331"/>
      <c r="Z17" s="327"/>
      <c r="AA17" s="330">
        <f t="shared" si="1"/>
        <v>27433.856921400002</v>
      </c>
      <c r="AB17" s="330">
        <f t="shared" si="2"/>
        <v>34896.378861788617</v>
      </c>
      <c r="AC17" s="330">
        <f t="shared" si="3"/>
        <v>7462.5219403886149</v>
      </c>
      <c r="AD17" s="331"/>
      <c r="AE17" s="331"/>
      <c r="AF17" s="331"/>
    </row>
    <row r="18" spans="1:32" x14ac:dyDescent="0.2">
      <c r="A18" s="326">
        <v>17</v>
      </c>
      <c r="B18" s="334">
        <f>ROUNDDOWN(B17*(1+'Assumption Sheet'!H$7), 0)</f>
        <v>1002</v>
      </c>
      <c r="C18" s="333">
        <f>'Assumption Sheet'!B$12*B18</f>
        <v>36650.390243902439</v>
      </c>
      <c r="D18" s="333">
        <f>'Assumption Sheet'!B$10*B18</f>
        <v>30816.535050000002</v>
      </c>
      <c r="E18" s="335">
        <f>'Assumption Sheet'!B$11*B18</f>
        <v>6648.4893402438993</v>
      </c>
      <c r="F18" s="349">
        <f t="shared" si="6"/>
        <v>17052</v>
      </c>
      <c r="G18" s="327"/>
      <c r="H18" s="333"/>
      <c r="I18" s="328"/>
      <c r="J18" s="328"/>
      <c r="K18" s="327">
        <f>SUM(B$2:B18)</f>
        <v>5948</v>
      </c>
      <c r="L18" s="328">
        <f>SUM(B$2:B18)</f>
        <v>5948</v>
      </c>
      <c r="M18" s="329">
        <f>ROUNDDOWN(L18*'Assumption Sheet'!C$28, 0)</f>
        <v>5055</v>
      </c>
      <c r="N18" s="330">
        <f>(M18*'Assumption Sheet'!C$29)*'Assumption Sheet'!E$22</f>
        <v>1074.2885999999999</v>
      </c>
      <c r="O18" s="330">
        <f>(M18*'Assumption Sheet'!C$29)*'Assumption Sheet'!E$19</f>
        <v>2260.3658536585367</v>
      </c>
      <c r="P18" s="350">
        <f>M18*'Assumption Sheet'!$C$30*'Assumption Sheet'!$H$22</f>
        <v>980.87220000000002</v>
      </c>
      <c r="Q18" s="330">
        <f>M18*'Assumption Sheet'!$C$30*'Assumption Sheet'!$H$19</f>
        <v>2712.439024390244</v>
      </c>
      <c r="R18" s="350">
        <f>(M18*'Assumption Sheet'!B$31)*'Assumption Sheet'!K$23</f>
        <v>53.186688000000004</v>
      </c>
      <c r="S18" s="350">
        <f>(M18*'Assumption Sheet'!B$31)*'Assumption Sheet'!K$22</f>
        <v>263.02439024390247</v>
      </c>
      <c r="T18" s="330">
        <f t="shared" si="4"/>
        <v>2108.3474879999994</v>
      </c>
      <c r="U18" s="350">
        <f t="shared" si="5"/>
        <v>5235.8292682926831</v>
      </c>
      <c r="V18" s="330">
        <f t="shared" si="0"/>
        <v>3127.4817802926837</v>
      </c>
      <c r="W18" s="351"/>
      <c r="X18" s="331"/>
      <c r="Y18" s="331"/>
      <c r="Z18" s="327"/>
      <c r="AA18" s="330">
        <f t="shared" si="1"/>
        <v>32924.882538000005</v>
      </c>
      <c r="AB18" s="330">
        <f t="shared" si="2"/>
        <v>41886.219512195123</v>
      </c>
      <c r="AC18" s="330">
        <f t="shared" si="3"/>
        <v>8961.3369741951174</v>
      </c>
      <c r="AD18" s="331"/>
      <c r="AE18" s="331"/>
      <c r="AF18" s="331"/>
    </row>
    <row r="19" spans="1:32" x14ac:dyDescent="0.2">
      <c r="A19" s="326">
        <v>18</v>
      </c>
      <c r="B19" s="334">
        <f>ROUNDDOWN(B18*(1+'Assumption Sheet'!H$7), 0)</f>
        <v>1202</v>
      </c>
      <c r="C19" s="333">
        <f>'Assumption Sheet'!B$12*B19</f>
        <v>43965.837398373988</v>
      </c>
      <c r="D19" s="333">
        <f>'Assumption Sheet'!B$10*B19</f>
        <v>36967.540050000003</v>
      </c>
      <c r="E19" s="335">
        <f>'Assumption Sheet'!B$11*B19</f>
        <v>7975.533120731704</v>
      </c>
      <c r="F19" s="349">
        <f t="shared" si="6"/>
        <v>15850</v>
      </c>
      <c r="G19" s="327"/>
      <c r="H19" s="333"/>
      <c r="I19" s="328"/>
      <c r="J19" s="328"/>
      <c r="K19" s="327">
        <f>SUM(B$2:B19)</f>
        <v>7150</v>
      </c>
      <c r="L19" s="328">
        <f>SUM(B$2:B19)</f>
        <v>7150</v>
      </c>
      <c r="M19" s="329">
        <f>ROUNDDOWN(L19*'Assumption Sheet'!C$28, 0)</f>
        <v>6077</v>
      </c>
      <c r="N19" s="330">
        <f>(M19*'Assumption Sheet'!C$29)*'Assumption Sheet'!E$22</f>
        <v>1291.48404</v>
      </c>
      <c r="O19" s="330">
        <f>(M19*'Assumption Sheet'!C$29)*'Assumption Sheet'!E$19</f>
        <v>2717.3577235772359</v>
      </c>
      <c r="P19" s="350">
        <f>M19*'Assumption Sheet'!$C$30*'Assumption Sheet'!$H$22</f>
        <v>1179.1810800000001</v>
      </c>
      <c r="Q19" s="330">
        <f>M19*'Assumption Sheet'!$C$30*'Assumption Sheet'!$H$19</f>
        <v>3260.8292682926831</v>
      </c>
      <c r="R19" s="350">
        <f>(M19*'Assumption Sheet'!B$31)*'Assumption Sheet'!K$23</f>
        <v>63.939763200000002</v>
      </c>
      <c r="S19" s="350">
        <f>(M19*'Assumption Sheet'!B$31)*'Assumption Sheet'!K$22</f>
        <v>316.20162601626021</v>
      </c>
      <c r="T19" s="330">
        <f t="shared" si="4"/>
        <v>2534.6048832000001</v>
      </c>
      <c r="U19" s="350">
        <f t="shared" si="5"/>
        <v>6294.3886178861794</v>
      </c>
      <c r="V19" s="330">
        <f t="shared" si="0"/>
        <v>3759.7837346861793</v>
      </c>
      <c r="W19" s="351"/>
      <c r="X19" s="331"/>
      <c r="Y19" s="331"/>
      <c r="Z19" s="327"/>
      <c r="AA19" s="330">
        <f t="shared" si="1"/>
        <v>39502.144933200005</v>
      </c>
      <c r="AB19" s="330">
        <f t="shared" si="2"/>
        <v>50260.226016260167</v>
      </c>
      <c r="AC19" s="330">
        <f t="shared" si="3"/>
        <v>10758.081083060162</v>
      </c>
      <c r="AD19" s="331"/>
      <c r="AE19" s="331"/>
      <c r="AF19" s="331"/>
    </row>
    <row r="20" spans="1:32" x14ac:dyDescent="0.2">
      <c r="A20" s="326">
        <v>19</v>
      </c>
      <c r="B20" s="334">
        <f>ROUNDDOWN(B19*(1+'Assumption Sheet'!H$7), 0)</f>
        <v>1442</v>
      </c>
      <c r="C20" s="333">
        <f>'Assumption Sheet'!B$12*B20</f>
        <v>52744.373983739839</v>
      </c>
      <c r="D20" s="333">
        <f>'Assumption Sheet'!B$10*B20</f>
        <v>44348.746050000002</v>
      </c>
      <c r="E20" s="335">
        <f>'Assumption Sheet'!B$11*B20</f>
        <v>9567.9856573170691</v>
      </c>
      <c r="F20" s="349">
        <f t="shared" si="6"/>
        <v>14408</v>
      </c>
      <c r="G20" s="327"/>
      <c r="H20" s="333"/>
      <c r="I20" s="328"/>
      <c r="J20" s="328"/>
      <c r="K20" s="327">
        <f>SUM(B$2:B20)</f>
        <v>8592</v>
      </c>
      <c r="L20" s="328">
        <f>SUM(B$2:B20)</f>
        <v>8592</v>
      </c>
      <c r="M20" s="329">
        <f>ROUNDDOWN(L20*'Assumption Sheet'!C$28, 0)</f>
        <v>7303</v>
      </c>
      <c r="N20" s="330">
        <f>(M20*'Assumption Sheet'!C$29)*'Assumption Sheet'!E$22</f>
        <v>1552.0335600000001</v>
      </c>
      <c r="O20" s="330">
        <f>(M20*'Assumption Sheet'!C$29)*'Assumption Sheet'!E$19</f>
        <v>3265.5691056910573</v>
      </c>
      <c r="P20" s="350">
        <f>M20*'Assumption Sheet'!$C$30*'Assumption Sheet'!$H$22</f>
        <v>1417.07412</v>
      </c>
      <c r="Q20" s="330">
        <f>M20*'Assumption Sheet'!$C$30*'Assumption Sheet'!$H$19</f>
        <v>3918.6829268292686</v>
      </c>
      <c r="R20" s="350">
        <f>(M20*'Assumption Sheet'!B$31)*'Assumption Sheet'!K$23</f>
        <v>76.839244800000003</v>
      </c>
      <c r="S20" s="350">
        <f>(M20*'Assumption Sheet'!B$31)*'Assumption Sheet'!K$22</f>
        <v>379.99349593495941</v>
      </c>
      <c r="T20" s="330">
        <f t="shared" si="4"/>
        <v>3045.9469248</v>
      </c>
      <c r="U20" s="350">
        <f t="shared" si="5"/>
        <v>7564.2455284552852</v>
      </c>
      <c r="V20" s="330">
        <f t="shared" si="0"/>
        <v>4518.2986036552848</v>
      </c>
      <c r="W20" s="351"/>
      <c r="X20" s="331"/>
      <c r="Y20" s="331"/>
      <c r="Z20" s="327"/>
      <c r="AA20" s="330">
        <f t="shared" si="1"/>
        <v>47394.692974800004</v>
      </c>
      <c r="AB20" s="330">
        <f t="shared" si="2"/>
        <v>60308.619512195124</v>
      </c>
      <c r="AC20" s="330">
        <f t="shared" si="3"/>
        <v>12913.92653739512</v>
      </c>
      <c r="AD20" s="331"/>
      <c r="AE20" s="331"/>
      <c r="AF20" s="331"/>
    </row>
    <row r="21" spans="1:32" x14ac:dyDescent="0.2">
      <c r="A21" s="326">
        <v>20</v>
      </c>
      <c r="B21" s="334">
        <f>ROUNDDOWN(B20*(1+'Assumption Sheet'!H$7), 0)</f>
        <v>1730</v>
      </c>
      <c r="C21" s="333">
        <f>'Assumption Sheet'!B$12*B21</f>
        <v>63278.617886178865</v>
      </c>
      <c r="D21" s="333">
        <f>'Assumption Sheet'!B$10*B21</f>
        <v>53206.193250000004</v>
      </c>
      <c r="E21" s="335">
        <f>'Assumption Sheet'!B$11*B21</f>
        <v>11478.928701219507</v>
      </c>
      <c r="F21" s="349">
        <f t="shared" si="6"/>
        <v>12678</v>
      </c>
      <c r="G21" s="327"/>
      <c r="H21" s="333"/>
      <c r="I21" s="328"/>
      <c r="J21" s="328"/>
      <c r="K21" s="327">
        <f>SUM(B$2:B21)</f>
        <v>10322</v>
      </c>
      <c r="L21" s="328">
        <f>SUM(B$2:B21)</f>
        <v>10322</v>
      </c>
      <c r="M21" s="329">
        <f>ROUNDDOWN(L21*'Assumption Sheet'!C$28, 0)</f>
        <v>8773</v>
      </c>
      <c r="N21" s="330">
        <f>(M21*'Assumption Sheet'!C$29)*'Assumption Sheet'!E$22</f>
        <v>1864.43796</v>
      </c>
      <c r="O21" s="330">
        <f>(M21*'Assumption Sheet'!C$29)*'Assumption Sheet'!E$19</f>
        <v>3922.8861788617892</v>
      </c>
      <c r="P21" s="350">
        <f>M21*'Assumption Sheet'!$C$30*'Assumption Sheet'!$H$22</f>
        <v>1702.3129200000001</v>
      </c>
      <c r="Q21" s="330">
        <f>M21*'Assumption Sheet'!$C$30*'Assumption Sheet'!$H$19</f>
        <v>4707.4634146341468</v>
      </c>
      <c r="R21" s="350">
        <f>(M21*'Assumption Sheet'!B$31)*'Assumption Sheet'!K$23</f>
        <v>92.305996800000003</v>
      </c>
      <c r="S21" s="350">
        <f>(M21*'Assumption Sheet'!B$31)*'Assumption Sheet'!K$22</f>
        <v>456.4813008130082</v>
      </c>
      <c r="T21" s="330">
        <f t="shared" si="4"/>
        <v>3659.0568768000003</v>
      </c>
      <c r="U21" s="350">
        <f t="shared" si="5"/>
        <v>9086.8308943089432</v>
      </c>
      <c r="V21" s="330">
        <f t="shared" si="0"/>
        <v>5427.774017508943</v>
      </c>
      <c r="W21" s="351"/>
      <c r="X21" s="331"/>
      <c r="Y21" s="331"/>
      <c r="Z21" s="327"/>
      <c r="AA21" s="330">
        <f t="shared" si="1"/>
        <v>56865.250126800005</v>
      </c>
      <c r="AB21" s="330">
        <f t="shared" si="2"/>
        <v>72365.448780487815</v>
      </c>
      <c r="AC21" s="330">
        <f t="shared" si="3"/>
        <v>15500.19865368781</v>
      </c>
      <c r="AD21" s="331"/>
      <c r="AE21" s="331"/>
      <c r="AF21" s="331"/>
    </row>
    <row r="22" spans="1:32" x14ac:dyDescent="0.2">
      <c r="A22" s="326">
        <v>21</v>
      </c>
      <c r="B22" s="334">
        <f>ROUNDDOWN(B21*(1+'Assumption Sheet'!H$7), 0)</f>
        <v>2076</v>
      </c>
      <c r="C22" s="333">
        <f>'Assumption Sheet'!B$12*B22</f>
        <v>75934.341463414632</v>
      </c>
      <c r="D22" s="333">
        <f>'Assumption Sheet'!B$10*B22</f>
        <v>63847.431900000011</v>
      </c>
      <c r="E22" s="335">
        <f>'Assumption Sheet'!B$11*B22</f>
        <v>13774.714441463408</v>
      </c>
      <c r="F22" s="349">
        <f t="shared" si="6"/>
        <v>10602</v>
      </c>
      <c r="G22" s="327"/>
      <c r="H22" s="333"/>
      <c r="I22" s="328"/>
      <c r="J22" s="328"/>
      <c r="K22" s="327">
        <f>SUM(B$2:B22)</f>
        <v>12398</v>
      </c>
      <c r="L22" s="328">
        <f>SUM(B$2:B22)</f>
        <v>12398</v>
      </c>
      <c r="M22" s="329">
        <f>ROUNDDOWN(L22*'Assumption Sheet'!C$28, 0)</f>
        <v>10538</v>
      </c>
      <c r="N22" s="330">
        <f>(M22*'Assumption Sheet'!C$29)*'Assumption Sheet'!E$22</f>
        <v>2239.5357600000002</v>
      </c>
      <c r="O22" s="330">
        <f>(M22*'Assumption Sheet'!C$29)*'Assumption Sheet'!E$19</f>
        <v>4712.1138211382113</v>
      </c>
      <c r="P22" s="350">
        <f>M22*'Assumption Sheet'!$C$30*'Assumption Sheet'!$H$22</f>
        <v>2044.7935199999999</v>
      </c>
      <c r="Q22" s="330">
        <f>M22*'Assumption Sheet'!$C$30*'Assumption Sheet'!$H$19</f>
        <v>5654.5365853658532</v>
      </c>
      <c r="R22" s="350">
        <f>(M22*'Assumption Sheet'!B$31)*'Assumption Sheet'!K$23</f>
        <v>110.8766208</v>
      </c>
      <c r="S22" s="350">
        <f>(M22*'Assumption Sheet'!B$31)*'Assumption Sheet'!K$22</f>
        <v>548.31869918699192</v>
      </c>
      <c r="T22" s="330">
        <f t="shared" si="4"/>
        <v>4395.2059007999997</v>
      </c>
      <c r="U22" s="350">
        <f t="shared" si="5"/>
        <v>10914.969105691056</v>
      </c>
      <c r="V22" s="330">
        <f t="shared" si="0"/>
        <v>6519.7632048910564</v>
      </c>
      <c r="W22" s="351"/>
      <c r="X22" s="331"/>
      <c r="Y22" s="331"/>
      <c r="Z22" s="327"/>
      <c r="AA22" s="330">
        <f t="shared" si="1"/>
        <v>68242.637800800003</v>
      </c>
      <c r="AB22" s="330">
        <f t="shared" si="2"/>
        <v>86849.310569105684</v>
      </c>
      <c r="AC22" s="330">
        <f t="shared" si="3"/>
        <v>18606.672768305682</v>
      </c>
      <c r="AD22" s="331"/>
      <c r="AE22" s="331"/>
      <c r="AF22" s="331"/>
    </row>
    <row r="23" spans="1:32" x14ac:dyDescent="0.2">
      <c r="A23" s="326">
        <v>22</v>
      </c>
      <c r="B23" s="334">
        <f>ROUNDDOWN(B22*(1+'Assumption Sheet'!H$7), 0)</f>
        <v>2491</v>
      </c>
      <c r="C23" s="333">
        <f>'Assumption Sheet'!B$12*B23</f>
        <v>91113.894308943098</v>
      </c>
      <c r="D23" s="333">
        <f>'Assumption Sheet'!B$10*B23</f>
        <v>76610.767275000006</v>
      </c>
      <c r="E23" s="335">
        <f>'Assumption Sheet'!B$11*B23</f>
        <v>16528.3302859756</v>
      </c>
      <c r="F23" s="349">
        <f t="shared" si="6"/>
        <v>8111</v>
      </c>
      <c r="G23" s="327"/>
      <c r="H23" s="333"/>
      <c r="I23" s="328"/>
      <c r="J23" s="328"/>
      <c r="K23" s="327">
        <f>SUM(B$2:B23)</f>
        <v>14889</v>
      </c>
      <c r="L23" s="328">
        <f>SUM(B$2:B23)</f>
        <v>14889</v>
      </c>
      <c r="M23" s="329">
        <f>ROUNDDOWN(L23*'Assumption Sheet'!C$28, 0)</f>
        <v>12655</v>
      </c>
      <c r="N23" s="330">
        <f>(M23*'Assumption Sheet'!C$29)*'Assumption Sheet'!E$22</f>
        <v>2689.4405999999999</v>
      </c>
      <c r="O23" s="330">
        <f>(M23*'Assumption Sheet'!C$29)*'Assumption Sheet'!E$19</f>
        <v>5658.7398373983742</v>
      </c>
      <c r="P23" s="350">
        <f>M23*'Assumption Sheet'!$C$30*'Assumption Sheet'!$H$22</f>
        <v>2455.5762</v>
      </c>
      <c r="Q23" s="330">
        <f>M23*'Assumption Sheet'!$C$30*'Assumption Sheet'!$H$19</f>
        <v>6790.4878048780492</v>
      </c>
      <c r="R23" s="350">
        <f>(M23*'Assumption Sheet'!B$31)*'Assumption Sheet'!K$23</f>
        <v>133.150848</v>
      </c>
      <c r="S23" s="350">
        <f>(M23*'Assumption Sheet'!B$31)*'Assumption Sheet'!K$22</f>
        <v>658.47154471544729</v>
      </c>
      <c r="T23" s="330">
        <f t="shared" si="4"/>
        <v>5278.1676479999996</v>
      </c>
      <c r="U23" s="350">
        <f t="shared" si="5"/>
        <v>13107.699186991869</v>
      </c>
      <c r="V23" s="330">
        <f t="shared" si="0"/>
        <v>7829.5315389918696</v>
      </c>
      <c r="W23" s="351"/>
      <c r="X23" s="331"/>
      <c r="Y23" s="331"/>
      <c r="Z23" s="327"/>
      <c r="AA23" s="330">
        <f t="shared" si="1"/>
        <v>81888.934923000008</v>
      </c>
      <c r="AB23" s="330">
        <f t="shared" si="2"/>
        <v>104221.59349593497</v>
      </c>
      <c r="AC23" s="330">
        <f t="shared" si="3"/>
        <v>22332.658572934961</v>
      </c>
      <c r="AD23" s="331"/>
      <c r="AE23" s="331"/>
      <c r="AF23" s="331"/>
    </row>
    <row r="24" spans="1:32" x14ac:dyDescent="0.2">
      <c r="A24" s="326">
        <v>23</v>
      </c>
      <c r="B24" s="334">
        <f>ROUNDDOWN(B23*(1+'Assumption Sheet'!H$7), 0)</f>
        <v>2989</v>
      </c>
      <c r="C24" s="333">
        <f>'Assumption Sheet'!B$12*B24</f>
        <v>109329.35772357724</v>
      </c>
      <c r="D24" s="333">
        <f>'Assumption Sheet'!B$10*B24</f>
        <v>91926.769725000006</v>
      </c>
      <c r="E24" s="335">
        <f>'Assumption Sheet'!B$11*B24</f>
        <v>19832.669299390236</v>
      </c>
      <c r="F24" s="349">
        <f t="shared" si="6"/>
        <v>5122</v>
      </c>
      <c r="G24" s="327"/>
      <c r="H24" s="333"/>
      <c r="I24" s="328"/>
      <c r="J24" s="328"/>
      <c r="K24" s="327">
        <f>SUM(B$2:B24)</f>
        <v>17878</v>
      </c>
      <c r="L24" s="328">
        <f>SUM(B$2:B24)</f>
        <v>17878</v>
      </c>
      <c r="M24" s="329">
        <f>ROUNDDOWN(L24*'Assumption Sheet'!C$28, 0)</f>
        <v>15196</v>
      </c>
      <c r="N24" s="330">
        <f>(M24*'Assumption Sheet'!C$29)*'Assumption Sheet'!E$22</f>
        <v>3229.4539199999999</v>
      </c>
      <c r="O24" s="330">
        <f>(M24*'Assumption Sheet'!C$29)*'Assumption Sheet'!E$19</f>
        <v>6794.9593495934969</v>
      </c>
      <c r="P24" s="350">
        <f>M24*'Assumption Sheet'!$C$30*'Assumption Sheet'!$H$22</f>
        <v>2948.63184</v>
      </c>
      <c r="Q24" s="330">
        <f>M24*'Assumption Sheet'!$C$30*'Assumption Sheet'!$H$19</f>
        <v>8153.9512195121952</v>
      </c>
      <c r="R24" s="350">
        <f>(M24*'Assumption Sheet'!B$31)*'Assumption Sheet'!K$23</f>
        <v>159.8862336</v>
      </c>
      <c r="S24" s="350">
        <f>(M24*'Assumption Sheet'!B$31)*'Assumption Sheet'!K$22</f>
        <v>790.68617886178879</v>
      </c>
      <c r="T24" s="330">
        <f t="shared" si="4"/>
        <v>6337.9719936000001</v>
      </c>
      <c r="U24" s="350">
        <f t="shared" si="5"/>
        <v>15739.59674796748</v>
      </c>
      <c r="V24" s="330">
        <f t="shared" si="0"/>
        <v>9401.6247543674799</v>
      </c>
      <c r="W24" s="351"/>
      <c r="X24" s="331"/>
      <c r="Y24" s="331"/>
      <c r="Z24" s="327"/>
      <c r="AA24" s="330">
        <f t="shared" si="1"/>
        <v>98264.741718600009</v>
      </c>
      <c r="AB24" s="330">
        <f t="shared" si="2"/>
        <v>125068.95447154471</v>
      </c>
      <c r="AC24" s="330">
        <f t="shared" si="3"/>
        <v>26804.212752944703</v>
      </c>
      <c r="AD24" s="331"/>
      <c r="AE24" s="331"/>
      <c r="AF24" s="331"/>
    </row>
    <row r="25" spans="1:32" ht="17" thickBot="1" x14ac:dyDescent="0.25">
      <c r="A25" s="336">
        <v>24</v>
      </c>
      <c r="B25" s="337">
        <f>ROUNDDOWN(B24*(1+'Assumption Sheet'!H$7), 0)</f>
        <v>3586</v>
      </c>
      <c r="C25" s="338">
        <f>'Assumption Sheet'!B$12*B25</f>
        <v>131165.96747967479</v>
      </c>
      <c r="D25" s="338">
        <f>'Assumption Sheet'!B$10*B25</f>
        <v>110287.51965000002</v>
      </c>
      <c r="E25" s="339">
        <f>'Assumption Sheet'!B$11*B25</f>
        <v>23793.894984146329</v>
      </c>
      <c r="F25" s="352">
        <f t="shared" si="6"/>
        <v>1536</v>
      </c>
      <c r="G25" s="341">
        <v>20000</v>
      </c>
      <c r="H25" s="338">
        <f>G25*'Assumption Sheet'!B$10</f>
        <v>615100.50000000012</v>
      </c>
      <c r="I25" s="342">
        <f>SUM(B14:B25)</f>
        <v>19113</v>
      </c>
      <c r="J25" s="342">
        <f>SUM(C14:C25)</f>
        <v>699100.70731707313</v>
      </c>
      <c r="K25" s="343">
        <f>SUM(B$2:B25)</f>
        <v>21464</v>
      </c>
      <c r="L25" s="344">
        <f>SUM(B$2:B25)</f>
        <v>21464</v>
      </c>
      <c r="M25" s="345">
        <f>ROUNDDOWN(L25*'Assumption Sheet'!C$28, 0)</f>
        <v>18244</v>
      </c>
      <c r="N25" s="346">
        <f>(M25*'Assumption Sheet'!C$29)*'Assumption Sheet'!E$22</f>
        <v>3877.21488</v>
      </c>
      <c r="O25" s="346">
        <f>(M25*'Assumption Sheet'!C$29)*'Assumption Sheet'!E$19</f>
        <v>8157.8861788617887</v>
      </c>
      <c r="P25" s="353">
        <f>M25*'Assumption Sheet'!$C$30*'Assumption Sheet'!$H$22</f>
        <v>3540.06576</v>
      </c>
      <c r="Q25" s="346">
        <f>M25*'Assumption Sheet'!$C$30*'Assumption Sheet'!$H$19</f>
        <v>9789.4634146341468</v>
      </c>
      <c r="R25" s="353">
        <f>(M25*'Assumption Sheet'!B$31)*'Assumption Sheet'!K$23</f>
        <v>191.95607039999999</v>
      </c>
      <c r="S25" s="353">
        <f>(M25*'Assumption Sheet'!B$31)*'Assumption Sheet'!K$22</f>
        <v>949.28130081300822</v>
      </c>
      <c r="T25" s="346">
        <f t="shared" si="4"/>
        <v>7609.2367103999995</v>
      </c>
      <c r="U25" s="353">
        <f t="shared" si="5"/>
        <v>18896.630894308943</v>
      </c>
      <c r="V25" s="346">
        <f t="shared" si="0"/>
        <v>11287.394183908942</v>
      </c>
      <c r="W25" s="347">
        <f>L25</f>
        <v>21464</v>
      </c>
      <c r="X25" s="348">
        <f>SUM(U14:U25)</f>
        <v>100314.55284552847</v>
      </c>
      <c r="Y25" s="348">
        <f>SUM(T14:T25)</f>
        <v>40394.352960000004</v>
      </c>
      <c r="Z25" s="341"/>
      <c r="AA25" s="346">
        <f t="shared" si="1"/>
        <v>117896.75636040002</v>
      </c>
      <c r="AB25" s="346">
        <f t="shared" si="2"/>
        <v>150062.59837398372</v>
      </c>
      <c r="AC25" s="346">
        <f t="shared" si="3"/>
        <v>32165.842013583708</v>
      </c>
      <c r="AD25" s="348">
        <f>SUM(AA14:AA25)</f>
        <v>628215.14578500006</v>
      </c>
      <c r="AE25" s="348">
        <f>SUM(AB14:AB25)</f>
        <v>799415.2601626016</v>
      </c>
      <c r="AF25" s="348">
        <f>SUM(AC14:AC25)</f>
        <v>171200.11437760154</v>
      </c>
    </row>
    <row r="26" spans="1:32" ht="17" thickTop="1" x14ac:dyDescent="0.2">
      <c r="A26" s="326">
        <v>25</v>
      </c>
      <c r="B26" s="334">
        <f>ROUNDDOWN(B25*(1+'Assumption Sheet'!E$11), 0)</f>
        <v>3729</v>
      </c>
      <c r="C26" s="333">
        <f>'Assumption Sheet'!B$12*B26</f>
        <v>136396.51219512196</v>
      </c>
      <c r="D26" s="333">
        <f>'Assumption Sheet'!B$10*B26</f>
        <v>114685.48822500001</v>
      </c>
      <c r="E26" s="335">
        <f>'Assumption Sheet'!B$11*B26</f>
        <v>24742.731287195111</v>
      </c>
      <c r="F26" s="349">
        <f t="shared" si="6"/>
        <v>17807</v>
      </c>
      <c r="G26" s="327"/>
      <c r="H26" s="333"/>
      <c r="I26" s="328"/>
      <c r="J26" s="328"/>
      <c r="K26" s="327">
        <f>SUM(B$2:B26)</f>
        <v>25193</v>
      </c>
      <c r="L26" s="328">
        <f>SUM(B$2:B26)</f>
        <v>25193</v>
      </c>
      <c r="M26" s="329">
        <f>ROUNDDOWN(L26*'Assumption Sheet'!D$28, 0)</f>
        <v>21414</v>
      </c>
      <c r="N26" s="330">
        <f>(M26*'Assumption Sheet'!D$29)*'Assumption Sheet'!E$22</f>
        <v>4633.646976</v>
      </c>
      <c r="O26" s="330">
        <f>(M26*'Assumption Sheet'!C$29)*'Assumption Sheet'!E$19</f>
        <v>9575.3658536585372</v>
      </c>
      <c r="P26" s="350">
        <f>M26*'Assumption Sheet'!$D$30*'Assumption Sheet'!$H$22</f>
        <v>4784.7441599999993</v>
      </c>
      <c r="Q26" s="330">
        <f>M26*'Assumption Sheet'!$D$30*'Assumption Sheet'!$H$19</f>
        <v>13231.41463414634</v>
      </c>
      <c r="R26" s="350">
        <f>(M26*'Assumption Sheet'!B$31)*'Assumption Sheet'!K$23</f>
        <v>225.3095424</v>
      </c>
      <c r="S26" s="350">
        <f>(M26*'Assumption Sheet'!B$31)*'Assumption Sheet'!K$22</f>
        <v>1114.2243902439027</v>
      </c>
      <c r="T26" s="330">
        <f t="shared" si="4"/>
        <v>9643.7006783999987</v>
      </c>
      <c r="U26" s="350">
        <f t="shared" si="5"/>
        <v>23921.004878048781</v>
      </c>
      <c r="V26" s="330">
        <f t="shared" si="0"/>
        <v>14277.304199648783</v>
      </c>
      <c r="W26" s="351"/>
      <c r="X26" s="331"/>
      <c r="Y26" s="331"/>
      <c r="Z26" s="327"/>
      <c r="AA26" s="330">
        <f t="shared" si="1"/>
        <v>124329.18890340001</v>
      </c>
      <c r="AB26" s="330">
        <f t="shared" si="2"/>
        <v>160317.51707317075</v>
      </c>
      <c r="AC26" s="330">
        <f t="shared" si="3"/>
        <v>35988.328169770743</v>
      </c>
      <c r="AD26" s="331"/>
      <c r="AE26" s="331"/>
      <c r="AF26" s="331"/>
    </row>
    <row r="27" spans="1:32" x14ac:dyDescent="0.2">
      <c r="A27" s="326">
        <v>26</v>
      </c>
      <c r="B27" s="334">
        <f>ROUNDDOWN(B26*(1+'Assumption Sheet'!E$11), 0)</f>
        <v>3877</v>
      </c>
      <c r="C27" s="333">
        <f>'Assumption Sheet'!B$12*B27</f>
        <v>141809.94308943089</v>
      </c>
      <c r="D27" s="333">
        <f>'Assumption Sheet'!B$10*B27</f>
        <v>119237.23192500001</v>
      </c>
      <c r="E27" s="335">
        <f>'Assumption Sheet'!B$11*B27</f>
        <v>25724.743684756086</v>
      </c>
      <c r="F27" s="349">
        <f t="shared" si="6"/>
        <v>13930</v>
      </c>
      <c r="G27" s="327"/>
      <c r="H27" s="333"/>
      <c r="I27" s="328"/>
      <c r="J27" s="328"/>
      <c r="K27" s="327">
        <f>SUM(B$2:B27)</f>
        <v>29070</v>
      </c>
      <c r="L27" s="328">
        <f>SUM(B$2:B27)</f>
        <v>29070</v>
      </c>
      <c r="M27" s="329">
        <f>ROUNDDOWN(L27*'Assumption Sheet'!D$28, 0)</f>
        <v>24709</v>
      </c>
      <c r="N27" s="330">
        <f>(M27*'Assumption Sheet'!D$29)*'Assumption Sheet'!E$22</f>
        <v>5346.6322559999999</v>
      </c>
      <c r="O27" s="330">
        <f>(M27*'Assumption Sheet'!C$29)*'Assumption Sheet'!E$19</f>
        <v>11048.739837398374</v>
      </c>
      <c r="P27" s="350">
        <f>M27*'Assumption Sheet'!$D$30*'Assumption Sheet'!$H$22</f>
        <v>5520.9789599999995</v>
      </c>
      <c r="Q27" s="330">
        <f>M27*'Assumption Sheet'!$D$30*'Assumption Sheet'!$H$19</f>
        <v>15267.349593495936</v>
      </c>
      <c r="R27" s="350">
        <f>(M27*'Assumption Sheet'!B$31)*'Assumption Sheet'!K$23</f>
        <v>259.97821440000001</v>
      </c>
      <c r="S27" s="350">
        <f>(M27*'Assumption Sheet'!B$31)*'Assumption Sheet'!K$22</f>
        <v>1285.6715447154475</v>
      </c>
      <c r="T27" s="330">
        <f t="shared" si="4"/>
        <v>11127.589430399999</v>
      </c>
      <c r="U27" s="350">
        <f t="shared" si="5"/>
        <v>27601.760975609759</v>
      </c>
      <c r="V27" s="330">
        <f t="shared" si="0"/>
        <v>16474.17154520976</v>
      </c>
      <c r="W27" s="351"/>
      <c r="X27" s="331"/>
      <c r="Y27" s="331"/>
      <c r="Z27" s="327"/>
      <c r="AA27" s="330">
        <f t="shared" si="1"/>
        <v>130364.82135540001</v>
      </c>
      <c r="AB27" s="330">
        <f t="shared" si="2"/>
        <v>169411.70406504066</v>
      </c>
      <c r="AC27" s="330">
        <f t="shared" si="3"/>
        <v>39046.882709640646</v>
      </c>
      <c r="AD27" s="331"/>
      <c r="AE27" s="331"/>
      <c r="AF27" s="331"/>
    </row>
    <row r="28" spans="1:32" x14ac:dyDescent="0.2">
      <c r="A28" s="326">
        <v>27</v>
      </c>
      <c r="B28" s="334">
        <f>ROUNDDOWN(B27*(1+'Assumption Sheet'!E$11), 0)</f>
        <v>4031</v>
      </c>
      <c r="C28" s="333">
        <f>'Assumption Sheet'!B$12*B28</f>
        <v>147442.83739837399</v>
      </c>
      <c r="D28" s="333">
        <f>'Assumption Sheet'!B$10*B28</f>
        <v>123973.50577500001</v>
      </c>
      <c r="E28" s="335">
        <f>'Assumption Sheet'!B$11*B28</f>
        <v>26746.567395731694</v>
      </c>
      <c r="F28" s="349">
        <f t="shared" si="6"/>
        <v>9899</v>
      </c>
      <c r="G28" s="327"/>
      <c r="H28" s="333"/>
      <c r="I28" s="328"/>
      <c r="J28" s="328"/>
      <c r="K28" s="327">
        <f>SUM(B$2:B28)</f>
        <v>33101</v>
      </c>
      <c r="L28" s="328">
        <f>SUM(B$2:B28)</f>
        <v>33101</v>
      </c>
      <c r="M28" s="329">
        <f>ROUNDDOWN(L28*'Assumption Sheet'!D$28, 0)</f>
        <v>28135</v>
      </c>
      <c r="N28" s="330">
        <f>(M28*'Assumption Sheet'!D$29)*'Assumption Sheet'!E$22</f>
        <v>6087.9638400000003</v>
      </c>
      <c r="O28" s="330">
        <f>(M28*'Assumption Sheet'!C$29)*'Assumption Sheet'!E$19</f>
        <v>12580.691056910571</v>
      </c>
      <c r="P28" s="350">
        <f>M28*'Assumption Sheet'!$D$30*'Assumption Sheet'!$H$22</f>
        <v>6286.4843999999994</v>
      </c>
      <c r="Q28" s="330">
        <f>M28*'Assumption Sheet'!$D$30*'Assumption Sheet'!$H$19</f>
        <v>17384.227642276423</v>
      </c>
      <c r="R28" s="350">
        <f>(M28*'Assumption Sheet'!B$31)*'Assumption Sheet'!K$23</f>
        <v>296.025216</v>
      </c>
      <c r="S28" s="350">
        <f>(M28*'Assumption Sheet'!B$31)*'Assumption Sheet'!K$22</f>
        <v>1463.9349593495938</v>
      </c>
      <c r="T28" s="330">
        <f t="shared" si="4"/>
        <v>12670.473456</v>
      </c>
      <c r="U28" s="350">
        <f t="shared" si="5"/>
        <v>31428.853658536587</v>
      </c>
      <c r="V28" s="330">
        <f t="shared" si="0"/>
        <v>18758.380202536588</v>
      </c>
      <c r="W28" s="351"/>
      <c r="X28" s="331"/>
      <c r="Y28" s="331"/>
      <c r="Z28" s="327"/>
      <c r="AA28" s="330">
        <f t="shared" si="1"/>
        <v>136643.979231</v>
      </c>
      <c r="AB28" s="330">
        <f t="shared" si="2"/>
        <v>178871.69105691058</v>
      </c>
      <c r="AC28" s="330">
        <f t="shared" si="3"/>
        <v>42227.711825910577</v>
      </c>
      <c r="AD28" s="331"/>
      <c r="AE28" s="331"/>
      <c r="AF28" s="331"/>
    </row>
    <row r="29" spans="1:32" x14ac:dyDescent="0.2">
      <c r="A29" s="326">
        <v>28</v>
      </c>
      <c r="B29" s="334">
        <f>ROUNDDOWN(B28*(1+'Assumption Sheet'!E$11), 0)</f>
        <v>4192</v>
      </c>
      <c r="C29" s="333">
        <f>'Assumption Sheet'!B$12*B29</f>
        <v>153331.77235772359</v>
      </c>
      <c r="D29" s="333">
        <f>'Assumption Sheet'!B$10*B29</f>
        <v>128925.06480000001</v>
      </c>
      <c r="E29" s="335">
        <f>'Assumption Sheet'!B$11*B29</f>
        <v>27814.837639024379</v>
      </c>
      <c r="F29" s="349">
        <f t="shared" si="6"/>
        <v>5707</v>
      </c>
      <c r="G29" s="327"/>
      <c r="H29" s="333"/>
      <c r="I29" s="328"/>
      <c r="J29" s="328"/>
      <c r="K29" s="327">
        <f>SUM(B$2:B29)</f>
        <v>37293</v>
      </c>
      <c r="L29" s="328">
        <f>SUM(B$2:B29)</f>
        <v>37293</v>
      </c>
      <c r="M29" s="329">
        <f>ROUNDDOWN(L29*'Assumption Sheet'!D$28, 0)</f>
        <v>31699</v>
      </c>
      <c r="N29" s="330">
        <f>(M29*'Assumption Sheet'!D$29)*'Assumption Sheet'!E$22</f>
        <v>6859.1564160000007</v>
      </c>
      <c r="O29" s="330">
        <f>(M29*'Assumption Sheet'!C$29)*'Assumption Sheet'!E$19</f>
        <v>14174.349593495936</v>
      </c>
      <c r="P29" s="350">
        <f>M29*'Assumption Sheet'!$D$30*'Assumption Sheet'!$H$22</f>
        <v>7082.82456</v>
      </c>
      <c r="Q29" s="330">
        <f>M29*'Assumption Sheet'!$D$30*'Assumption Sheet'!$H$19</f>
        <v>19586.373983739839</v>
      </c>
      <c r="R29" s="350">
        <f>(M29*'Assumption Sheet'!B$31)*'Assumption Sheet'!K$23</f>
        <v>333.52419839999999</v>
      </c>
      <c r="S29" s="350">
        <f>(M29*'Assumption Sheet'!B$31)*'Assumption Sheet'!K$22</f>
        <v>1649.3788617886182</v>
      </c>
      <c r="T29" s="330">
        <f t="shared" si="4"/>
        <v>14275.505174400001</v>
      </c>
      <c r="U29" s="350">
        <f t="shared" si="5"/>
        <v>35410.102439024391</v>
      </c>
      <c r="V29" s="330">
        <f t="shared" si="0"/>
        <v>21134.59726462439</v>
      </c>
      <c r="W29" s="351"/>
      <c r="X29" s="331"/>
      <c r="Y29" s="331"/>
      <c r="Z29" s="327"/>
      <c r="AA29" s="330">
        <f t="shared" si="1"/>
        <v>143200.56997440002</v>
      </c>
      <c r="AB29" s="330">
        <f t="shared" si="2"/>
        <v>188741.87479674799</v>
      </c>
      <c r="AC29" s="330">
        <f t="shared" si="3"/>
        <v>45541.304822347971</v>
      </c>
      <c r="AD29" s="331"/>
      <c r="AE29" s="331"/>
      <c r="AF29" s="331"/>
    </row>
    <row r="30" spans="1:32" x14ac:dyDescent="0.2">
      <c r="A30" s="326">
        <v>29</v>
      </c>
      <c r="B30" s="334">
        <f>ROUNDDOWN(B29*(1+'Assumption Sheet'!E$11), 0)</f>
        <v>4359</v>
      </c>
      <c r="C30" s="333">
        <f>'Assumption Sheet'!B$12*B30</f>
        <v>159440.17073170733</v>
      </c>
      <c r="D30" s="333">
        <f>'Assumption Sheet'!B$10*B30</f>
        <v>134061.15397500002</v>
      </c>
      <c r="E30" s="335">
        <f>'Assumption Sheet'!B$11*B30</f>
        <v>28922.919195731694</v>
      </c>
      <c r="F30" s="349">
        <f t="shared" si="6"/>
        <v>1348</v>
      </c>
      <c r="G30" s="327">
        <v>30000</v>
      </c>
      <c r="H30" s="333">
        <f>G30*'Assumption Sheet'!B$10</f>
        <v>922650.75000000012</v>
      </c>
      <c r="I30" s="328"/>
      <c r="J30" s="328"/>
      <c r="K30" s="327">
        <f>SUM(B$2:B30)</f>
        <v>41652</v>
      </c>
      <c r="L30" s="328">
        <f>SUM(B$2:B30)</f>
        <v>41652</v>
      </c>
      <c r="M30" s="329">
        <f>ROUNDDOWN(L30*'Assumption Sheet'!D$28, 0)</f>
        <v>35404</v>
      </c>
      <c r="N30" s="330">
        <f>(M30*'Assumption Sheet'!D$29)*'Assumption Sheet'!E$22</f>
        <v>7660.859136</v>
      </c>
      <c r="O30" s="330">
        <f>(M30*'Assumption Sheet'!C$29)*'Assumption Sheet'!E$19</f>
        <v>15831.056910569107</v>
      </c>
      <c r="P30" s="350">
        <f>M30*'Assumption Sheet'!$D$30*'Assumption Sheet'!$H$22</f>
        <v>7910.6697599999998</v>
      </c>
      <c r="Q30" s="330">
        <f>M30*'Assumption Sheet'!$D$30*'Assumption Sheet'!$H$19</f>
        <v>21875.642276422765</v>
      </c>
      <c r="R30" s="350">
        <f>(M30*'Assumption Sheet'!B$31)*'Assumption Sheet'!K$23</f>
        <v>372.50672639999999</v>
      </c>
      <c r="S30" s="350">
        <f>(M30*'Assumption Sheet'!B$31)*'Assumption Sheet'!K$22</f>
        <v>1842.1593495934962</v>
      </c>
      <c r="T30" s="330">
        <f t="shared" si="4"/>
        <v>15944.035622400001</v>
      </c>
      <c r="U30" s="350">
        <f t="shared" si="5"/>
        <v>39548.858536585365</v>
      </c>
      <c r="V30" s="330">
        <f t="shared" si="0"/>
        <v>23604.822914185366</v>
      </c>
      <c r="W30" s="351"/>
      <c r="X30" s="331"/>
      <c r="Y30" s="331"/>
      <c r="Z30" s="327"/>
      <c r="AA30" s="330">
        <f t="shared" si="1"/>
        <v>150005.18959740002</v>
      </c>
      <c r="AB30" s="330">
        <f t="shared" si="2"/>
        <v>198989.02926829271</v>
      </c>
      <c r="AC30" s="330">
        <f t="shared" si="3"/>
        <v>48983.839670892688</v>
      </c>
      <c r="AD30" s="331"/>
      <c r="AE30" s="331"/>
      <c r="AF30" s="331"/>
    </row>
    <row r="31" spans="1:32" x14ac:dyDescent="0.2">
      <c r="A31" s="326">
        <v>30</v>
      </c>
      <c r="B31" s="334">
        <f>ROUNDDOWN(B30*(1+'Assumption Sheet'!E$11), 0)</f>
        <v>4533</v>
      </c>
      <c r="C31" s="333">
        <f>'Assumption Sheet'!B$12*B31</f>
        <v>165804.60975609758</v>
      </c>
      <c r="D31" s="333">
        <f>'Assumption Sheet'!B$10*B31</f>
        <v>139412.52832500002</v>
      </c>
      <c r="E31" s="335">
        <f>'Assumption Sheet'!B$11*B31</f>
        <v>30077.447284756083</v>
      </c>
      <c r="F31" s="349">
        <f t="shared" si="6"/>
        <v>26815</v>
      </c>
      <c r="G31" s="327"/>
      <c r="H31" s="333"/>
      <c r="I31" s="328"/>
      <c r="J31" s="328"/>
      <c r="K31" s="327">
        <f>SUM(B$2:B31)</f>
        <v>46185</v>
      </c>
      <c r="L31" s="328">
        <f>SUM(B$2:B31)</f>
        <v>46185</v>
      </c>
      <c r="M31" s="329">
        <f>ROUNDDOWN(L31*'Assumption Sheet'!D$28, 0)</f>
        <v>39257</v>
      </c>
      <c r="N31" s="330">
        <f>(M31*'Assumption Sheet'!D$29)*'Assumption Sheet'!E$22</f>
        <v>8494.5866879999994</v>
      </c>
      <c r="O31" s="330">
        <f>(M31*'Assumption Sheet'!C$29)*'Assumption Sheet'!E$19</f>
        <v>17553.943089430897</v>
      </c>
      <c r="P31" s="350">
        <f>M31*'Assumption Sheet'!$D$30*'Assumption Sheet'!$H$22</f>
        <v>8771.5840799999987</v>
      </c>
      <c r="Q31" s="330">
        <f>M31*'Assumption Sheet'!$D$30*'Assumption Sheet'!$H$19</f>
        <v>24256.357723577235</v>
      </c>
      <c r="R31" s="350">
        <f>(M31*'Assumption Sheet'!B$31)*'Assumption Sheet'!K$23</f>
        <v>413.04645119999998</v>
      </c>
      <c r="S31" s="350">
        <f>(M31*'Assumption Sheet'!B$31)*'Assumption Sheet'!K$22</f>
        <v>2042.6406504065044</v>
      </c>
      <c r="T31" s="330">
        <f t="shared" si="4"/>
        <v>17679.217219199996</v>
      </c>
      <c r="U31" s="350">
        <f t="shared" si="5"/>
        <v>43852.941463414631</v>
      </c>
      <c r="V31" s="330">
        <f t="shared" si="0"/>
        <v>26173.724244214634</v>
      </c>
      <c r="W31" s="351"/>
      <c r="X31" s="331"/>
      <c r="Y31" s="331"/>
      <c r="Z31" s="327"/>
      <c r="AA31" s="330">
        <f t="shared" si="1"/>
        <v>157091.74554420001</v>
      </c>
      <c r="AB31" s="330">
        <f t="shared" si="2"/>
        <v>209657.55121951221</v>
      </c>
      <c r="AC31" s="330">
        <f t="shared" si="3"/>
        <v>52565.805675312207</v>
      </c>
      <c r="AD31" s="331"/>
      <c r="AE31" s="331"/>
      <c r="AF31" s="331"/>
    </row>
    <row r="32" spans="1:32" x14ac:dyDescent="0.2">
      <c r="A32" s="326">
        <v>31</v>
      </c>
      <c r="B32" s="334">
        <f>ROUNDDOWN(B31*(1+'Assumption Sheet'!E$11), 0)</f>
        <v>4714</v>
      </c>
      <c r="C32" s="333">
        <f>'Assumption Sheet'!B$12*B32</f>
        <v>172425.08943089432</v>
      </c>
      <c r="D32" s="333">
        <f>'Assumption Sheet'!B$10*B32</f>
        <v>144979.18785000002</v>
      </c>
      <c r="E32" s="335">
        <f>'Assumption Sheet'!B$11*B32</f>
        <v>31278.421906097548</v>
      </c>
      <c r="F32" s="349">
        <f t="shared" si="6"/>
        <v>22101</v>
      </c>
      <c r="G32" s="327"/>
      <c r="H32" s="333"/>
      <c r="I32" s="328"/>
      <c r="J32" s="328"/>
      <c r="K32" s="327">
        <f>SUM(B$2:B32)</f>
        <v>50899</v>
      </c>
      <c r="L32" s="328">
        <f>SUM(B$2:B32)</f>
        <v>50899</v>
      </c>
      <c r="M32" s="329">
        <f>ROUNDDOWN(L32*'Assumption Sheet'!D$28, 0)</f>
        <v>43264</v>
      </c>
      <c r="N32" s="330">
        <f>(M32*'Assumption Sheet'!D$29)*'Assumption Sheet'!E$22</f>
        <v>9361.6373760000006</v>
      </c>
      <c r="O32" s="330">
        <f>(M32*'Assumption Sheet'!C$29)*'Assumption Sheet'!E$19</f>
        <v>19345.691056910568</v>
      </c>
      <c r="P32" s="350">
        <f>M32*'Assumption Sheet'!$D$30*'Assumption Sheet'!$H$22</f>
        <v>9666.908159999999</v>
      </c>
      <c r="Q32" s="330">
        <f>M32*'Assumption Sheet'!$D$30*'Assumption Sheet'!$H$19</f>
        <v>26732.227642276423</v>
      </c>
      <c r="R32" s="350">
        <f>(M32*'Assumption Sheet'!B$31)*'Assumption Sheet'!K$23</f>
        <v>455.20650239999998</v>
      </c>
      <c r="S32" s="350">
        <f>(M32*'Assumption Sheet'!B$31)*'Assumption Sheet'!K$22</f>
        <v>2251.1349593495938</v>
      </c>
      <c r="T32" s="330">
        <f t="shared" si="4"/>
        <v>19483.752038399998</v>
      </c>
      <c r="U32" s="350">
        <f t="shared" si="5"/>
        <v>48329.053658536584</v>
      </c>
      <c r="V32" s="330">
        <f t="shared" si="0"/>
        <v>28845.301620136586</v>
      </c>
      <c r="W32" s="351"/>
      <c r="X32" s="331"/>
      <c r="Y32" s="331"/>
      <c r="Z32" s="327"/>
      <c r="AA32" s="330">
        <f t="shared" si="1"/>
        <v>164462.93988840003</v>
      </c>
      <c r="AB32" s="330">
        <f t="shared" si="2"/>
        <v>220754.1430894309</v>
      </c>
      <c r="AC32" s="330">
        <f t="shared" si="3"/>
        <v>56291.203201030876</v>
      </c>
      <c r="AD32" s="331"/>
      <c r="AE32" s="331"/>
      <c r="AF32" s="331"/>
    </row>
    <row r="33" spans="1:32" x14ac:dyDescent="0.2">
      <c r="A33" s="326">
        <v>32</v>
      </c>
      <c r="B33" s="334">
        <f>ROUNDDOWN(B32*(1+'Assumption Sheet'!E$11), 0)</f>
        <v>4902</v>
      </c>
      <c r="C33" s="333">
        <f>'Assumption Sheet'!B$12*B33</f>
        <v>179301.60975609758</v>
      </c>
      <c r="D33" s="333">
        <f>'Assumption Sheet'!B$10*B33</f>
        <v>150761.13255000001</v>
      </c>
      <c r="E33" s="335">
        <f>'Assumption Sheet'!B$11*B33</f>
        <v>32525.843059756084</v>
      </c>
      <c r="F33" s="349">
        <f t="shared" si="6"/>
        <v>17199</v>
      </c>
      <c r="G33" s="327"/>
      <c r="H33" s="333"/>
      <c r="I33" s="328"/>
      <c r="J33" s="328"/>
      <c r="K33" s="327">
        <f>SUM(B$2:B33)</f>
        <v>55801</v>
      </c>
      <c r="L33" s="328">
        <f>SUM(B$2:B33)</f>
        <v>55801</v>
      </c>
      <c r="M33" s="329">
        <f>ROUNDDOWN(L33*'Assumption Sheet'!D$28, 0)</f>
        <v>47430</v>
      </c>
      <c r="N33" s="330">
        <f>(M33*'Assumption Sheet'!D$29)*'Assumption Sheet'!E$22</f>
        <v>10263.09312</v>
      </c>
      <c r="O33" s="330">
        <f>(M33*'Assumption Sheet'!C$29)*'Assumption Sheet'!E$19</f>
        <v>21208.536585365855</v>
      </c>
      <c r="P33" s="350">
        <f>M33*'Assumption Sheet'!$D$30*'Assumption Sheet'!$H$22</f>
        <v>10597.7592</v>
      </c>
      <c r="Q33" s="330">
        <f>M33*'Assumption Sheet'!$D$30*'Assumption Sheet'!$H$19</f>
        <v>29306.341463414636</v>
      </c>
      <c r="R33" s="350">
        <f>(M33*'Assumption Sheet'!B$31)*'Assumption Sheet'!K$23</f>
        <v>499.03948800000001</v>
      </c>
      <c r="S33" s="350">
        <f>(M33*'Assumption Sheet'!B$31)*'Assumption Sheet'!K$22</f>
        <v>2467.9024390243908</v>
      </c>
      <c r="T33" s="330">
        <f t="shared" si="4"/>
        <v>21359.891807999997</v>
      </c>
      <c r="U33" s="350">
        <f t="shared" si="5"/>
        <v>52982.780487804885</v>
      </c>
      <c r="V33" s="330">
        <f t="shared" si="0"/>
        <v>31622.888679804888</v>
      </c>
      <c r="W33" s="351"/>
      <c r="X33" s="331"/>
      <c r="Y33" s="331"/>
      <c r="Z33" s="327"/>
      <c r="AA33" s="330">
        <f t="shared" si="1"/>
        <v>172121.024358</v>
      </c>
      <c r="AB33" s="330">
        <f t="shared" si="2"/>
        <v>232284.39024390245</v>
      </c>
      <c r="AC33" s="330">
        <f t="shared" si="3"/>
        <v>60163.365885902458</v>
      </c>
      <c r="AD33" s="331"/>
      <c r="AE33" s="331"/>
      <c r="AF33" s="331"/>
    </row>
    <row r="34" spans="1:32" x14ac:dyDescent="0.2">
      <c r="A34" s="326">
        <v>33</v>
      </c>
      <c r="B34" s="334">
        <f>ROUNDDOWN(B33*(1+'Assumption Sheet'!E$11), 0)</f>
        <v>5097</v>
      </c>
      <c r="C34" s="333">
        <f>'Assumption Sheet'!B$12*B34</f>
        <v>186434.17073170733</v>
      </c>
      <c r="D34" s="333">
        <f>'Assumption Sheet'!B$10*B34</f>
        <v>156758.36242500003</v>
      </c>
      <c r="E34" s="335">
        <f>'Assumption Sheet'!B$11*B34</f>
        <v>33819.710745731689</v>
      </c>
      <c r="F34" s="349">
        <f t="shared" si="6"/>
        <v>12102</v>
      </c>
      <c r="G34" s="327"/>
      <c r="H34" s="333"/>
      <c r="I34" s="328"/>
      <c r="J34" s="328"/>
      <c r="K34" s="327">
        <f>SUM(B$2:B34)</f>
        <v>60898</v>
      </c>
      <c r="L34" s="328">
        <f>SUM(B$2:B34)</f>
        <v>60898</v>
      </c>
      <c r="M34" s="329">
        <f>ROUNDDOWN(L34*'Assumption Sheet'!D$28, 0)</f>
        <v>51763</v>
      </c>
      <c r="N34" s="330">
        <f>(M34*'Assumption Sheet'!D$29)*'Assumption Sheet'!E$22</f>
        <v>11200.684992</v>
      </c>
      <c r="O34" s="330">
        <f>(M34*'Assumption Sheet'!C$29)*'Assumption Sheet'!E$19</f>
        <v>23146.056910569107</v>
      </c>
      <c r="P34" s="350">
        <f>M34*'Assumption Sheet'!$D$30*'Assumption Sheet'!$H$22</f>
        <v>11565.924719999999</v>
      </c>
      <c r="Q34" s="330">
        <f>M34*'Assumption Sheet'!$D$30*'Assumption Sheet'!$H$19</f>
        <v>31983.642276422761</v>
      </c>
      <c r="R34" s="350">
        <f>(M34*'Assumption Sheet'!B$31)*'Assumption Sheet'!K$23</f>
        <v>544.62958079999999</v>
      </c>
      <c r="S34" s="350">
        <f>(M34*'Assumption Sheet'!B$31)*'Assumption Sheet'!K$22</f>
        <v>2693.3593495934965</v>
      </c>
      <c r="T34" s="330">
        <f t="shared" si="4"/>
        <v>23311.239292799997</v>
      </c>
      <c r="U34" s="350">
        <f t="shared" si="5"/>
        <v>57823.058536585369</v>
      </c>
      <c r="V34" s="330">
        <f t="shared" ref="V34:V61" si="7">U34-T34</f>
        <v>34511.819243785372</v>
      </c>
      <c r="W34" s="351"/>
      <c r="X34" s="331"/>
      <c r="Y34" s="331"/>
      <c r="Z34" s="327"/>
      <c r="AA34" s="330">
        <f t="shared" ref="AA34:AA61" si="8">D34+T34</f>
        <v>180069.60171780002</v>
      </c>
      <c r="AB34" s="330">
        <f t="shared" ref="AB34:AB61" si="9">C34+U34</f>
        <v>244257.22926829269</v>
      </c>
      <c r="AC34" s="330">
        <f t="shared" ref="AC34:AC61" si="10">AB34-AA34</f>
        <v>64187.627550492674</v>
      </c>
      <c r="AD34" s="331"/>
      <c r="AE34" s="331"/>
      <c r="AF34" s="331"/>
    </row>
    <row r="35" spans="1:32" x14ac:dyDescent="0.2">
      <c r="A35" s="326">
        <v>34</v>
      </c>
      <c r="B35" s="334">
        <f>ROUNDDOWN(B34*(1+'Assumption Sheet'!E$11), 0)</f>
        <v>5300</v>
      </c>
      <c r="C35" s="333">
        <f>'Assumption Sheet'!B$12*B35</f>
        <v>193859.34959349595</v>
      </c>
      <c r="D35" s="333">
        <f>'Assumption Sheet'!B$10*B35</f>
        <v>163001.63250000001</v>
      </c>
      <c r="E35" s="335">
        <f>'Assumption Sheet'!B$11*B35</f>
        <v>35166.660182926811</v>
      </c>
      <c r="F35" s="349">
        <f t="shared" si="6"/>
        <v>6802</v>
      </c>
      <c r="G35" s="327"/>
      <c r="H35" s="333"/>
      <c r="I35" s="328"/>
      <c r="J35" s="328"/>
      <c r="K35" s="327">
        <f>SUM(B$2:B35)</f>
        <v>66198</v>
      </c>
      <c r="L35" s="328">
        <f>SUM(B$2:B35)</f>
        <v>66198</v>
      </c>
      <c r="M35" s="329">
        <f>ROUNDDOWN(L35*'Assumption Sheet'!D$28, 0)</f>
        <v>56268</v>
      </c>
      <c r="N35" s="330">
        <f>(M35*'Assumption Sheet'!D$29)*'Assumption Sheet'!E$22</f>
        <v>12175.494912</v>
      </c>
      <c r="O35" s="330">
        <f>(M35*'Assumption Sheet'!C$29)*'Assumption Sheet'!E$19</f>
        <v>25160.487804878048</v>
      </c>
      <c r="P35" s="350">
        <f>M35*'Assumption Sheet'!$D$30*'Assumption Sheet'!$H$22</f>
        <v>12572.521919999999</v>
      </c>
      <c r="Q35" s="330">
        <f>M35*'Assumption Sheet'!$D$30*'Assumption Sheet'!$H$19</f>
        <v>34767.219512195123</v>
      </c>
      <c r="R35" s="350">
        <f>(M35*'Assumption Sheet'!B$31)*'Assumption Sheet'!K$23</f>
        <v>592.02938880000011</v>
      </c>
      <c r="S35" s="350">
        <f>(M35*'Assumption Sheet'!B$31)*'Assumption Sheet'!K$22</f>
        <v>2927.7658536585373</v>
      </c>
      <c r="T35" s="330">
        <f t="shared" si="4"/>
        <v>25340.046220800003</v>
      </c>
      <c r="U35" s="350">
        <f t="shared" ref="U35:U61" si="11">O35+Q35+S35</f>
        <v>62855.473170731711</v>
      </c>
      <c r="V35" s="330">
        <f t="shared" si="7"/>
        <v>37515.426949931709</v>
      </c>
      <c r="W35" s="351"/>
      <c r="X35" s="331"/>
      <c r="Y35" s="331"/>
      <c r="Z35" s="327"/>
      <c r="AA35" s="330">
        <f t="shared" si="8"/>
        <v>188341.6787208</v>
      </c>
      <c r="AB35" s="330">
        <f t="shared" si="9"/>
        <v>256714.82276422766</v>
      </c>
      <c r="AC35" s="330">
        <f t="shared" si="10"/>
        <v>68373.144043427659</v>
      </c>
      <c r="AD35" s="331"/>
      <c r="AE35" s="331"/>
      <c r="AF35" s="331"/>
    </row>
    <row r="36" spans="1:32" x14ac:dyDescent="0.2">
      <c r="A36" s="326">
        <v>35</v>
      </c>
      <c r="B36" s="334">
        <f>ROUNDDOWN(B35*(1+'Assumption Sheet'!E$11), 0)</f>
        <v>5511</v>
      </c>
      <c r="C36" s="333">
        <f>'Assumption Sheet'!B$12*B36</f>
        <v>201577.14634146341</v>
      </c>
      <c r="D36" s="333">
        <f>'Assumption Sheet'!B$10*B36</f>
        <v>169490.94277500003</v>
      </c>
      <c r="E36" s="335">
        <f>'Assumption Sheet'!B$11*B36</f>
        <v>36566.691371341447</v>
      </c>
      <c r="F36" s="349">
        <f t="shared" si="6"/>
        <v>1291</v>
      </c>
      <c r="G36" s="327">
        <v>20000</v>
      </c>
      <c r="H36" s="333">
        <f>G36*'Assumption Sheet'!B$10</f>
        <v>615100.50000000012</v>
      </c>
      <c r="I36" s="328"/>
      <c r="J36" s="328"/>
      <c r="K36" s="327">
        <f>SUM(B$2:B36)</f>
        <v>71709</v>
      </c>
      <c r="L36" s="328">
        <f>SUM(B$2:B36)</f>
        <v>71709</v>
      </c>
      <c r="M36" s="329">
        <f>ROUNDDOWN(L36*'Assumption Sheet'!D$28, 0)</f>
        <v>60952</v>
      </c>
      <c r="N36" s="330">
        <f>(M36*'Assumption Sheet'!D$29)*'Assumption Sheet'!E$22</f>
        <v>13189.037568</v>
      </c>
      <c r="O36" s="330">
        <f>(M36*'Assumption Sheet'!C$29)*'Assumption Sheet'!E$19</f>
        <v>27254.959349593501</v>
      </c>
      <c r="P36" s="350">
        <f>M36*'Assumption Sheet'!$D$30*'Assumption Sheet'!$H$22</f>
        <v>13619.114880000001</v>
      </c>
      <c r="Q36" s="330">
        <f>M36*'Assumption Sheet'!$D$30*'Assumption Sheet'!$H$19</f>
        <v>37661.398373983742</v>
      </c>
      <c r="R36" s="350">
        <f>(M36*'Assumption Sheet'!B$31)*'Assumption Sheet'!K$23</f>
        <v>641.3125632</v>
      </c>
      <c r="S36" s="350">
        <f>(M36*'Assumption Sheet'!B$31)*'Assumption Sheet'!K$22</f>
        <v>3171.4861788617891</v>
      </c>
      <c r="T36" s="330">
        <f t="shared" si="4"/>
        <v>27449.465011200002</v>
      </c>
      <c r="U36" s="350">
        <f t="shared" si="11"/>
        <v>68087.843902439025</v>
      </c>
      <c r="V36" s="330">
        <f t="shared" si="7"/>
        <v>40638.378891239023</v>
      </c>
      <c r="W36" s="351"/>
      <c r="X36" s="331"/>
      <c r="Y36" s="331"/>
      <c r="Z36" s="327"/>
      <c r="AA36" s="330">
        <f t="shared" si="8"/>
        <v>196940.40778620003</v>
      </c>
      <c r="AB36" s="330">
        <f t="shared" si="9"/>
        <v>269664.99024390243</v>
      </c>
      <c r="AC36" s="330">
        <f t="shared" si="10"/>
        <v>72724.582457702403</v>
      </c>
      <c r="AD36" s="331"/>
      <c r="AE36" s="331"/>
      <c r="AF36" s="331"/>
    </row>
    <row r="37" spans="1:32" ht="17" thickBot="1" x14ac:dyDescent="0.25">
      <c r="A37" s="336">
        <v>36</v>
      </c>
      <c r="B37" s="337">
        <f>ROUNDDOWN(B36*(1+'Assumption Sheet'!E$11), 0)</f>
        <v>5731</v>
      </c>
      <c r="C37" s="338">
        <f>'Assumption Sheet'!B$12*B37</f>
        <v>209624.13821138212</v>
      </c>
      <c r="D37" s="338">
        <f>'Assumption Sheet'!B$10*B37</f>
        <v>176257.04827500001</v>
      </c>
      <c r="E37" s="339">
        <f>'Assumption Sheet'!B$11*B37</f>
        <v>38026.439529878029</v>
      </c>
      <c r="F37" s="352">
        <f t="shared" si="6"/>
        <v>15560</v>
      </c>
      <c r="G37" s="341"/>
      <c r="H37" s="338"/>
      <c r="I37" s="342">
        <f>SUM(B26:B37)</f>
        <v>55976</v>
      </c>
      <c r="J37" s="342">
        <f>SUM(C26:C37)</f>
        <v>2047447.349593496</v>
      </c>
      <c r="K37" s="341">
        <f>SUM(B$2:B37)</f>
        <v>77440</v>
      </c>
      <c r="L37" s="344">
        <f>SUM(B$2:B37)</f>
        <v>77440</v>
      </c>
      <c r="M37" s="345">
        <f>ROUNDDOWN(L37*'Assumption Sheet'!D$28, 0)</f>
        <v>65824</v>
      </c>
      <c r="N37" s="346">
        <f>(M37*'Assumption Sheet'!D$29)*'Assumption Sheet'!E$22</f>
        <v>14243.260415999999</v>
      </c>
      <c r="O37" s="346">
        <f>(M37*'Assumption Sheet'!C$29)*'Assumption Sheet'!E$19</f>
        <v>29433.495934959352</v>
      </c>
      <c r="P37" s="353">
        <f>M37*'Assumption Sheet'!$D$30*'Assumption Sheet'!$H$22</f>
        <v>14707.714559999999</v>
      </c>
      <c r="Q37" s="346">
        <f>M37*'Assumption Sheet'!$D$30*'Assumption Sheet'!$H$19</f>
        <v>40671.739837398374</v>
      </c>
      <c r="R37" s="353">
        <f>(M37*'Assumption Sheet'!B$31)*'Assumption Sheet'!K$23</f>
        <v>692.57379839999999</v>
      </c>
      <c r="S37" s="353">
        <f>(M37*'Assumption Sheet'!B$31)*'Assumption Sheet'!K$22</f>
        <v>3424.9886178861793</v>
      </c>
      <c r="T37" s="346">
        <f t="shared" si="4"/>
        <v>29643.548774399998</v>
      </c>
      <c r="U37" s="353">
        <f t="shared" si="11"/>
        <v>73530.224390243908</v>
      </c>
      <c r="V37" s="346">
        <f t="shared" si="7"/>
        <v>43886.675615843909</v>
      </c>
      <c r="W37" s="347">
        <f>L37</f>
        <v>77440</v>
      </c>
      <c r="X37" s="348">
        <f>SUM(U26:U37)</f>
        <v>565371.95609756093</v>
      </c>
      <c r="Y37" s="348">
        <f>SUM(T26:T37)</f>
        <v>227928.46472639998</v>
      </c>
      <c r="Z37" s="341"/>
      <c r="AA37" s="346">
        <f t="shared" si="8"/>
        <v>205900.59704940001</v>
      </c>
      <c r="AB37" s="346">
        <f t="shared" si="9"/>
        <v>283154.36260162602</v>
      </c>
      <c r="AC37" s="346">
        <f t="shared" si="10"/>
        <v>77253.765552226017</v>
      </c>
      <c r="AD37" s="348">
        <f>SUM(AA26:AA37)</f>
        <v>1949471.7441264002</v>
      </c>
      <c r="AE37" s="348">
        <f>SUM(AB26:AB37)</f>
        <v>2612819.3056910574</v>
      </c>
      <c r="AF37" s="348">
        <f>SUM(AC26:AC37)</f>
        <v>663347.56156465679</v>
      </c>
    </row>
    <row r="38" spans="1:32" ht="17" thickTop="1" x14ac:dyDescent="0.2">
      <c r="A38" s="326">
        <v>37</v>
      </c>
      <c r="B38" s="334">
        <f>ROUNDDOWN(B37*(1+'Assumption Sheet'!E$5), 0)</f>
        <v>5817</v>
      </c>
      <c r="C38" s="333">
        <f>'Assumption Sheet'!B$12*B38</f>
        <v>212769.78048780488</v>
      </c>
      <c r="D38" s="333">
        <f>'Assumption Sheet'!B$10*B38</f>
        <v>178901.98042500002</v>
      </c>
      <c r="E38" s="335">
        <f>'Assumption Sheet'!B$11*B38</f>
        <v>38597.068355487791</v>
      </c>
      <c r="F38" s="349">
        <f t="shared" si="6"/>
        <v>9743</v>
      </c>
      <c r="G38" s="327"/>
      <c r="H38" s="333"/>
      <c r="I38" s="328"/>
      <c r="J38" s="328"/>
      <c r="K38" s="327"/>
      <c r="L38" s="328">
        <f>SUM(B$2:B38)</f>
        <v>83257</v>
      </c>
      <c r="M38" s="329">
        <f>ROUNDDOWN(L38*'Assumption Sheet'!D$28, 0)</f>
        <v>70768</v>
      </c>
      <c r="N38" s="330">
        <f>(M38*'Assumption Sheet'!D$29)*'Assumption Sheet'!E$22</f>
        <v>15313.062911999999</v>
      </c>
      <c r="O38" s="330">
        <f>(M38*'Assumption Sheet'!C$29)*'Assumption Sheet'!E$19</f>
        <v>31644.227642276423</v>
      </c>
      <c r="P38" s="350">
        <f>M38*'Assumption Sheet'!$D$30*'Assumption Sheet'!$H$22</f>
        <v>15812.401919999998</v>
      </c>
      <c r="Q38" s="350">
        <f>M38*'Assumption Sheet'!$D$30*'Assumption Sheet'!$H$19</f>
        <v>43726.569105691058</v>
      </c>
      <c r="R38" s="350">
        <f>(M38*'Assumption Sheet'!B$31)*'Assumption Sheet'!K$23</f>
        <v>744.59258880000004</v>
      </c>
      <c r="S38" s="350">
        <f>(M38*'Assumption Sheet'!B$31)*'Assumption Sheet'!K$22</f>
        <v>3682.2373983739844</v>
      </c>
      <c r="T38" s="330">
        <f t="shared" si="4"/>
        <v>31870.057420799996</v>
      </c>
      <c r="U38" s="350">
        <f t="shared" si="11"/>
        <v>79053.034146341466</v>
      </c>
      <c r="V38" s="330">
        <f t="shared" si="7"/>
        <v>47182.97672554147</v>
      </c>
      <c r="W38" s="351"/>
      <c r="X38" s="331"/>
      <c r="Y38" s="331"/>
      <c r="Z38" s="327"/>
      <c r="AA38" s="330">
        <f t="shared" si="8"/>
        <v>210772.03784580002</v>
      </c>
      <c r="AB38" s="330">
        <f t="shared" si="9"/>
        <v>291822.81463414634</v>
      </c>
      <c r="AC38" s="330">
        <f t="shared" si="10"/>
        <v>81050.776788346324</v>
      </c>
      <c r="AD38" s="331"/>
      <c r="AE38" s="331"/>
      <c r="AF38" s="331"/>
    </row>
    <row r="39" spans="1:32" x14ac:dyDescent="0.2">
      <c r="A39" s="326">
        <v>38</v>
      </c>
      <c r="B39" s="334">
        <f>ROUNDDOWN(B38*(1+'Assumption Sheet'!E$5), 0)</f>
        <v>5905</v>
      </c>
      <c r="C39" s="333">
        <f>'Assumption Sheet'!B$12*B39</f>
        <v>215988.57723577236</v>
      </c>
      <c r="D39" s="333">
        <f>'Assumption Sheet'!B$10*B39</f>
        <v>181608.42262500001</v>
      </c>
      <c r="E39" s="335">
        <f>'Assumption Sheet'!B$11*B39</f>
        <v>39180.967618902418</v>
      </c>
      <c r="F39" s="349">
        <f t="shared" si="6"/>
        <v>3838</v>
      </c>
      <c r="G39" s="327">
        <v>40000</v>
      </c>
      <c r="H39" s="333">
        <f>G39*'Assumption Sheet'!B$10</f>
        <v>1230201.0000000002</v>
      </c>
      <c r="I39" s="328"/>
      <c r="J39" s="328"/>
      <c r="K39" s="327"/>
      <c r="L39" s="328">
        <f>SUM(B$2:B39)</f>
        <v>89162</v>
      </c>
      <c r="M39" s="329">
        <f>ROUNDDOWN(L39*'Assumption Sheet'!D$28, 0)</f>
        <v>75787</v>
      </c>
      <c r="N39" s="330">
        <f>(M39*'Assumption Sheet'!D$29)*'Assumption Sheet'!E$22</f>
        <v>16399.094207999999</v>
      </c>
      <c r="O39" s="330">
        <f>(M39*'Assumption Sheet'!C$29)*'Assumption Sheet'!E$19</f>
        <v>33888.495934959356</v>
      </c>
      <c r="P39" s="350">
        <f>M39*'Assumption Sheet'!$D$30*'Assumption Sheet'!$H$22</f>
        <v>16933.847279999998</v>
      </c>
      <c r="Q39" s="350">
        <f>M39*'Assumption Sheet'!$D$30*'Assumption Sheet'!$H$19</f>
        <v>46827.739837398374</v>
      </c>
      <c r="R39" s="350">
        <f>(M39*'Assumption Sheet'!B$31)*'Assumption Sheet'!K$23</f>
        <v>797.40049920000001</v>
      </c>
      <c r="S39" s="350">
        <f>(M39*'Assumption Sheet'!B$31)*'Assumption Sheet'!K$22</f>
        <v>3943.3886178861794</v>
      </c>
      <c r="T39" s="330">
        <f t="shared" si="4"/>
        <v>34130.341987199994</v>
      </c>
      <c r="U39" s="350">
        <f t="shared" si="11"/>
        <v>84659.624390243902</v>
      </c>
      <c r="V39" s="330">
        <f t="shared" si="7"/>
        <v>50529.282403043908</v>
      </c>
      <c r="W39" s="351"/>
      <c r="X39" s="331"/>
      <c r="Y39" s="331"/>
      <c r="Z39" s="327"/>
      <c r="AA39" s="330">
        <f t="shared" si="8"/>
        <v>215738.7646122</v>
      </c>
      <c r="AB39" s="330">
        <f t="shared" si="9"/>
        <v>300648.20162601629</v>
      </c>
      <c r="AC39" s="330">
        <f t="shared" si="10"/>
        <v>84909.437013816292</v>
      </c>
      <c r="AD39" s="331"/>
      <c r="AE39" s="331"/>
      <c r="AF39" s="331"/>
    </row>
    <row r="40" spans="1:32" x14ac:dyDescent="0.2">
      <c r="A40" s="326">
        <v>39</v>
      </c>
      <c r="B40" s="334">
        <f>ROUNDDOWN(B39*(1+'Assumption Sheet'!E$5), 0)</f>
        <v>5994</v>
      </c>
      <c r="C40" s="333">
        <f>'Assumption Sheet'!B$12*B40</f>
        <v>219243.95121951221</v>
      </c>
      <c r="D40" s="333">
        <f>'Assumption Sheet'!B$10*B40</f>
        <v>184345.61985000002</v>
      </c>
      <c r="E40" s="335">
        <f>'Assumption Sheet'!B$11*B40</f>
        <v>39771.502101219492</v>
      </c>
      <c r="F40" s="349">
        <f t="shared" ref="F40:F61" si="12">F39-ROUNDDOWN(B40, 0)+G39</f>
        <v>37844</v>
      </c>
      <c r="G40" s="327"/>
      <c r="H40" s="333"/>
      <c r="I40" s="328"/>
      <c r="J40" s="328"/>
      <c r="K40" s="327"/>
      <c r="L40" s="328">
        <f>SUM(B$2:B40)</f>
        <v>95156</v>
      </c>
      <c r="M40" s="329">
        <f>ROUNDDOWN(L40*'Assumption Sheet'!D$28, 0)</f>
        <v>80882</v>
      </c>
      <c r="N40" s="330">
        <f>(M40*'Assumption Sheet'!D$29)*'Assumption Sheet'!E$22</f>
        <v>17501.570688</v>
      </c>
      <c r="O40" s="330">
        <f>(M40*'Assumption Sheet'!C$29)*'Assumption Sheet'!E$19</f>
        <v>36166.747967479678</v>
      </c>
      <c r="P40" s="350">
        <f>M40*'Assumption Sheet'!$D$30*'Assumption Sheet'!$H$22</f>
        <v>18072.274079999999</v>
      </c>
      <c r="Q40" s="350">
        <f>M40*'Assumption Sheet'!$D$30*'Assumption Sheet'!$H$19</f>
        <v>49975.869918699187</v>
      </c>
      <c r="R40" s="350">
        <f>(M40*'Assumption Sheet'!B$31)*'Assumption Sheet'!K$23</f>
        <v>851.00805120000007</v>
      </c>
      <c r="S40" s="350">
        <f>(M40*'Assumption Sheet'!B$31)*'Assumption Sheet'!K$22</f>
        <v>4208.4943089430899</v>
      </c>
      <c r="T40" s="330">
        <f t="shared" si="4"/>
        <v>36424.852819199994</v>
      </c>
      <c r="U40" s="350">
        <f t="shared" si="11"/>
        <v>90351.112195121954</v>
      </c>
      <c r="V40" s="330">
        <f t="shared" si="7"/>
        <v>53926.25937592196</v>
      </c>
      <c r="W40" s="351"/>
      <c r="X40" s="331"/>
      <c r="Y40" s="331"/>
      <c r="Z40" s="327"/>
      <c r="AA40" s="330">
        <f t="shared" si="8"/>
        <v>220770.47266920001</v>
      </c>
      <c r="AB40" s="330">
        <f t="shared" si="9"/>
        <v>309595.06341463415</v>
      </c>
      <c r="AC40" s="330">
        <f t="shared" si="10"/>
        <v>88824.590745434136</v>
      </c>
      <c r="AD40" s="331"/>
      <c r="AE40" s="331"/>
      <c r="AF40" s="331"/>
    </row>
    <row r="41" spans="1:32" x14ac:dyDescent="0.2">
      <c r="A41" s="326">
        <v>40</v>
      </c>
      <c r="B41" s="334">
        <f>ROUNDDOWN(B40*(1+'Assumption Sheet'!E$5), 0)</f>
        <v>6084</v>
      </c>
      <c r="C41" s="333">
        <f>'Assumption Sheet'!B$12*B41</f>
        <v>222535.90243902439</v>
      </c>
      <c r="D41" s="333">
        <f>'Assumption Sheet'!B$10*B41</f>
        <v>187113.57210000002</v>
      </c>
      <c r="E41" s="335">
        <f>'Assumption Sheet'!B$11*B41</f>
        <v>40368.671802439007</v>
      </c>
      <c r="F41" s="349">
        <f t="shared" si="12"/>
        <v>31760</v>
      </c>
      <c r="G41" s="327"/>
      <c r="H41" s="333"/>
      <c r="I41" s="328"/>
      <c r="J41" s="328"/>
      <c r="K41" s="327"/>
      <c r="L41" s="328">
        <f>SUM(B$2:B41)</f>
        <v>101240</v>
      </c>
      <c r="M41" s="329">
        <f>ROUNDDOWN(L41*'Assumption Sheet'!D$28, 0)</f>
        <v>86054</v>
      </c>
      <c r="N41" s="330">
        <f>(M41*'Assumption Sheet'!D$29)*'Assumption Sheet'!E$22</f>
        <v>18620.708736</v>
      </c>
      <c r="O41" s="330">
        <f>(M41*'Assumption Sheet'!C$29)*'Assumption Sheet'!E$19</f>
        <v>38479.430894308949</v>
      </c>
      <c r="P41" s="350">
        <f>M41*'Assumption Sheet'!$D$30*'Assumption Sheet'!$H$22</f>
        <v>19227.905759999998</v>
      </c>
      <c r="Q41" s="350">
        <f>M41*'Assumption Sheet'!$D$30*'Assumption Sheet'!$H$19</f>
        <v>53171.577235772354</v>
      </c>
      <c r="R41" s="350">
        <f>(M41*'Assumption Sheet'!B$31)*'Assumption Sheet'!K$23</f>
        <v>905.42576639999993</v>
      </c>
      <c r="S41" s="350">
        <f>(M41*'Assumption Sheet'!B$31)*'Assumption Sheet'!K$22</f>
        <v>4477.606504065041</v>
      </c>
      <c r="T41" s="330">
        <f t="shared" si="4"/>
        <v>38754.040262399998</v>
      </c>
      <c r="U41" s="350">
        <f t="shared" si="11"/>
        <v>96128.614634146346</v>
      </c>
      <c r="V41" s="330">
        <f t="shared" si="7"/>
        <v>57374.574371746348</v>
      </c>
      <c r="W41" s="351"/>
      <c r="X41" s="331"/>
      <c r="Y41" s="331"/>
      <c r="Z41" s="327"/>
      <c r="AA41" s="330">
        <f t="shared" si="8"/>
        <v>225867.61236240002</v>
      </c>
      <c r="AB41" s="330">
        <f t="shared" si="9"/>
        <v>318664.51707317075</v>
      </c>
      <c r="AC41" s="330">
        <f t="shared" si="10"/>
        <v>92796.90471077073</v>
      </c>
      <c r="AD41" s="331"/>
      <c r="AE41" s="331"/>
      <c r="AF41" s="331"/>
    </row>
    <row r="42" spans="1:32" x14ac:dyDescent="0.2">
      <c r="A42" s="326">
        <v>41</v>
      </c>
      <c r="B42" s="334">
        <f>ROUNDDOWN(B41*(1+'Assumption Sheet'!E$5), 0)</f>
        <v>6176</v>
      </c>
      <c r="C42" s="333">
        <f>'Assumption Sheet'!B$12*B42</f>
        <v>225901.00813008132</v>
      </c>
      <c r="D42" s="333">
        <f>'Assumption Sheet'!B$10*B42</f>
        <v>189943.03440000003</v>
      </c>
      <c r="E42" s="335">
        <f>'Assumption Sheet'!B$11*B42</f>
        <v>40979.111941463394</v>
      </c>
      <c r="F42" s="349">
        <f t="shared" si="12"/>
        <v>25584</v>
      </c>
      <c r="G42" s="327"/>
      <c r="H42" s="333"/>
      <c r="I42" s="328"/>
      <c r="J42" s="328"/>
      <c r="K42" s="327"/>
      <c r="L42" s="328">
        <f>SUM(B$2:B42)</f>
        <v>107416</v>
      </c>
      <c r="M42" s="329">
        <f>ROUNDDOWN(L42*'Assumption Sheet'!D$28, 0)</f>
        <v>91303</v>
      </c>
      <c r="N42" s="330">
        <f>(M42*'Assumption Sheet'!D$29)*'Assumption Sheet'!E$22</f>
        <v>19756.508352000001</v>
      </c>
      <c r="O42" s="330">
        <f>(M42*'Assumption Sheet'!C$29)*'Assumption Sheet'!E$19</f>
        <v>40826.544715447155</v>
      </c>
      <c r="P42" s="350">
        <f>M42*'Assumption Sheet'!$D$30*'Assumption Sheet'!$H$22</f>
        <v>20400.742319999998</v>
      </c>
      <c r="Q42" s="350">
        <f>M42*'Assumption Sheet'!$D$30*'Assumption Sheet'!$H$19</f>
        <v>56414.861788617884</v>
      </c>
      <c r="R42" s="350">
        <f>(M42*'Assumption Sheet'!B$31)*'Assumption Sheet'!K$23</f>
        <v>960.65364479999994</v>
      </c>
      <c r="S42" s="350">
        <f>(M42*'Assumption Sheet'!B$31)*'Assumption Sheet'!K$22</f>
        <v>4750.7252032520328</v>
      </c>
      <c r="T42" s="330">
        <f t="shared" si="4"/>
        <v>41117.904316799992</v>
      </c>
      <c r="U42" s="350">
        <f t="shared" si="11"/>
        <v>101992.13170731706</v>
      </c>
      <c r="V42" s="330">
        <f t="shared" si="7"/>
        <v>60874.227390517073</v>
      </c>
      <c r="W42" s="351"/>
      <c r="X42" s="331"/>
      <c r="Y42" s="331"/>
      <c r="Z42" s="327"/>
      <c r="AA42" s="330">
        <f t="shared" si="8"/>
        <v>231060.93871680001</v>
      </c>
      <c r="AB42" s="330">
        <f t="shared" si="9"/>
        <v>327893.13983739837</v>
      </c>
      <c r="AC42" s="330">
        <f t="shared" si="10"/>
        <v>96832.201120598358</v>
      </c>
      <c r="AD42" s="331"/>
      <c r="AE42" s="331"/>
      <c r="AF42" s="331"/>
    </row>
    <row r="43" spans="1:32" x14ac:dyDescent="0.2">
      <c r="A43" s="326">
        <v>42</v>
      </c>
      <c r="B43" s="334">
        <f>ROUNDDOWN(B42*(1+'Assumption Sheet'!E$5), 0)</f>
        <v>6269</v>
      </c>
      <c r="C43" s="333">
        <f>'Assumption Sheet'!B$12*B43</f>
        <v>229302.69105691058</v>
      </c>
      <c r="D43" s="333">
        <f>'Assumption Sheet'!B$10*B43</f>
        <v>192803.25172500001</v>
      </c>
      <c r="E43" s="335">
        <f>'Assumption Sheet'!B$11*B43</f>
        <v>41596.187299390222</v>
      </c>
      <c r="F43" s="349">
        <f t="shared" si="12"/>
        <v>19315</v>
      </c>
      <c r="G43" s="327"/>
      <c r="H43" s="333"/>
      <c r="I43" s="328"/>
      <c r="J43" s="328"/>
      <c r="K43" s="327"/>
      <c r="L43" s="328">
        <f>SUM(B$2:B43)</f>
        <v>113685</v>
      </c>
      <c r="M43" s="329">
        <f>ROUNDDOWN(L43*'Assumption Sheet'!D$28, 0)</f>
        <v>96632</v>
      </c>
      <c r="N43" s="330">
        <f>(M43*'Assumption Sheet'!D$29)*'Assumption Sheet'!E$22</f>
        <v>20909.618687999999</v>
      </c>
      <c r="O43" s="330">
        <f>(M43*'Assumption Sheet'!C$29)*'Assumption Sheet'!E$19</f>
        <v>43209.430894308949</v>
      </c>
      <c r="P43" s="350">
        <f>M43*'Assumption Sheet'!$D$30*'Assumption Sheet'!$H$22</f>
        <v>21591.45408</v>
      </c>
      <c r="Q43" s="350">
        <f>M43*'Assumption Sheet'!$D$30*'Assumption Sheet'!$H$19</f>
        <v>59707.577235772362</v>
      </c>
      <c r="R43" s="350">
        <f>(M43*'Assumption Sheet'!B$31)*'Assumption Sheet'!K$23</f>
        <v>1016.7232512</v>
      </c>
      <c r="S43" s="350">
        <f>(M43*'Assumption Sheet'!B$31)*'Assumption Sheet'!K$22</f>
        <v>5028.0065040650416</v>
      </c>
      <c r="T43" s="330">
        <f t="shared" si="4"/>
        <v>43517.796019199995</v>
      </c>
      <c r="U43" s="350">
        <f t="shared" si="11"/>
        <v>107945.01463414636</v>
      </c>
      <c r="V43" s="330">
        <f t="shared" si="7"/>
        <v>64427.21861494636</v>
      </c>
      <c r="W43" s="351"/>
      <c r="X43" s="331"/>
      <c r="Y43" s="331"/>
      <c r="Z43" s="327"/>
      <c r="AA43" s="330">
        <f t="shared" si="8"/>
        <v>236321.04774420001</v>
      </c>
      <c r="AB43" s="330">
        <f t="shared" si="9"/>
        <v>337247.70569105691</v>
      </c>
      <c r="AC43" s="330">
        <f t="shared" si="10"/>
        <v>100926.6579468569</v>
      </c>
      <c r="AD43" s="331"/>
      <c r="AE43" s="331"/>
      <c r="AF43" s="331"/>
    </row>
    <row r="44" spans="1:32" x14ac:dyDescent="0.2">
      <c r="A44" s="326">
        <v>43</v>
      </c>
      <c r="B44" s="334">
        <f>ROUNDDOWN(B43*(1+'Assumption Sheet'!E$5), 0)</f>
        <v>6364</v>
      </c>
      <c r="C44" s="333">
        <f>'Assumption Sheet'!B$12*B44</f>
        <v>232777.52845528457</v>
      </c>
      <c r="D44" s="333">
        <f>'Assumption Sheet'!B$10*B44</f>
        <v>195724.97910000003</v>
      </c>
      <c r="E44" s="335">
        <f>'Assumption Sheet'!B$11*B44</f>
        <v>42226.533095121929</v>
      </c>
      <c r="F44" s="349">
        <f t="shared" si="12"/>
        <v>12951</v>
      </c>
      <c r="G44" s="327"/>
      <c r="H44" s="333"/>
      <c r="I44" s="328"/>
      <c r="J44" s="328"/>
      <c r="K44" s="327"/>
      <c r="L44" s="328">
        <f>SUM(B$2:B44)</f>
        <v>120049</v>
      </c>
      <c r="M44" s="329">
        <f>ROUNDDOWN(L44*'Assumption Sheet'!D$28, 0)</f>
        <v>102041</v>
      </c>
      <c r="N44" s="330">
        <f>(M44*'Assumption Sheet'!D$29)*'Assumption Sheet'!E$22</f>
        <v>22080.039744000002</v>
      </c>
      <c r="O44" s="330">
        <f>(M44*'Assumption Sheet'!C$29)*'Assumption Sheet'!E$19</f>
        <v>45628.08943089431</v>
      </c>
      <c r="P44" s="350">
        <f>M44*'Assumption Sheet'!$D$30*'Assumption Sheet'!$H$22</f>
        <v>22800.04104</v>
      </c>
      <c r="Q44" s="350">
        <f>M44*'Assumption Sheet'!$D$30*'Assumption Sheet'!$H$19</f>
        <v>63049.723577235774</v>
      </c>
      <c r="R44" s="350">
        <f>(M44*'Assumption Sheet'!B$31)*'Assumption Sheet'!K$23</f>
        <v>1073.6345856</v>
      </c>
      <c r="S44" s="350">
        <f>(M44*'Assumption Sheet'!B$31)*'Assumption Sheet'!K$22</f>
        <v>5309.4504065040655</v>
      </c>
      <c r="T44" s="330">
        <f t="shared" si="4"/>
        <v>45953.715369600002</v>
      </c>
      <c r="U44" s="350">
        <f t="shared" si="11"/>
        <v>113987.26341463416</v>
      </c>
      <c r="V44" s="330">
        <f t="shared" si="7"/>
        <v>68033.548045034157</v>
      </c>
      <c r="W44" s="351"/>
      <c r="X44" s="331"/>
      <c r="Y44" s="331"/>
      <c r="Z44" s="327"/>
      <c r="AA44" s="330">
        <f t="shared" si="8"/>
        <v>241678.69446960004</v>
      </c>
      <c r="AB44" s="330">
        <f t="shared" si="9"/>
        <v>346764.7918699187</v>
      </c>
      <c r="AC44" s="330">
        <f t="shared" si="10"/>
        <v>105086.09740031866</v>
      </c>
      <c r="AD44" s="331"/>
      <c r="AE44" s="331"/>
      <c r="AF44" s="331"/>
    </row>
    <row r="45" spans="1:32" x14ac:dyDescent="0.2">
      <c r="A45" s="326">
        <v>44</v>
      </c>
      <c r="B45" s="334">
        <f>ROUNDDOWN(B44*(1+'Assumption Sheet'!E$5), 0)</f>
        <v>6460</v>
      </c>
      <c r="C45" s="333">
        <f>'Assumption Sheet'!B$12*B45</f>
        <v>236288.94308943089</v>
      </c>
      <c r="D45" s="333">
        <f>'Assumption Sheet'!B$10*B45</f>
        <v>198677.46150000003</v>
      </c>
      <c r="E45" s="335">
        <f>'Assumption Sheet'!B$11*B45</f>
        <v>42863.514109756077</v>
      </c>
      <c r="F45" s="349">
        <f t="shared" si="12"/>
        <v>6491</v>
      </c>
      <c r="G45" s="327">
        <v>50000</v>
      </c>
      <c r="H45" s="333">
        <f>G45*'Assumption Sheet'!B$10</f>
        <v>1537751.2500000002</v>
      </c>
      <c r="I45" s="328"/>
      <c r="J45" s="328"/>
      <c r="K45" s="327"/>
      <c r="L45" s="328">
        <f>SUM(B$2:B45)</f>
        <v>126509</v>
      </c>
      <c r="M45" s="329">
        <f>ROUNDDOWN(L45*'Assumption Sheet'!D$28, 0)</f>
        <v>107532</v>
      </c>
      <c r="N45" s="330">
        <f>(M45*'Assumption Sheet'!D$29)*'Assumption Sheet'!E$22</f>
        <v>23268.204288000001</v>
      </c>
      <c r="O45" s="330">
        <f>(M45*'Assumption Sheet'!C$29)*'Assumption Sheet'!E$19</f>
        <v>48083.414634146342</v>
      </c>
      <c r="P45" s="350">
        <f>M45*'Assumption Sheet'!$D$30*'Assumption Sheet'!$H$22</f>
        <v>24026.950080000002</v>
      </c>
      <c r="Q45" s="350">
        <f>M45*'Assumption Sheet'!$D$30*'Assumption Sheet'!$H$19</f>
        <v>66442.536585365859</v>
      </c>
      <c r="R45" s="350">
        <f>(M45*'Assumption Sheet'!B$31)*'Assumption Sheet'!K$23</f>
        <v>1131.4086912</v>
      </c>
      <c r="S45" s="350">
        <f>(M45*'Assumption Sheet'!B$31)*'Assumption Sheet'!K$22</f>
        <v>5595.1609756097569</v>
      </c>
      <c r="T45" s="330">
        <f t="shared" si="4"/>
        <v>48426.563059200002</v>
      </c>
      <c r="U45" s="350">
        <f t="shared" si="11"/>
        <v>120121.11219512197</v>
      </c>
      <c r="V45" s="330">
        <f t="shared" si="7"/>
        <v>71694.54913592196</v>
      </c>
      <c r="W45" s="351"/>
      <c r="X45" s="331"/>
      <c r="Y45" s="331"/>
      <c r="Z45" s="327"/>
      <c r="AA45" s="330">
        <f t="shared" si="8"/>
        <v>247104.02455920004</v>
      </c>
      <c r="AB45" s="330">
        <f t="shared" si="9"/>
        <v>356410.05528455286</v>
      </c>
      <c r="AC45" s="330">
        <f t="shared" si="10"/>
        <v>109306.03072535282</v>
      </c>
      <c r="AD45" s="331"/>
      <c r="AE45" s="331"/>
      <c r="AF45" s="331"/>
    </row>
    <row r="46" spans="1:32" x14ac:dyDescent="0.2">
      <c r="A46" s="326">
        <v>45</v>
      </c>
      <c r="B46" s="334">
        <f>ROUNDDOWN(B45*(1+'Assumption Sheet'!E$5), 0)</f>
        <v>6557</v>
      </c>
      <c r="C46" s="333">
        <f>'Assumption Sheet'!B$12*B46</f>
        <v>239836.9349593496</v>
      </c>
      <c r="D46" s="333">
        <f>'Assumption Sheet'!B$10*B46</f>
        <v>201660.69892500003</v>
      </c>
      <c r="E46" s="335">
        <f>'Assumption Sheet'!B$11*B46</f>
        <v>43507.130343292665</v>
      </c>
      <c r="F46" s="349">
        <f t="shared" si="12"/>
        <v>49934</v>
      </c>
      <c r="G46" s="327"/>
      <c r="H46" s="333"/>
      <c r="I46" s="328"/>
      <c r="J46" s="328"/>
      <c r="K46" s="327"/>
      <c r="L46" s="328">
        <f>SUM(B$2:B46)</f>
        <v>133066</v>
      </c>
      <c r="M46" s="329">
        <f>ROUNDDOWN(L46*'Assumption Sheet'!D$28, 0)</f>
        <v>113106</v>
      </c>
      <c r="N46" s="330">
        <f>(M46*'Assumption Sheet'!D$29)*'Assumption Sheet'!E$22</f>
        <v>24474.328704</v>
      </c>
      <c r="O46" s="330">
        <f>(M46*'Assumption Sheet'!C$29)*'Assumption Sheet'!E$19</f>
        <v>50575.853658536587</v>
      </c>
      <c r="P46" s="350">
        <f>M46*'Assumption Sheet'!$D$30*'Assumption Sheet'!$H$22</f>
        <v>25272.404639999997</v>
      </c>
      <c r="Q46" s="350">
        <f>M46*'Assumption Sheet'!$D$30*'Assumption Sheet'!$H$19</f>
        <v>69886.634146341457</v>
      </c>
      <c r="R46" s="350">
        <f>(M46*'Assumption Sheet'!B$31)*'Assumption Sheet'!K$23</f>
        <v>1190.0560896</v>
      </c>
      <c r="S46" s="350">
        <f>(M46*'Assumption Sheet'!B$31)*'Assumption Sheet'!K$22</f>
        <v>5885.1902439024398</v>
      </c>
      <c r="T46" s="330">
        <f t="shared" si="4"/>
        <v>50936.789433599995</v>
      </c>
      <c r="U46" s="350">
        <f t="shared" si="11"/>
        <v>126347.67804878048</v>
      </c>
      <c r="V46" s="330">
        <f t="shared" si="7"/>
        <v>75410.888615180476</v>
      </c>
      <c r="W46" s="351"/>
      <c r="X46" s="331"/>
      <c r="Y46" s="331"/>
      <c r="Z46" s="327"/>
      <c r="AA46" s="330">
        <f t="shared" si="8"/>
        <v>252597.48835860004</v>
      </c>
      <c r="AB46" s="330">
        <f t="shared" si="9"/>
        <v>366184.61300813011</v>
      </c>
      <c r="AC46" s="330">
        <f t="shared" si="10"/>
        <v>113587.12464953007</v>
      </c>
      <c r="AD46" s="331"/>
      <c r="AE46" s="331"/>
      <c r="AF46" s="331"/>
    </row>
    <row r="47" spans="1:32" x14ac:dyDescent="0.2">
      <c r="A47" s="326">
        <v>46</v>
      </c>
      <c r="B47" s="334">
        <f>ROUNDDOWN(B46*(1+'Assumption Sheet'!E$5), 0)</f>
        <v>6656</v>
      </c>
      <c r="C47" s="333">
        <f>'Assumption Sheet'!B$12*B47</f>
        <v>243458.08130081301</v>
      </c>
      <c r="D47" s="333">
        <f>'Assumption Sheet'!B$10*B47</f>
        <v>204705.44640000002</v>
      </c>
      <c r="E47" s="335">
        <f>'Assumption Sheet'!B$11*B47</f>
        <v>44164.017014634126</v>
      </c>
      <c r="F47" s="349">
        <f t="shared" si="12"/>
        <v>43278</v>
      </c>
      <c r="G47" s="327"/>
      <c r="H47" s="333"/>
      <c r="I47" s="328"/>
      <c r="J47" s="328"/>
      <c r="K47" s="327"/>
      <c r="L47" s="328">
        <f>SUM(B$2:B47)</f>
        <v>139722</v>
      </c>
      <c r="M47" s="329">
        <f>ROUNDDOWN(L47*'Assumption Sheet'!D$28, 0)</f>
        <v>118763</v>
      </c>
      <c r="N47" s="330">
        <f>(M47*'Assumption Sheet'!D$29)*'Assumption Sheet'!E$22</f>
        <v>25698.412992000001</v>
      </c>
      <c r="O47" s="330">
        <f>(M47*'Assumption Sheet'!C$29)*'Assumption Sheet'!E$19</f>
        <v>53105.406504065046</v>
      </c>
      <c r="P47" s="350">
        <f>M47*'Assumption Sheet'!$D$30*'Assumption Sheet'!$H$22</f>
        <v>26536.404719999999</v>
      </c>
      <c r="Q47" s="350">
        <f>M47*'Assumption Sheet'!$D$30*'Assumption Sheet'!$H$19</f>
        <v>73382.016260162607</v>
      </c>
      <c r="R47" s="350">
        <f>(M47*'Assumption Sheet'!B$31)*'Assumption Sheet'!K$23</f>
        <v>1249.5767808000001</v>
      </c>
      <c r="S47" s="350">
        <f>(M47*'Assumption Sheet'!B$31)*'Assumption Sheet'!K$22</f>
        <v>6179.5382113821152</v>
      </c>
      <c r="T47" s="330">
        <f t="shared" si="4"/>
        <v>53484.394492800006</v>
      </c>
      <c r="U47" s="350">
        <f t="shared" si="11"/>
        <v>132666.96097560978</v>
      </c>
      <c r="V47" s="330">
        <f t="shared" si="7"/>
        <v>79182.56648280978</v>
      </c>
      <c r="W47" s="351"/>
      <c r="X47" s="331"/>
      <c r="Y47" s="331"/>
      <c r="Z47" s="327"/>
      <c r="AA47" s="330">
        <f t="shared" si="8"/>
        <v>258189.84089280001</v>
      </c>
      <c r="AB47" s="330">
        <f t="shared" si="9"/>
        <v>376125.04227642278</v>
      </c>
      <c r="AC47" s="330">
        <f t="shared" si="10"/>
        <v>117935.20138362277</v>
      </c>
      <c r="AD47" s="331"/>
      <c r="AE47" s="331"/>
      <c r="AF47" s="331"/>
    </row>
    <row r="48" spans="1:32" x14ac:dyDescent="0.2">
      <c r="A48" s="326">
        <v>47</v>
      </c>
      <c r="B48" s="334">
        <f>ROUNDDOWN(B47*(1+'Assumption Sheet'!E$5), 0)</f>
        <v>6756</v>
      </c>
      <c r="C48" s="333">
        <f>'Assumption Sheet'!B$12*B48</f>
        <v>247115.80487804877</v>
      </c>
      <c r="D48" s="333">
        <f>'Assumption Sheet'!B$10*B48</f>
        <v>207780.94890000002</v>
      </c>
      <c r="E48" s="335">
        <f>'Assumption Sheet'!B$11*B48</f>
        <v>44827.538904878027</v>
      </c>
      <c r="F48" s="349">
        <f t="shared" si="12"/>
        <v>36522</v>
      </c>
      <c r="G48" s="327"/>
      <c r="H48" s="333"/>
      <c r="I48" s="328"/>
      <c r="J48" s="328"/>
      <c r="K48" s="327"/>
      <c r="L48" s="328">
        <f>SUM(B$2:B48)</f>
        <v>146478</v>
      </c>
      <c r="M48" s="329">
        <f>ROUNDDOWN(L48*'Assumption Sheet'!D$28, 0)</f>
        <v>124506</v>
      </c>
      <c r="N48" s="330">
        <f>(M48*'Assumption Sheet'!D$29)*'Assumption Sheet'!E$22</f>
        <v>26941.106303999997</v>
      </c>
      <c r="O48" s="330">
        <f>(M48*'Assumption Sheet'!C$29)*'Assumption Sheet'!E$19</f>
        <v>55673.414634146342</v>
      </c>
      <c r="P48" s="350">
        <f>M48*'Assumption Sheet'!$D$30*'Assumption Sheet'!$H$22</f>
        <v>27819.620639999997</v>
      </c>
      <c r="Q48" s="350">
        <f>M48*'Assumption Sheet'!$D$30*'Assumption Sheet'!$H$19</f>
        <v>76930.536585365844</v>
      </c>
      <c r="R48" s="350">
        <f>(M48*'Assumption Sheet'!B$31)*'Assumption Sheet'!K$23</f>
        <v>1310.0023295999999</v>
      </c>
      <c r="S48" s="350">
        <f>(M48*'Assumption Sheet'!B$31)*'Assumption Sheet'!K$22</f>
        <v>6478.3609756097567</v>
      </c>
      <c r="T48" s="330">
        <f t="shared" si="4"/>
        <v>56070.729273599994</v>
      </c>
      <c r="U48" s="350">
        <f t="shared" si="11"/>
        <v>139082.31219512192</v>
      </c>
      <c r="V48" s="330">
        <f t="shared" si="7"/>
        <v>83011.582921521927</v>
      </c>
      <c r="W48" s="351"/>
      <c r="X48" s="331"/>
      <c r="Y48" s="331"/>
      <c r="Z48" s="327"/>
      <c r="AA48" s="330">
        <f t="shared" si="8"/>
        <v>263851.6781736</v>
      </c>
      <c r="AB48" s="330">
        <f t="shared" si="9"/>
        <v>386198.11707317072</v>
      </c>
      <c r="AC48" s="330">
        <f t="shared" si="10"/>
        <v>122346.43889957073</v>
      </c>
      <c r="AD48" s="331"/>
      <c r="AE48" s="331"/>
      <c r="AF48" s="331"/>
    </row>
    <row r="49" spans="1:32" ht="17" thickBot="1" x14ac:dyDescent="0.25">
      <c r="A49" s="336">
        <v>48</v>
      </c>
      <c r="B49" s="337">
        <f>ROUNDDOWN(B48*(1+'Assumption Sheet'!E$5), 0)</f>
        <v>6858</v>
      </c>
      <c r="C49" s="338">
        <f>'Assumption Sheet'!B$12*B49</f>
        <v>250846.68292682926</v>
      </c>
      <c r="D49" s="338">
        <f>'Assumption Sheet'!B$10*B49</f>
        <v>210917.96145000003</v>
      </c>
      <c r="E49" s="339">
        <f>'Assumption Sheet'!B$11*B49</f>
        <v>45504.331232926808</v>
      </c>
      <c r="F49" s="352">
        <f t="shared" si="12"/>
        <v>29664</v>
      </c>
      <c r="G49" s="341"/>
      <c r="H49" s="338"/>
      <c r="I49" s="342">
        <f>SUM(B38:B49)</f>
        <v>75896</v>
      </c>
      <c r="J49" s="342">
        <f>SUM(C38:C49)</f>
        <v>2776065.8861788618</v>
      </c>
      <c r="K49" s="341"/>
      <c r="L49" s="344">
        <f>SUM(B$2:B49)</f>
        <v>153336</v>
      </c>
      <c r="M49" s="345">
        <f>ROUNDDOWN(L49*'Assumption Sheet'!D$28, 0)</f>
        <v>130335</v>
      </c>
      <c r="N49" s="346">
        <f>(M49*'Assumption Sheet'!D$29)*'Assumption Sheet'!E$22</f>
        <v>28202.408640000001</v>
      </c>
      <c r="O49" s="346">
        <f>(M49*'Assumption Sheet'!C$29)*'Assumption Sheet'!E$19</f>
        <v>58279.878048780483</v>
      </c>
      <c r="P49" s="353">
        <f>M49*'Assumption Sheet'!$D$30*'Assumption Sheet'!$H$22</f>
        <v>29122.0524</v>
      </c>
      <c r="Q49" s="353">
        <f>M49*'Assumption Sheet'!$D$30*'Assumption Sheet'!$H$19</f>
        <v>80532.195121951227</v>
      </c>
      <c r="R49" s="353">
        <f>(M49*'Assumption Sheet'!B$31)*'Assumption Sheet'!K$23</f>
        <v>1371.3327360000001</v>
      </c>
      <c r="S49" s="353">
        <f>(M49*'Assumption Sheet'!B$31)*'Assumption Sheet'!K$22</f>
        <v>6781.658536585368</v>
      </c>
      <c r="T49" s="346">
        <f t="shared" si="4"/>
        <v>58695.793775999999</v>
      </c>
      <c r="U49" s="353">
        <f t="shared" si="11"/>
        <v>145593.73170731709</v>
      </c>
      <c r="V49" s="346">
        <f t="shared" si="7"/>
        <v>86897.937931317079</v>
      </c>
      <c r="W49" s="347">
        <f>L49</f>
        <v>153336</v>
      </c>
      <c r="X49" s="348">
        <f>SUM(U38:U49)</f>
        <v>1337928.5902439025</v>
      </c>
      <c r="Y49" s="348">
        <f>SUM(T38:T49)</f>
        <v>539382.97823039989</v>
      </c>
      <c r="Z49" s="341"/>
      <c r="AA49" s="346">
        <f t="shared" si="8"/>
        <v>269613.75522600004</v>
      </c>
      <c r="AB49" s="346">
        <f t="shared" si="9"/>
        <v>396440.41463414638</v>
      </c>
      <c r="AC49" s="346">
        <f t="shared" si="10"/>
        <v>126826.65940814634</v>
      </c>
      <c r="AD49" s="348">
        <f>SUM(AA38:AA49)</f>
        <v>2873566.3556304006</v>
      </c>
      <c r="AE49" s="348">
        <f>SUM(AB38:AB49)</f>
        <v>4113994.4764227644</v>
      </c>
      <c r="AF49" s="348">
        <f>SUM(AC38:AC49)</f>
        <v>1240428.120792364</v>
      </c>
    </row>
    <row r="50" spans="1:32" ht="17" thickTop="1" x14ac:dyDescent="0.2">
      <c r="A50" s="326">
        <v>49</v>
      </c>
      <c r="B50" s="334">
        <f>ROUNDDOWN(B49*(1+'Assumption Sheet'!E$5), 0)</f>
        <v>6962</v>
      </c>
      <c r="C50" s="333">
        <f>'Assumption Sheet'!B$12*B50</f>
        <v>254650.71544715448</v>
      </c>
      <c r="D50" s="333">
        <f>'Assumption Sheet'!B$10*B50</f>
        <v>214116.48405000003</v>
      </c>
      <c r="E50" s="335">
        <f>'Assumption Sheet'!B$11*B50</f>
        <v>46194.39399878047</v>
      </c>
      <c r="F50" s="349">
        <f t="shared" si="12"/>
        <v>22702</v>
      </c>
      <c r="G50" s="327"/>
      <c r="H50" s="333"/>
      <c r="I50" s="328"/>
      <c r="J50" s="328"/>
      <c r="K50" s="327"/>
      <c r="L50" s="328">
        <f>SUM(B$2:B50)</f>
        <v>160298</v>
      </c>
      <c r="M50" s="329">
        <f>ROUNDDOWN(L50*'Assumption Sheet'!D$28, 0)</f>
        <v>136253</v>
      </c>
      <c r="N50" s="330">
        <f>(M50*'Assumption Sheet'!D$29)*'Assumption Sheet'!E$22</f>
        <v>29482.969152000001</v>
      </c>
      <c r="O50" s="330">
        <f>(M50*'Assumption Sheet'!C$29)*'Assumption Sheet'!E$19</f>
        <v>60926.138211382116</v>
      </c>
      <c r="P50" s="350">
        <f>M50*'Assumption Sheet'!$D$30*'Assumption Sheet'!$H$22</f>
        <v>30444.370319999998</v>
      </c>
      <c r="Q50" s="350">
        <f>M50*'Assumption Sheet'!$D$30*'Assumption Sheet'!$H$19</f>
        <v>84188.845528455277</v>
      </c>
      <c r="R50" s="350">
        <f>(M50*'Assumption Sheet'!B$31)*'Assumption Sheet'!K$23</f>
        <v>1433.5995648000001</v>
      </c>
      <c r="S50" s="350">
        <f>(M50*'Assumption Sheet'!B$31)*'Assumption Sheet'!K$22</f>
        <v>7089.58699186992</v>
      </c>
      <c r="T50" s="330">
        <f t="shared" si="4"/>
        <v>61360.939036800002</v>
      </c>
      <c r="U50" s="330">
        <f t="shared" si="11"/>
        <v>152204.57073170732</v>
      </c>
      <c r="V50" s="330">
        <f t="shared" si="7"/>
        <v>90843.631694907323</v>
      </c>
      <c r="W50" s="351"/>
      <c r="X50" s="331"/>
      <c r="Y50" s="331"/>
      <c r="Z50" s="327"/>
      <c r="AA50" s="330">
        <f t="shared" si="8"/>
        <v>275477.42308680003</v>
      </c>
      <c r="AB50" s="330">
        <f t="shared" si="9"/>
        <v>406855.2861788618</v>
      </c>
      <c r="AC50" s="330">
        <f t="shared" si="10"/>
        <v>131377.86309206177</v>
      </c>
      <c r="AD50" s="331"/>
      <c r="AE50" s="331"/>
      <c r="AF50" s="331"/>
    </row>
    <row r="51" spans="1:32" x14ac:dyDescent="0.2">
      <c r="A51" s="326">
        <v>50</v>
      </c>
      <c r="B51" s="334">
        <f>ROUNDDOWN(B50*(1+'Assumption Sheet'!E$5), 0)</f>
        <v>7067</v>
      </c>
      <c r="C51" s="333">
        <f>'Assumption Sheet'!B$12*B51</f>
        <v>258491.32520325202</v>
      </c>
      <c r="D51" s="333">
        <f>'Assumption Sheet'!B$10*B51</f>
        <v>217345.76167500002</v>
      </c>
      <c r="E51" s="335">
        <f>'Assumption Sheet'!B$11*B51</f>
        <v>46891.091983536564</v>
      </c>
      <c r="F51" s="349">
        <f t="shared" si="12"/>
        <v>15635</v>
      </c>
      <c r="G51" s="327"/>
      <c r="H51" s="333"/>
      <c r="I51" s="328"/>
      <c r="J51" s="328"/>
      <c r="K51" s="327"/>
      <c r="L51" s="328">
        <f>SUM(B$2:B51)</f>
        <v>167365</v>
      </c>
      <c r="M51" s="329">
        <f>ROUNDDOWN(L51*'Assumption Sheet'!D$28, 0)</f>
        <v>142260</v>
      </c>
      <c r="N51" s="330">
        <f>(M51*'Assumption Sheet'!D$29)*'Assumption Sheet'!E$22</f>
        <v>30782.787840000001</v>
      </c>
      <c r="O51" s="330">
        <f>(M51*'Assumption Sheet'!C$29)*'Assumption Sheet'!E$19</f>
        <v>63612.195121951219</v>
      </c>
      <c r="P51" s="350">
        <f>M51*'Assumption Sheet'!$D$30*'Assumption Sheet'!$H$22</f>
        <v>31786.574400000001</v>
      </c>
      <c r="Q51" s="350">
        <f>M51*'Assumption Sheet'!$D$30*'Assumption Sheet'!$H$19</f>
        <v>87900.487804878052</v>
      </c>
      <c r="R51" s="350">
        <f>(M51*'Assumption Sheet'!B$31)*'Assumption Sheet'!K$23</f>
        <v>1496.8028160000001</v>
      </c>
      <c r="S51" s="350">
        <f>(M51*'Assumption Sheet'!B$31)*'Assumption Sheet'!K$22</f>
        <v>7402.1463414634163</v>
      </c>
      <c r="T51" s="330">
        <f t="shared" si="4"/>
        <v>64066.165056000005</v>
      </c>
      <c r="U51" s="330">
        <f t="shared" si="11"/>
        <v>158914.82926829267</v>
      </c>
      <c r="V51" s="330">
        <f t="shared" si="7"/>
        <v>94848.664212292671</v>
      </c>
      <c r="W51" s="351"/>
      <c r="X51" s="331"/>
      <c r="Y51" s="331"/>
      <c r="Z51" s="327"/>
      <c r="AA51" s="330">
        <f t="shared" si="8"/>
        <v>281411.92673100001</v>
      </c>
      <c r="AB51" s="330">
        <f t="shared" si="9"/>
        <v>417406.15447154467</v>
      </c>
      <c r="AC51" s="330">
        <f t="shared" si="10"/>
        <v>135994.22774054465</v>
      </c>
      <c r="AD51" s="331"/>
      <c r="AE51" s="331"/>
      <c r="AF51" s="331"/>
    </row>
    <row r="52" spans="1:32" x14ac:dyDescent="0.2">
      <c r="A52" s="326">
        <v>51</v>
      </c>
      <c r="B52" s="334">
        <f>ROUNDDOWN(B51*(1+'Assumption Sheet'!E$5), 0)</f>
        <v>7174</v>
      </c>
      <c r="C52" s="333">
        <f>'Assumption Sheet'!B$12*B52</f>
        <v>262405.0894308943</v>
      </c>
      <c r="D52" s="333">
        <f>'Assumption Sheet'!B$10*B52</f>
        <v>220636.54935000002</v>
      </c>
      <c r="E52" s="335">
        <f>'Assumption Sheet'!B$11*B52</f>
        <v>47601.060406097538</v>
      </c>
      <c r="F52" s="349">
        <f t="shared" si="12"/>
        <v>8461</v>
      </c>
      <c r="G52" s="327">
        <v>45000</v>
      </c>
      <c r="H52" s="333">
        <f>G52*'Assumption Sheet'!B$10</f>
        <v>1383976.1250000002</v>
      </c>
      <c r="I52" s="328"/>
      <c r="J52" s="328"/>
      <c r="K52" s="327"/>
      <c r="L52" s="328">
        <f>SUM(B$2:B52)</f>
        <v>174539</v>
      </c>
      <c r="M52" s="329">
        <f>ROUNDDOWN(L52*'Assumption Sheet'!D$28, 0)</f>
        <v>148358</v>
      </c>
      <c r="N52" s="330">
        <f>(M52*'Assumption Sheet'!D$29)*'Assumption Sheet'!E$22</f>
        <v>32102.297472000002</v>
      </c>
      <c r="O52" s="330">
        <f>(M52*'Assumption Sheet'!C$29)*'Assumption Sheet'!E$19</f>
        <v>66338.943089430904</v>
      </c>
      <c r="P52" s="350">
        <f>M52*'Assumption Sheet'!$D$30*'Assumption Sheet'!$H$22</f>
        <v>33149.111519999999</v>
      </c>
      <c r="Q52" s="350">
        <f>M52*'Assumption Sheet'!$D$30*'Assumption Sheet'!$H$19</f>
        <v>91668.357723577239</v>
      </c>
      <c r="R52" s="350">
        <f>(M52*'Assumption Sheet'!B$31)*'Assumption Sheet'!K$23</f>
        <v>1560.9635327999999</v>
      </c>
      <c r="S52" s="350">
        <f>(M52*'Assumption Sheet'!B$31)*'Assumption Sheet'!K$22</f>
        <v>7719.4406504065046</v>
      </c>
      <c r="T52" s="330">
        <f t="shared" si="4"/>
        <v>66812.372524799997</v>
      </c>
      <c r="U52" s="330">
        <f t="shared" si="11"/>
        <v>165726.74146341466</v>
      </c>
      <c r="V52" s="330">
        <f t="shared" si="7"/>
        <v>98914.368938614658</v>
      </c>
      <c r="W52" s="351"/>
      <c r="X52" s="331"/>
      <c r="Y52" s="331"/>
      <c r="Z52" s="327"/>
      <c r="AA52" s="330">
        <f t="shared" si="8"/>
        <v>287448.9218748</v>
      </c>
      <c r="AB52" s="330">
        <f t="shared" si="9"/>
        <v>428131.83089430898</v>
      </c>
      <c r="AC52" s="330">
        <f t="shared" si="10"/>
        <v>140682.90901950898</v>
      </c>
      <c r="AD52" s="331"/>
      <c r="AE52" s="331"/>
      <c r="AF52" s="331"/>
    </row>
    <row r="53" spans="1:32" x14ac:dyDescent="0.2">
      <c r="A53" s="326">
        <v>52</v>
      </c>
      <c r="B53" s="334">
        <f>ROUNDDOWN(B52*(1+'Assumption Sheet'!E$5), 0)</f>
        <v>7282</v>
      </c>
      <c r="C53" s="333">
        <f>'Assumption Sheet'!B$12*B53</f>
        <v>266355.43089430896</v>
      </c>
      <c r="D53" s="333">
        <f>'Assumption Sheet'!B$10*B53</f>
        <v>223958.09205000004</v>
      </c>
      <c r="E53" s="335">
        <f>'Assumption Sheet'!B$11*B53</f>
        <v>48317.664047560953</v>
      </c>
      <c r="F53" s="349">
        <f t="shared" si="12"/>
        <v>46179</v>
      </c>
      <c r="G53" s="327"/>
      <c r="H53" s="333"/>
      <c r="I53" s="328"/>
      <c r="J53" s="328"/>
      <c r="K53" s="327"/>
      <c r="L53" s="328">
        <f>SUM(B$2:B53)</f>
        <v>181821</v>
      </c>
      <c r="M53" s="329">
        <f>ROUNDDOWN(L53*'Assumption Sheet'!D$28, 0)</f>
        <v>154547</v>
      </c>
      <c r="N53" s="330">
        <f>(M53*'Assumption Sheet'!D$29)*'Assumption Sheet'!E$22</f>
        <v>33441.498048000001</v>
      </c>
      <c r="O53" s="330">
        <f>(M53*'Assumption Sheet'!C$29)*'Assumption Sheet'!E$19</f>
        <v>69106.382113821135</v>
      </c>
      <c r="P53" s="350">
        <f>M53*'Assumption Sheet'!$D$30*'Assumption Sheet'!$H$22</f>
        <v>34531.981679999997</v>
      </c>
      <c r="Q53" s="350">
        <f>M53*'Assumption Sheet'!$D$30*'Assumption Sheet'!$H$19</f>
        <v>95492.455284552838</v>
      </c>
      <c r="R53" s="350">
        <f>(M53*'Assumption Sheet'!B$31)*'Assumption Sheet'!K$23</f>
        <v>1626.0817152</v>
      </c>
      <c r="S53" s="350">
        <f>(M53*'Assumption Sheet'!B$31)*'Assumption Sheet'!K$22</f>
        <v>8041.4699186991884</v>
      </c>
      <c r="T53" s="330">
        <f t="shared" si="4"/>
        <v>69599.5614432</v>
      </c>
      <c r="U53" s="330">
        <f t="shared" si="11"/>
        <v>172640.30731707317</v>
      </c>
      <c r="V53" s="330">
        <f t="shared" si="7"/>
        <v>103040.74587387317</v>
      </c>
      <c r="W53" s="351"/>
      <c r="X53" s="331"/>
      <c r="Y53" s="331"/>
      <c r="Z53" s="327"/>
      <c r="AA53" s="330">
        <f t="shared" si="8"/>
        <v>293557.65349320002</v>
      </c>
      <c r="AB53" s="330">
        <f t="shared" si="9"/>
        <v>438995.73821138212</v>
      </c>
      <c r="AC53" s="330">
        <f t="shared" si="10"/>
        <v>145438.0847181821</v>
      </c>
      <c r="AD53" s="331"/>
      <c r="AE53" s="331"/>
      <c r="AF53" s="331"/>
    </row>
    <row r="54" spans="1:32" x14ac:dyDescent="0.2">
      <c r="A54" s="326">
        <v>53</v>
      </c>
      <c r="B54" s="334">
        <f>ROUNDDOWN(B53*(1+'Assumption Sheet'!E$5), 0)</f>
        <v>7392</v>
      </c>
      <c r="C54" s="333">
        <f>'Assumption Sheet'!B$12*B54</f>
        <v>270378.92682926828</v>
      </c>
      <c r="D54" s="333">
        <f>'Assumption Sheet'!B$10*B54</f>
        <v>227341.14480000004</v>
      </c>
      <c r="E54" s="335">
        <f>'Assumption Sheet'!B$11*B54</f>
        <v>49047.538126829248</v>
      </c>
      <c r="F54" s="349">
        <f t="shared" si="12"/>
        <v>38787</v>
      </c>
      <c r="G54" s="327"/>
      <c r="H54" s="333"/>
      <c r="I54" s="328"/>
      <c r="J54" s="328"/>
      <c r="K54" s="327"/>
      <c r="L54" s="328">
        <f>SUM(B$2:B54)</f>
        <v>189213</v>
      </c>
      <c r="M54" s="329">
        <f>ROUNDDOWN(L54*'Assumption Sheet'!D$28, 0)</f>
        <v>160831</v>
      </c>
      <c r="N54" s="330">
        <f>(M54*'Assumption Sheet'!D$29)*'Assumption Sheet'!E$22</f>
        <v>34801.255104000003</v>
      </c>
      <c r="O54" s="330">
        <f>(M54*'Assumption Sheet'!C$29)*'Assumption Sheet'!E$19</f>
        <v>71916.300813008129</v>
      </c>
      <c r="P54" s="350">
        <f>M54*'Assumption Sheet'!$D$30*'Assumption Sheet'!$H$22</f>
        <v>35936.07864</v>
      </c>
      <c r="Q54" s="350">
        <f>M54*'Assumption Sheet'!$D$30*'Assumption Sheet'!$H$19</f>
        <v>99375.252032520322</v>
      </c>
      <c r="R54" s="350">
        <f>(M54*'Assumption Sheet'!B$31)*'Assumption Sheet'!K$23</f>
        <v>1692.1994496</v>
      </c>
      <c r="S54" s="350">
        <f>(M54*'Assumption Sheet'!B$31)*'Assumption Sheet'!K$22</f>
        <v>8368.4422764227656</v>
      </c>
      <c r="T54" s="330">
        <f t="shared" si="4"/>
        <v>72429.5331936</v>
      </c>
      <c r="U54" s="330">
        <f t="shared" si="11"/>
        <v>179659.99512195124</v>
      </c>
      <c r="V54" s="330">
        <f t="shared" si="7"/>
        <v>107230.46192835124</v>
      </c>
      <c r="W54" s="351"/>
      <c r="X54" s="331"/>
      <c r="Y54" s="331"/>
      <c r="Z54" s="327"/>
      <c r="AA54" s="330">
        <f t="shared" si="8"/>
        <v>299770.67799360002</v>
      </c>
      <c r="AB54" s="330">
        <f t="shared" si="9"/>
        <v>450038.92195121956</v>
      </c>
      <c r="AC54" s="330">
        <f t="shared" si="10"/>
        <v>150268.24395761953</v>
      </c>
      <c r="AD54" s="331"/>
      <c r="AE54" s="331"/>
      <c r="AF54" s="331"/>
    </row>
    <row r="55" spans="1:32" x14ac:dyDescent="0.2">
      <c r="A55" s="326">
        <v>54</v>
      </c>
      <c r="B55" s="334">
        <f>ROUNDDOWN(B54*(1+'Assumption Sheet'!E$5), 0)</f>
        <v>7504</v>
      </c>
      <c r="C55" s="333">
        <f>'Assumption Sheet'!B$12*B55</f>
        <v>274475.57723577239</v>
      </c>
      <c r="D55" s="333">
        <f>'Assumption Sheet'!B$10*B55</f>
        <v>230785.70760000002</v>
      </c>
      <c r="E55" s="335">
        <f>'Assumption Sheet'!B$11*B55</f>
        <v>49790.682643902415</v>
      </c>
      <c r="F55" s="349">
        <f t="shared" si="12"/>
        <v>31283</v>
      </c>
      <c r="G55" s="327"/>
      <c r="H55" s="333"/>
      <c r="I55" s="328"/>
      <c r="J55" s="328"/>
      <c r="K55" s="327"/>
      <c r="L55" s="328">
        <f>SUM(B$2:B55)</f>
        <v>196717</v>
      </c>
      <c r="M55" s="329">
        <f>ROUNDDOWN(L55*'Assumption Sheet'!D$28, 0)</f>
        <v>167209</v>
      </c>
      <c r="N55" s="330">
        <f>(M55*'Assumption Sheet'!D$29)*'Assumption Sheet'!E$22</f>
        <v>36181.352255999998</v>
      </c>
      <c r="O55" s="330">
        <f>(M55*'Assumption Sheet'!C$29)*'Assumption Sheet'!E$19</f>
        <v>74768.252032520337</v>
      </c>
      <c r="P55" s="350">
        <f>M55*'Assumption Sheet'!$D$30*'Assumption Sheet'!$H$22</f>
        <v>37361.178959999997</v>
      </c>
      <c r="Q55" s="350">
        <f>M55*'Assumption Sheet'!$D$30*'Assumption Sheet'!$H$19</f>
        <v>103316.13008130081</v>
      </c>
      <c r="R55" s="350">
        <f>(M55*'Assumption Sheet'!B$31)*'Assumption Sheet'!K$23</f>
        <v>1759.3062144</v>
      </c>
      <c r="S55" s="350">
        <f>(M55*'Assumption Sheet'!B$31)*'Assumption Sheet'!K$22</f>
        <v>8700.3056910569121</v>
      </c>
      <c r="T55" s="330">
        <f t="shared" si="4"/>
        <v>75301.837430400003</v>
      </c>
      <c r="U55" s="330">
        <f t="shared" si="11"/>
        <v>186784.68780487808</v>
      </c>
      <c r="V55" s="330">
        <f t="shared" si="7"/>
        <v>111482.85037447808</v>
      </c>
      <c r="W55" s="351"/>
      <c r="X55" s="331"/>
      <c r="Y55" s="331"/>
      <c r="Z55" s="327"/>
      <c r="AA55" s="330">
        <f t="shared" si="8"/>
        <v>306087.54503040004</v>
      </c>
      <c r="AB55" s="330">
        <f t="shared" si="9"/>
        <v>461260.2650406505</v>
      </c>
      <c r="AC55" s="330">
        <f t="shared" si="10"/>
        <v>155172.72001025046</v>
      </c>
      <c r="AD55" s="331"/>
      <c r="AE55" s="331"/>
      <c r="AF55" s="331"/>
    </row>
    <row r="56" spans="1:32" x14ac:dyDescent="0.2">
      <c r="A56" s="326">
        <v>55</v>
      </c>
      <c r="B56" s="334">
        <f>ROUNDDOWN(B55*(1+'Assumption Sheet'!E$5), 0)</f>
        <v>7617</v>
      </c>
      <c r="C56" s="333">
        <f>'Assumption Sheet'!B$12*B56</f>
        <v>278608.80487804877</v>
      </c>
      <c r="D56" s="333">
        <f>'Assumption Sheet'!B$10*B56</f>
        <v>234261.02542500003</v>
      </c>
      <c r="E56" s="335">
        <f>'Assumption Sheet'!B$11*B56</f>
        <v>50540.462379878023</v>
      </c>
      <c r="F56" s="349">
        <f t="shared" si="12"/>
        <v>23666</v>
      </c>
      <c r="G56" s="327"/>
      <c r="H56" s="333"/>
      <c r="I56" s="328"/>
      <c r="J56" s="328"/>
      <c r="K56" s="327"/>
      <c r="L56" s="328">
        <f>SUM(B$2:B56)</f>
        <v>204334</v>
      </c>
      <c r="M56" s="329">
        <f>ROUNDDOWN(L56*'Assumption Sheet'!D$28, 0)</f>
        <v>173683</v>
      </c>
      <c r="N56" s="330">
        <f>(M56*'Assumption Sheet'!D$29)*'Assumption Sheet'!E$22</f>
        <v>37582.222271999999</v>
      </c>
      <c r="O56" s="330">
        <f>(M56*'Assumption Sheet'!C$29)*'Assumption Sheet'!E$19</f>
        <v>77663.130081300813</v>
      </c>
      <c r="P56" s="350">
        <f>M56*'Assumption Sheet'!$D$30*'Assumption Sheet'!$H$22</f>
        <v>38807.729519999993</v>
      </c>
      <c r="Q56" s="350">
        <f>M56*'Assumption Sheet'!$D$30*'Assumption Sheet'!$H$19</f>
        <v>107316.32520325202</v>
      </c>
      <c r="R56" s="350">
        <f>(M56*'Assumption Sheet'!B$31)*'Assumption Sheet'!K$23</f>
        <v>1827.4230527999998</v>
      </c>
      <c r="S56" s="350">
        <f>(M56*'Assumption Sheet'!B$31)*'Assumption Sheet'!K$22</f>
        <v>9037.1642276422772</v>
      </c>
      <c r="T56" s="330">
        <f t="shared" si="4"/>
        <v>78217.374844799997</v>
      </c>
      <c r="U56" s="330">
        <f t="shared" si="11"/>
        <v>194016.61951219509</v>
      </c>
      <c r="V56" s="330">
        <f t="shared" si="7"/>
        <v>115799.24466739509</v>
      </c>
      <c r="W56" s="351"/>
      <c r="X56" s="331"/>
      <c r="Y56" s="331"/>
      <c r="Z56" s="327"/>
      <c r="AA56" s="330">
        <f t="shared" si="8"/>
        <v>312478.40026980004</v>
      </c>
      <c r="AB56" s="330">
        <f t="shared" si="9"/>
        <v>472625.42439024383</v>
      </c>
      <c r="AC56" s="330">
        <f t="shared" si="10"/>
        <v>160147.02412044379</v>
      </c>
      <c r="AD56" s="331"/>
      <c r="AE56" s="331"/>
      <c r="AF56" s="331"/>
    </row>
    <row r="57" spans="1:32" x14ac:dyDescent="0.2">
      <c r="A57" s="326">
        <v>56</v>
      </c>
      <c r="B57" s="334">
        <f>ROUNDDOWN(B56*(1+'Assumption Sheet'!E$5), 0)</f>
        <v>7732</v>
      </c>
      <c r="C57" s="333">
        <f>'Assumption Sheet'!B$12*B57</f>
        <v>282815.18699186994</v>
      </c>
      <c r="D57" s="333">
        <f>'Assumption Sheet'!B$10*B57</f>
        <v>237797.85330000002</v>
      </c>
      <c r="E57" s="335">
        <f>'Assumption Sheet'!B$11*B57</f>
        <v>51303.512553658511</v>
      </c>
      <c r="F57" s="349">
        <f t="shared" si="12"/>
        <v>15934</v>
      </c>
      <c r="G57" s="327"/>
      <c r="H57" s="333"/>
      <c r="I57" s="328"/>
      <c r="J57" s="328"/>
      <c r="K57" s="327"/>
      <c r="L57" s="328">
        <f>SUM(B$2:B57)</f>
        <v>212066</v>
      </c>
      <c r="M57" s="329">
        <f>ROUNDDOWN(L57*'Assumption Sheet'!D$28, 0)</f>
        <v>180256</v>
      </c>
      <c r="N57" s="330">
        <f>(M57*'Assumption Sheet'!D$29)*'Assumption Sheet'!E$22</f>
        <v>39004.514304000004</v>
      </c>
      <c r="O57" s="330">
        <f>(M57*'Assumption Sheet'!C$29)*'Assumption Sheet'!E$19</f>
        <v>80602.276422764233</v>
      </c>
      <c r="P57" s="350">
        <f>M57*'Assumption Sheet'!$D$30*'Assumption Sheet'!$H$22</f>
        <v>40276.40064</v>
      </c>
      <c r="Q57" s="350">
        <f>M57*'Assumption Sheet'!$D$30*'Assumption Sheet'!$H$19</f>
        <v>111377.69105691057</v>
      </c>
      <c r="R57" s="350">
        <f>(M57*'Assumption Sheet'!B$31)*'Assumption Sheet'!K$23</f>
        <v>1896.5815295999998</v>
      </c>
      <c r="S57" s="350">
        <f>(M57*'Assumption Sheet'!B$31)*'Assumption Sheet'!K$22</f>
        <v>9379.1739837398381</v>
      </c>
      <c r="T57" s="330">
        <f t="shared" si="4"/>
        <v>81177.496473599997</v>
      </c>
      <c r="U57" s="330">
        <f t="shared" si="11"/>
        <v>201359.14146341462</v>
      </c>
      <c r="V57" s="330">
        <f t="shared" si="7"/>
        <v>120181.64498981462</v>
      </c>
      <c r="W57" s="351"/>
      <c r="X57" s="331"/>
      <c r="Y57" s="331"/>
      <c r="Z57" s="327"/>
      <c r="AA57" s="330">
        <f t="shared" si="8"/>
        <v>318975.3497736</v>
      </c>
      <c r="AB57" s="330">
        <f t="shared" si="9"/>
        <v>484174.32845528459</v>
      </c>
      <c r="AC57" s="330">
        <f t="shared" si="10"/>
        <v>165198.97868168459</v>
      </c>
      <c r="AD57" s="331"/>
      <c r="AE57" s="331"/>
      <c r="AF57" s="331"/>
    </row>
    <row r="58" spans="1:32" x14ac:dyDescent="0.2">
      <c r="A58" s="326">
        <v>57</v>
      </c>
      <c r="B58" s="334">
        <f>ROUNDDOWN(B57*(1+'Assumption Sheet'!E$5), 0)</f>
        <v>7849</v>
      </c>
      <c r="C58" s="333">
        <f>'Assumption Sheet'!B$12*B58</f>
        <v>287094.72357723577</v>
      </c>
      <c r="D58" s="333">
        <f>'Assumption Sheet'!B$10*B58</f>
        <v>241396.19122500002</v>
      </c>
      <c r="E58" s="335">
        <f>'Assumption Sheet'!B$11*B58</f>
        <v>52079.833165243879</v>
      </c>
      <c r="F58" s="349">
        <f t="shared" si="12"/>
        <v>8085</v>
      </c>
      <c r="G58" s="327">
        <v>25000</v>
      </c>
      <c r="H58" s="333">
        <f>G58*'Assumption Sheet'!B$10</f>
        <v>768875.62500000012</v>
      </c>
      <c r="I58" s="328"/>
      <c r="J58" s="328"/>
      <c r="K58" s="327"/>
      <c r="L58" s="328">
        <f>SUM(B$2:B58)</f>
        <v>219915</v>
      </c>
      <c r="M58" s="329">
        <f>ROUNDDOWN(L58*'Assumption Sheet'!D$28, 0)</f>
        <v>186927</v>
      </c>
      <c r="N58" s="330">
        <f>(M58*'Assumption Sheet'!D$29)*'Assumption Sheet'!E$22</f>
        <v>40448.011967999999</v>
      </c>
      <c r="O58" s="330">
        <f>(M58*'Assumption Sheet'!C$29)*'Assumption Sheet'!E$19</f>
        <v>83585.243902439033</v>
      </c>
      <c r="P58" s="350">
        <f>M58*'Assumption Sheet'!$D$30*'Assumption Sheet'!$H$22</f>
        <v>41766.968879999993</v>
      </c>
      <c r="Q58" s="350">
        <f>M58*'Assumption Sheet'!$D$30*'Assumption Sheet'!$H$19</f>
        <v>115499.60975609755</v>
      </c>
      <c r="R58" s="350">
        <f>(M58*'Assumption Sheet'!B$31)*'Assumption Sheet'!K$23</f>
        <v>1966.7711231999999</v>
      </c>
      <c r="S58" s="350">
        <f>(M58*'Assumption Sheet'!B$31)*'Assumption Sheet'!K$22</f>
        <v>9726.2829268292699</v>
      </c>
      <c r="T58" s="330">
        <f t="shared" si="4"/>
        <v>84181.751971199992</v>
      </c>
      <c r="U58" s="330">
        <f t="shared" si="11"/>
        <v>208811.13658536584</v>
      </c>
      <c r="V58" s="330">
        <f t="shared" si="7"/>
        <v>124629.38461416584</v>
      </c>
      <c r="W58" s="351"/>
      <c r="X58" s="331"/>
      <c r="Y58" s="331"/>
      <c r="Z58" s="327"/>
      <c r="AA58" s="330">
        <f t="shared" si="8"/>
        <v>325577.94319620001</v>
      </c>
      <c r="AB58" s="330">
        <f t="shared" si="9"/>
        <v>495905.86016260157</v>
      </c>
      <c r="AC58" s="330">
        <f t="shared" si="10"/>
        <v>170327.91696640156</v>
      </c>
      <c r="AD58" s="331"/>
      <c r="AE58" s="331"/>
      <c r="AF58" s="331"/>
    </row>
    <row r="59" spans="1:32" x14ac:dyDescent="0.2">
      <c r="A59" s="326">
        <v>58</v>
      </c>
      <c r="B59" s="334">
        <f>ROUNDDOWN(B58*(1+'Assumption Sheet'!E$5), 0)</f>
        <v>7968</v>
      </c>
      <c r="C59" s="333">
        <f>'Assumption Sheet'!B$12*B59</f>
        <v>291447.41463414632</v>
      </c>
      <c r="D59" s="333">
        <f>'Assumption Sheet'!B$10*B59</f>
        <v>245056.03920000003</v>
      </c>
      <c r="E59" s="335">
        <f>'Assumption Sheet'!B$11*B59</f>
        <v>52869.42421463412</v>
      </c>
      <c r="F59" s="349">
        <f t="shared" si="12"/>
        <v>25117</v>
      </c>
      <c r="G59" s="327"/>
      <c r="H59" s="333"/>
      <c r="I59" s="328"/>
      <c r="J59" s="328"/>
      <c r="K59" s="327"/>
      <c r="L59" s="328">
        <f>SUM(B$2:B59)</f>
        <v>227883</v>
      </c>
      <c r="M59" s="329">
        <f>ROUNDDOWN(L59*'Assumption Sheet'!D$28, 0)</f>
        <v>193700</v>
      </c>
      <c r="N59" s="330">
        <f>(M59*'Assumption Sheet'!D$29)*'Assumption Sheet'!E$22</f>
        <v>41913.580800000003</v>
      </c>
      <c r="O59" s="330">
        <f>(M59*'Assumption Sheet'!C$29)*'Assumption Sheet'!E$19</f>
        <v>86613.821138211395</v>
      </c>
      <c r="P59" s="350">
        <f>M59*'Assumption Sheet'!$D$30*'Assumption Sheet'!$H$22</f>
        <v>43280.327999999994</v>
      </c>
      <c r="Q59" s="350">
        <f>M59*'Assumption Sheet'!$D$30*'Assumption Sheet'!$H$19</f>
        <v>119684.55284552845</v>
      </c>
      <c r="R59" s="350">
        <f>(M59*'Assumption Sheet'!B$31)*'Assumption Sheet'!K$23</f>
        <v>2038.0339200000001</v>
      </c>
      <c r="S59" s="350">
        <f>(M59*'Assumption Sheet'!B$31)*'Assumption Sheet'!K$22</f>
        <v>10078.699186991871</v>
      </c>
      <c r="T59" s="330">
        <f t="shared" si="4"/>
        <v>87231.942720000006</v>
      </c>
      <c r="U59" s="330">
        <f t="shared" si="11"/>
        <v>216377.07317073172</v>
      </c>
      <c r="V59" s="330">
        <f t="shared" si="7"/>
        <v>129145.13045073171</v>
      </c>
      <c r="W59" s="351"/>
      <c r="X59" s="331"/>
      <c r="Y59" s="331"/>
      <c r="Z59" s="327"/>
      <c r="AA59" s="330">
        <f t="shared" si="8"/>
        <v>332287.98192000005</v>
      </c>
      <c r="AB59" s="330">
        <f t="shared" si="9"/>
        <v>507824.48780487804</v>
      </c>
      <c r="AC59" s="330">
        <f t="shared" si="10"/>
        <v>175536.50588487799</v>
      </c>
      <c r="AD59" s="331"/>
      <c r="AE59" s="331"/>
      <c r="AF59" s="331"/>
    </row>
    <row r="60" spans="1:32" x14ac:dyDescent="0.2">
      <c r="A60" s="326">
        <v>59</v>
      </c>
      <c r="B60" s="334">
        <f>ROUNDDOWN(B59*(1+'Assumption Sheet'!E$5), 0)</f>
        <v>8088</v>
      </c>
      <c r="C60" s="333">
        <f>'Assumption Sheet'!B$12*B60</f>
        <v>295836.68292682926</v>
      </c>
      <c r="D60" s="333">
        <f>'Assumption Sheet'!B$10*B60</f>
        <v>248746.64220000003</v>
      </c>
      <c r="E60" s="335">
        <f>'Assumption Sheet'!B$11*B60</f>
        <v>53665.650482926801</v>
      </c>
      <c r="F60" s="349">
        <f t="shared" si="12"/>
        <v>17029</v>
      </c>
      <c r="G60" s="327"/>
      <c r="H60" s="333"/>
      <c r="I60" s="328"/>
      <c r="J60" s="328"/>
      <c r="K60" s="327"/>
      <c r="L60" s="328">
        <f>SUM(B$2:B60)</f>
        <v>235971</v>
      </c>
      <c r="M60" s="329">
        <f>ROUNDDOWN(L60*'Assumption Sheet'!D$28, 0)</f>
        <v>200575</v>
      </c>
      <c r="N60" s="330">
        <f>(M60*'Assumption Sheet'!D$29)*'Assumption Sheet'!E$22</f>
        <v>43401.220800000003</v>
      </c>
      <c r="O60" s="330">
        <f>(M60*'Assumption Sheet'!C$29)*'Assumption Sheet'!E$19</f>
        <v>89688.008130081304</v>
      </c>
      <c r="P60" s="350">
        <f>M60*'Assumption Sheet'!$D$30*'Assumption Sheet'!$H$22</f>
        <v>44816.477999999996</v>
      </c>
      <c r="Q60" s="350">
        <f>M60*'Assumption Sheet'!$D$30*'Assumption Sheet'!$H$19</f>
        <v>123932.52032520325</v>
      </c>
      <c r="R60" s="350">
        <f>(M60*'Assumption Sheet'!B$31)*'Assumption Sheet'!K$23</f>
        <v>2110.3699200000001</v>
      </c>
      <c r="S60" s="350">
        <f>(M60*'Assumption Sheet'!B$31)*'Assumption Sheet'!K$22</f>
        <v>10436.422764227644</v>
      </c>
      <c r="T60" s="330">
        <f t="shared" si="4"/>
        <v>90328.068719999996</v>
      </c>
      <c r="U60" s="330">
        <f t="shared" si="11"/>
        <v>224056.95121951218</v>
      </c>
      <c r="V60" s="330">
        <f t="shared" si="7"/>
        <v>133728.88249951217</v>
      </c>
      <c r="W60" s="351"/>
      <c r="X60" s="331"/>
      <c r="Y60" s="331"/>
      <c r="Z60" s="327"/>
      <c r="AA60" s="330">
        <f t="shared" si="8"/>
        <v>339074.71092000004</v>
      </c>
      <c r="AB60" s="330">
        <f t="shared" si="9"/>
        <v>519893.63414634147</v>
      </c>
      <c r="AC60" s="330">
        <f t="shared" si="10"/>
        <v>180818.92322634143</v>
      </c>
      <c r="AD60" s="331"/>
      <c r="AE60" s="331"/>
      <c r="AF60" s="331"/>
    </row>
    <row r="61" spans="1:32" ht="17" thickBot="1" x14ac:dyDescent="0.25">
      <c r="A61" s="336">
        <v>60</v>
      </c>
      <c r="B61" s="337">
        <f>ROUNDDOWN(B60*(1+'Assumption Sheet'!E$5), 0)</f>
        <v>8210</v>
      </c>
      <c r="C61" s="338">
        <f>'Assumption Sheet'!B$12*B61</f>
        <v>300299.10569105693</v>
      </c>
      <c r="D61" s="338">
        <f>'Assumption Sheet'!B$10*B61</f>
        <v>252498.75525000002</v>
      </c>
      <c r="E61" s="339">
        <f>'Assumption Sheet'!B$11*B61</f>
        <v>54475.147189024363</v>
      </c>
      <c r="F61" s="352">
        <f t="shared" si="12"/>
        <v>8819</v>
      </c>
      <c r="G61" s="341"/>
      <c r="H61" s="338"/>
      <c r="I61" s="342">
        <f>SUM(B50:B61)</f>
        <v>90845</v>
      </c>
      <c r="J61" s="342">
        <f>SUM(C50:C61)</f>
        <v>3322858.9837398371</v>
      </c>
      <c r="K61" s="341"/>
      <c r="L61" s="344">
        <f>SUM(B$2:B61)</f>
        <v>244181</v>
      </c>
      <c r="M61" s="345">
        <f>ROUNDDOWN(L61*'Assumption Sheet'!D$28, 0)</f>
        <v>207553</v>
      </c>
      <c r="N61" s="346">
        <f>(M61*'Assumption Sheet'!D$29)*'Assumption Sheet'!E$22</f>
        <v>44911.148351999997</v>
      </c>
      <c r="O61" s="346">
        <f>(M61*'Assumption Sheet'!C$29)*'Assumption Sheet'!E$19</f>
        <v>92808.252032520337</v>
      </c>
      <c r="P61" s="353">
        <f>M61*'Assumption Sheet'!$D$30*'Assumption Sheet'!$H$22</f>
        <v>46375.642319999999</v>
      </c>
      <c r="Q61" s="353">
        <f>M61*'Assumption Sheet'!$D$30*'Assumption Sheet'!$H$19</f>
        <v>128244.13008130081</v>
      </c>
      <c r="R61" s="353">
        <f>(M61*'Assumption Sheet'!B$31)*'Assumption Sheet'!K$23</f>
        <v>2183.7896448000001</v>
      </c>
      <c r="S61" s="353">
        <f>(M61*'Assumption Sheet'!B$31)*'Assumption Sheet'!K$22</f>
        <v>10799.505691056913</v>
      </c>
      <c r="T61" s="346">
        <f t="shared" si="4"/>
        <v>93470.580316799998</v>
      </c>
      <c r="U61" s="346">
        <f t="shared" si="11"/>
        <v>231851.88780487809</v>
      </c>
      <c r="V61" s="346">
        <f t="shared" si="7"/>
        <v>138381.30748807808</v>
      </c>
      <c r="W61" s="347">
        <f>L61</f>
        <v>244181</v>
      </c>
      <c r="X61" s="348">
        <f>SUM(U50:U61)</f>
        <v>2292403.9414634146</v>
      </c>
      <c r="Y61" s="348">
        <f>SUM(T50:T61)</f>
        <v>924177.62373120012</v>
      </c>
      <c r="Z61" s="341"/>
      <c r="AA61" s="346">
        <f t="shared" si="8"/>
        <v>345969.33556680003</v>
      </c>
      <c r="AB61" s="346">
        <f t="shared" si="9"/>
        <v>532150.99349593499</v>
      </c>
      <c r="AC61" s="346">
        <f t="shared" si="10"/>
        <v>186181.65792913496</v>
      </c>
      <c r="AD61" s="348">
        <f>SUM(AA50:AA61)</f>
        <v>3718117.8698562002</v>
      </c>
      <c r="AE61" s="348">
        <f>SUM(AB50:AB61)</f>
        <v>5615262.9252032507</v>
      </c>
      <c r="AF61" s="348">
        <f>SUM(AC50:AC61)</f>
        <v>1897145.0553470517</v>
      </c>
    </row>
    <row r="62" spans="1:32" ht="17" thickTop="1" x14ac:dyDescent="0.2">
      <c r="B62" s="84"/>
      <c r="C62" s="85"/>
      <c r="D62" s="85"/>
      <c r="E62" s="86"/>
      <c r="F62" s="87"/>
      <c r="H62" s="85"/>
      <c r="W62" s="276"/>
    </row>
    <row r="63" spans="1:32" x14ac:dyDescent="0.2">
      <c r="B63" s="84"/>
      <c r="C63" s="85"/>
      <c r="D63" s="85"/>
      <c r="E63" s="86"/>
      <c r="F63" s="87"/>
      <c r="H63" s="85"/>
    </row>
    <row r="64" spans="1:32" x14ac:dyDescent="0.2">
      <c r="B64" s="84"/>
      <c r="C64" s="85"/>
      <c r="D64" s="85"/>
      <c r="E64" s="86"/>
      <c r="F64" s="87"/>
      <c r="H64" s="85"/>
    </row>
    <row r="65" spans="2:8" x14ac:dyDescent="0.2">
      <c r="B65" s="84"/>
      <c r="C65" s="85"/>
      <c r="D65" s="85"/>
      <c r="E65" s="86"/>
      <c r="F65" s="87"/>
      <c r="H65" s="85"/>
    </row>
    <row r="66" spans="2:8" x14ac:dyDescent="0.2">
      <c r="B66" s="84"/>
      <c r="C66" s="85"/>
      <c r="D66" s="85"/>
      <c r="E66" s="86"/>
      <c r="F66" s="87"/>
      <c r="H66" s="85"/>
    </row>
  </sheetData>
  <conditionalFormatting sqref="T50:U61">
    <cfRule type="cellIs" dxfId="6" priority="1" operator="lessThan">
      <formula>0</formula>
    </cfRule>
  </conditionalFormatting>
  <conditionalFormatting sqref="V2:Y61">
    <cfRule type="cellIs" dxfId="5" priority="3" operator="lessThan">
      <formula>0</formula>
    </cfRule>
  </conditionalFormatting>
  <conditionalFormatting sqref="AC2:AF61">
    <cfRule type="cellIs" dxfId="4" priority="2" operator="lessThan">
      <formula>0</formula>
    </cfRule>
  </conditionalFormatting>
  <pageMargins left="0.7" right="0.7" top="0.75" bottom="0.75" header="0.3" footer="0.3"/>
  <legacyDrawing r:id="rId1"/>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4DD1758-36AF-B54A-B6CA-1DA7EFE9E927}">
  <dimension ref="A1:Z66"/>
  <sheetViews>
    <sheetView workbookViewId="0">
      <selection activeCell="N8" sqref="N8"/>
    </sheetView>
  </sheetViews>
  <sheetFormatPr baseColWidth="10" defaultColWidth="10.83203125" defaultRowHeight="16" x14ac:dyDescent="0.2"/>
  <cols>
    <col min="1" max="1" width="7.33203125" style="197" customWidth="1"/>
    <col min="2" max="2" width="22.33203125" style="191" bestFit="1" customWidth="1"/>
    <col min="3" max="3" width="31" style="191" bestFit="1" customWidth="1"/>
    <col min="4" max="4" width="15.1640625" style="191" customWidth="1"/>
    <col min="5" max="5" width="18.5" style="191" customWidth="1"/>
    <col min="6" max="6" width="16.5" style="191" bestFit="1" customWidth="1"/>
    <col min="7" max="7" width="22.6640625" style="191" bestFit="1" customWidth="1"/>
    <col min="8" max="8" width="17.83203125" style="191" customWidth="1"/>
    <col min="9" max="9" width="19" style="191" bestFit="1" customWidth="1"/>
    <col min="10" max="10" width="23" style="191" bestFit="1" customWidth="1"/>
    <col min="11" max="11" width="10.83203125" style="191" bestFit="1"/>
    <col min="12" max="13" width="11" style="191" bestFit="1" customWidth="1"/>
    <col min="14" max="14" width="12.83203125" style="191" bestFit="1" customWidth="1"/>
    <col min="15" max="15" width="19" style="191" bestFit="1" customWidth="1"/>
    <col min="16" max="16" width="16.83203125" style="191" bestFit="1" customWidth="1"/>
    <col min="17" max="17" width="17.5" style="191" bestFit="1" customWidth="1"/>
    <col min="18" max="18" width="26.6640625" style="191" bestFit="1" customWidth="1"/>
    <col min="19" max="19" width="26.6640625" style="191" customWidth="1"/>
    <col min="20" max="20" width="10.83203125" style="191" bestFit="1"/>
    <col min="21" max="21" width="15.1640625" style="191" customWidth="1"/>
    <col min="22" max="22" width="16.6640625" style="191" customWidth="1"/>
    <col min="23" max="24" width="17" style="191" customWidth="1"/>
    <col min="25" max="25" width="20.5" style="191" bestFit="1" customWidth="1"/>
    <col min="26" max="26" width="19.6640625" style="191" bestFit="1" customWidth="1"/>
    <col min="27" max="16384" width="10.83203125" style="191"/>
  </cols>
  <sheetData>
    <row r="1" spans="1:26" x14ac:dyDescent="0.2">
      <c r="A1" s="69" t="s">
        <v>63</v>
      </c>
      <c r="B1" s="68" t="s">
        <v>241</v>
      </c>
      <c r="C1" s="68" t="s">
        <v>242</v>
      </c>
      <c r="D1" s="69" t="s">
        <v>243</v>
      </c>
      <c r="E1" s="68" t="s">
        <v>244</v>
      </c>
      <c r="F1" s="70" t="s">
        <v>245</v>
      </c>
      <c r="G1" s="70" t="s">
        <v>246</v>
      </c>
      <c r="H1" s="68" t="s">
        <v>247</v>
      </c>
      <c r="I1" s="68" t="s">
        <v>248</v>
      </c>
      <c r="J1" s="68" t="s">
        <v>249</v>
      </c>
      <c r="K1" s="253"/>
      <c r="L1" s="70" t="s">
        <v>251</v>
      </c>
      <c r="M1" s="70" t="s">
        <v>252</v>
      </c>
      <c r="N1" s="70" t="s">
        <v>259</v>
      </c>
      <c r="O1" s="70" t="s">
        <v>271</v>
      </c>
      <c r="P1" s="70" t="s">
        <v>272</v>
      </c>
      <c r="Q1" s="70" t="s">
        <v>262</v>
      </c>
      <c r="R1" s="70" t="s">
        <v>263</v>
      </c>
      <c r="S1" s="70" t="s">
        <v>264</v>
      </c>
      <c r="T1" s="253"/>
      <c r="U1" s="70" t="s">
        <v>265</v>
      </c>
      <c r="V1" s="70" t="s">
        <v>266</v>
      </c>
      <c r="W1" s="70" t="s">
        <v>267</v>
      </c>
      <c r="X1" s="70" t="s">
        <v>268</v>
      </c>
      <c r="Y1" s="70" t="s">
        <v>269</v>
      </c>
      <c r="Z1" s="70" t="s">
        <v>270</v>
      </c>
    </row>
    <row r="2" spans="1:26" x14ac:dyDescent="0.2">
      <c r="A2" s="192">
        <v>1</v>
      </c>
      <c r="B2" s="277">
        <v>0</v>
      </c>
      <c r="C2" s="277">
        <v>0</v>
      </c>
      <c r="D2" s="277">
        <v>0</v>
      </c>
      <c r="E2" s="277">
        <v>0</v>
      </c>
      <c r="F2" s="277">
        <v>0</v>
      </c>
      <c r="G2" s="277"/>
      <c r="H2" s="277"/>
      <c r="I2" s="71"/>
      <c r="J2" s="71"/>
      <c r="K2" s="253"/>
      <c r="L2" s="71">
        <f>SUM(B$1:B1)</f>
        <v>0</v>
      </c>
      <c r="M2" s="278" t="e">
        <f>ROUNDDOWN(L2*'Assumption Sheet'!#REF!, 0)</f>
        <v>#REF!</v>
      </c>
      <c r="N2" s="279" t="e">
        <f>M2*'Assumption Sheet'!B$27</f>
        <v>#REF!</v>
      </c>
      <c r="O2" s="279">
        <v>0</v>
      </c>
      <c r="P2" s="279" t="e">
        <f t="shared" ref="P2:P33" si="0">O2-N2</f>
        <v>#REF!</v>
      </c>
      <c r="Q2" s="279"/>
      <c r="R2" s="279"/>
      <c r="S2" s="279"/>
      <c r="T2" s="253"/>
      <c r="U2" s="279" t="e">
        <f t="shared" ref="U2:U33" si="1">D2+N2</f>
        <v>#REF!</v>
      </c>
      <c r="V2" s="279">
        <f t="shared" ref="V2:V33" si="2">C2+O2</f>
        <v>0</v>
      </c>
      <c r="W2" s="279" t="e">
        <f t="shared" ref="W2:W33" si="3">V2-U2</f>
        <v>#REF!</v>
      </c>
      <c r="X2" s="106"/>
      <c r="Y2" s="106"/>
      <c r="Z2" s="106"/>
    </row>
    <row r="3" spans="1:26" x14ac:dyDescent="0.2">
      <c r="A3" s="192">
        <v>2</v>
      </c>
      <c r="B3" s="277">
        <v>0</v>
      </c>
      <c r="C3" s="277">
        <v>0</v>
      </c>
      <c r="D3" s="277">
        <v>0</v>
      </c>
      <c r="E3" s="277">
        <v>0</v>
      </c>
      <c r="F3" s="277">
        <v>0</v>
      </c>
      <c r="G3" s="277"/>
      <c r="H3" s="277"/>
      <c r="I3" s="71"/>
      <c r="J3" s="71"/>
      <c r="K3" s="253"/>
      <c r="L3" s="71">
        <f>SUM(B$1:B2)</f>
        <v>0</v>
      </c>
      <c r="M3" s="278" t="e">
        <f>ROUNDDOWN(L3*'Assumption Sheet'!#REF!, 0)</f>
        <v>#REF!</v>
      </c>
      <c r="N3" s="279" t="e">
        <f>M3*'Assumption Sheet'!B$27</f>
        <v>#REF!</v>
      </c>
      <c r="O3" s="279">
        <v>0</v>
      </c>
      <c r="P3" s="279" t="e">
        <f t="shared" si="0"/>
        <v>#REF!</v>
      </c>
      <c r="Q3" s="279"/>
      <c r="R3" s="279"/>
      <c r="S3" s="279"/>
      <c r="T3" s="253"/>
      <c r="U3" s="279" t="e">
        <f t="shared" si="1"/>
        <v>#REF!</v>
      </c>
      <c r="V3" s="279">
        <f t="shared" si="2"/>
        <v>0</v>
      </c>
      <c r="W3" s="279" t="e">
        <f t="shared" si="3"/>
        <v>#REF!</v>
      </c>
      <c r="X3" s="106"/>
      <c r="Y3" s="106"/>
      <c r="Z3" s="106"/>
    </row>
    <row r="4" spans="1:26" x14ac:dyDescent="0.2">
      <c r="A4" s="192">
        <v>3</v>
      </c>
      <c r="B4" s="277">
        <v>0</v>
      </c>
      <c r="C4" s="277">
        <v>0</v>
      </c>
      <c r="D4" s="277">
        <v>0</v>
      </c>
      <c r="E4" s="277">
        <v>0</v>
      </c>
      <c r="F4" s="277">
        <v>0</v>
      </c>
      <c r="G4" s="277"/>
      <c r="H4" s="277"/>
      <c r="I4" s="71"/>
      <c r="J4" s="71"/>
      <c r="K4" s="253"/>
      <c r="L4" s="71">
        <f>SUM(B$1:B3)</f>
        <v>0</v>
      </c>
      <c r="M4" s="278" t="e">
        <f>ROUNDDOWN(L4*'Assumption Sheet'!#REF!, 0)</f>
        <v>#REF!</v>
      </c>
      <c r="N4" s="279" t="e">
        <f>M4*'Assumption Sheet'!B$27</f>
        <v>#REF!</v>
      </c>
      <c r="O4" s="279">
        <v>0</v>
      </c>
      <c r="P4" s="279" t="e">
        <f t="shared" si="0"/>
        <v>#REF!</v>
      </c>
      <c r="Q4" s="279"/>
      <c r="R4" s="279"/>
      <c r="S4" s="279"/>
      <c r="T4" s="253"/>
      <c r="U4" s="279" t="e">
        <f t="shared" si="1"/>
        <v>#REF!</v>
      </c>
      <c r="V4" s="279">
        <f t="shared" si="2"/>
        <v>0</v>
      </c>
      <c r="W4" s="279" t="e">
        <f t="shared" si="3"/>
        <v>#REF!</v>
      </c>
      <c r="X4" s="106"/>
      <c r="Y4" s="106"/>
      <c r="Z4" s="106"/>
    </row>
    <row r="5" spans="1:26" x14ac:dyDescent="0.2">
      <c r="A5" s="192">
        <v>4</v>
      </c>
      <c r="B5" s="277">
        <v>0</v>
      </c>
      <c r="C5" s="277">
        <v>0</v>
      </c>
      <c r="D5" s="277">
        <v>0</v>
      </c>
      <c r="E5" s="277">
        <v>0</v>
      </c>
      <c r="F5" s="277">
        <v>0</v>
      </c>
      <c r="G5" s="277"/>
      <c r="H5" s="277"/>
      <c r="I5" s="71"/>
      <c r="J5" s="71"/>
      <c r="K5" s="253"/>
      <c r="L5" s="71">
        <f>SUM(B$1:B4)</f>
        <v>0</v>
      </c>
      <c r="M5" s="278" t="e">
        <f>ROUNDDOWN(L5*'Assumption Sheet'!#REF!, 0)</f>
        <v>#REF!</v>
      </c>
      <c r="N5" s="279" t="e">
        <f>M5*'Assumption Sheet'!B$27</f>
        <v>#REF!</v>
      </c>
      <c r="O5" s="279">
        <v>0</v>
      </c>
      <c r="P5" s="279" t="e">
        <f t="shared" si="0"/>
        <v>#REF!</v>
      </c>
      <c r="Q5" s="279"/>
      <c r="R5" s="279"/>
      <c r="S5" s="279"/>
      <c r="T5" s="253"/>
      <c r="U5" s="279" t="e">
        <f t="shared" si="1"/>
        <v>#REF!</v>
      </c>
      <c r="V5" s="279">
        <f t="shared" si="2"/>
        <v>0</v>
      </c>
      <c r="W5" s="279" t="e">
        <f t="shared" si="3"/>
        <v>#REF!</v>
      </c>
      <c r="X5" s="106"/>
      <c r="Y5" s="106"/>
      <c r="Z5" s="106"/>
    </row>
    <row r="6" spans="1:26" x14ac:dyDescent="0.2">
      <c r="A6" s="192">
        <v>5</v>
      </c>
      <c r="B6" s="277">
        <v>0</v>
      </c>
      <c r="C6" s="277">
        <v>0</v>
      </c>
      <c r="D6" s="277">
        <v>0</v>
      </c>
      <c r="E6" s="277">
        <v>0</v>
      </c>
      <c r="F6" s="280">
        <v>3000</v>
      </c>
      <c r="G6" s="277">
        <v>3000</v>
      </c>
      <c r="H6" s="72">
        <f>G6*'Assumption Sheet'!B$10</f>
        <v>92265.075000000012</v>
      </c>
      <c r="I6" s="71"/>
      <c r="J6" s="71"/>
      <c r="K6" s="253"/>
      <c r="L6" s="71">
        <f>SUM(B$1:B5)</f>
        <v>0</v>
      </c>
      <c r="M6" s="278" t="e">
        <f>ROUNDDOWN(L6*'Assumption Sheet'!#REF!, 0)</f>
        <v>#REF!</v>
      </c>
      <c r="N6" s="279" t="e">
        <f>M6*'Assumption Sheet'!B$27</f>
        <v>#REF!</v>
      </c>
      <c r="O6" s="279">
        <v>0</v>
      </c>
      <c r="P6" s="279" t="e">
        <f t="shared" si="0"/>
        <v>#REF!</v>
      </c>
      <c r="Q6" s="279"/>
      <c r="R6" s="279"/>
      <c r="S6" s="279"/>
      <c r="T6" s="253"/>
      <c r="U6" s="279" t="e">
        <f t="shared" si="1"/>
        <v>#REF!</v>
      </c>
      <c r="V6" s="279">
        <f t="shared" si="2"/>
        <v>0</v>
      </c>
      <c r="W6" s="279" t="e">
        <f t="shared" si="3"/>
        <v>#REF!</v>
      </c>
      <c r="X6" s="106"/>
      <c r="Y6" s="106"/>
      <c r="Z6" s="106"/>
    </row>
    <row r="7" spans="1:26" x14ac:dyDescent="0.2">
      <c r="A7" s="192">
        <v>6</v>
      </c>
      <c r="B7" s="281">
        <f>ROUNDDOWN('Assumption Sheet'!E2, 0)</f>
        <v>275</v>
      </c>
      <c r="C7" s="72">
        <f>'Assumption Sheet'!B$12*B7</f>
        <v>10058.739837398374</v>
      </c>
      <c r="D7" s="72">
        <f>'Assumption Sheet'!B$10*B7</f>
        <v>8457.6318750000009</v>
      </c>
      <c r="E7" s="282">
        <f>'Assumption Sheet'!B$11*B7</f>
        <v>1824.6851981707309</v>
      </c>
      <c r="F7" s="280">
        <f>F6-ROUNDDOWN(B7, 0)</f>
        <v>2725</v>
      </c>
      <c r="G7" s="277"/>
      <c r="H7" s="72"/>
      <c r="I7" s="71"/>
      <c r="J7" s="71"/>
      <c r="K7" s="253"/>
      <c r="L7" s="71">
        <f>SUM(B$1:B6)</f>
        <v>0</v>
      </c>
      <c r="M7" s="278" t="e">
        <f>ROUNDDOWN(L7*'Assumption Sheet'!#REF!, 0)</f>
        <v>#REF!</v>
      </c>
      <c r="N7" s="279" t="e">
        <f>M7*'Assumption Sheet'!B$27</f>
        <v>#REF!</v>
      </c>
      <c r="O7" s="279">
        <v>0</v>
      </c>
      <c r="P7" s="279" t="e">
        <f t="shared" si="0"/>
        <v>#REF!</v>
      </c>
      <c r="Q7" s="279"/>
      <c r="R7" s="279"/>
      <c r="S7" s="279"/>
      <c r="T7" s="253"/>
      <c r="U7" s="279" t="e">
        <f t="shared" si="1"/>
        <v>#REF!</v>
      </c>
      <c r="V7" s="279">
        <f t="shared" si="2"/>
        <v>10058.739837398374</v>
      </c>
      <c r="W7" s="279" t="e">
        <f t="shared" si="3"/>
        <v>#REF!</v>
      </c>
      <c r="X7" s="106"/>
      <c r="Y7" s="106"/>
      <c r="Z7" s="106"/>
    </row>
    <row r="8" spans="1:26" x14ac:dyDescent="0.2">
      <c r="A8" s="192">
        <v>7</v>
      </c>
      <c r="B8" s="281">
        <f>ROUNDDOWN(B7*(1+'Assumption Sheet'!E$3), 0)</f>
        <v>294</v>
      </c>
      <c r="C8" s="72">
        <f>'Assumption Sheet'!B$12*B8</f>
        <v>10753.707317073171</v>
      </c>
      <c r="D8" s="72">
        <f>'Assumption Sheet'!B$10*B8</f>
        <v>9041.977350000001</v>
      </c>
      <c r="E8" s="282">
        <f>'Assumption Sheet'!B$11*B8</f>
        <v>1950.7543573170724</v>
      </c>
      <c r="F8" s="280">
        <f t="shared" ref="F8:F39" si="4">F7-ROUNDDOWN(B8, 0)+G7</f>
        <v>2431</v>
      </c>
      <c r="G8" s="277"/>
      <c r="H8" s="72"/>
      <c r="I8" s="71"/>
      <c r="J8" s="71"/>
      <c r="K8" s="253"/>
      <c r="L8" s="71">
        <f>SUM(B$2:B7)</f>
        <v>275</v>
      </c>
      <c r="M8" s="278" t="e">
        <f>ROUNDDOWN(L8*'Assumption Sheet'!#REF!, 0)</f>
        <v>#REF!</v>
      </c>
      <c r="N8" s="279" t="e">
        <f>M8*'Assumption Sheet'!B$27</f>
        <v>#REF!</v>
      </c>
      <c r="O8" s="279">
        <v>0</v>
      </c>
      <c r="P8" s="279" t="e">
        <f t="shared" si="0"/>
        <v>#REF!</v>
      </c>
      <c r="Q8" s="279"/>
      <c r="R8" s="279"/>
      <c r="S8" s="279"/>
      <c r="T8" s="253"/>
      <c r="U8" s="279" t="e">
        <f t="shared" si="1"/>
        <v>#REF!</v>
      </c>
      <c r="V8" s="279">
        <f t="shared" si="2"/>
        <v>10753.707317073171</v>
      </c>
      <c r="W8" s="279" t="e">
        <f t="shared" si="3"/>
        <v>#REF!</v>
      </c>
      <c r="X8" s="106"/>
      <c r="Y8" s="106"/>
      <c r="Z8" s="106"/>
    </row>
    <row r="9" spans="1:26" x14ac:dyDescent="0.2">
      <c r="A9" s="192">
        <v>8</v>
      </c>
      <c r="B9" s="281">
        <f>ROUNDDOWN(B8*(1+'Assumption Sheet'!E$3), 0)</f>
        <v>314</v>
      </c>
      <c r="C9" s="72">
        <f>'Assumption Sheet'!B$12*B9</f>
        <v>11485.252032520326</v>
      </c>
      <c r="D9" s="72">
        <f>'Assumption Sheet'!B$10*B9</f>
        <v>9657.0778500000015</v>
      </c>
      <c r="E9" s="282">
        <f>'Assumption Sheet'!B$11*B9</f>
        <v>2083.4587353658526</v>
      </c>
      <c r="F9" s="280">
        <f t="shared" si="4"/>
        <v>2117</v>
      </c>
      <c r="G9" s="277"/>
      <c r="H9" s="72"/>
      <c r="I9" s="71"/>
      <c r="J9" s="71"/>
      <c r="K9" s="253"/>
      <c r="L9" s="71">
        <f>SUM(B$2:B8)</f>
        <v>569</v>
      </c>
      <c r="M9" s="278" t="e">
        <f>ROUNDDOWN(L9*'Assumption Sheet'!#REF!, 0)</f>
        <v>#REF!</v>
      </c>
      <c r="N9" s="279" t="e">
        <f>M9*'Assumption Sheet'!B$27</f>
        <v>#REF!</v>
      </c>
      <c r="O9" s="279">
        <v>0</v>
      </c>
      <c r="P9" s="279" t="e">
        <f t="shared" si="0"/>
        <v>#REF!</v>
      </c>
      <c r="Q9" s="279"/>
      <c r="R9" s="279"/>
      <c r="S9" s="279"/>
      <c r="T9" s="253"/>
      <c r="U9" s="279" t="e">
        <f t="shared" si="1"/>
        <v>#REF!</v>
      </c>
      <c r="V9" s="279">
        <f t="shared" si="2"/>
        <v>11485.252032520326</v>
      </c>
      <c r="W9" s="279" t="e">
        <f t="shared" si="3"/>
        <v>#REF!</v>
      </c>
      <c r="X9" s="106"/>
      <c r="Y9" s="106"/>
      <c r="Z9" s="106"/>
    </row>
    <row r="10" spans="1:26" x14ac:dyDescent="0.2">
      <c r="A10" s="192">
        <v>9</v>
      </c>
      <c r="B10" s="281">
        <f>ROUNDDOWN(B9*(1+'Assumption Sheet'!E$3), 0)</f>
        <v>335</v>
      </c>
      <c r="C10" s="72">
        <f>'Assumption Sheet'!B$12*B10</f>
        <v>12253.373983739837</v>
      </c>
      <c r="D10" s="72">
        <f>'Assumption Sheet'!B$10*B10</f>
        <v>10302.933375000001</v>
      </c>
      <c r="E10" s="282">
        <f>'Assumption Sheet'!B$11*B10</f>
        <v>2222.798332317072</v>
      </c>
      <c r="F10" s="280">
        <f t="shared" si="4"/>
        <v>1782</v>
      </c>
      <c r="G10" s="277"/>
      <c r="H10" s="72"/>
      <c r="I10" s="71"/>
      <c r="J10" s="71"/>
      <c r="K10" s="253"/>
      <c r="L10" s="71">
        <f>SUM(B$2:B9)</f>
        <v>883</v>
      </c>
      <c r="M10" s="278" t="e">
        <f>ROUNDDOWN(L10*'Assumption Sheet'!#REF!, 0)</f>
        <v>#REF!</v>
      </c>
      <c r="N10" s="279" t="e">
        <f>M10*'Assumption Sheet'!B$27</f>
        <v>#REF!</v>
      </c>
      <c r="O10" s="279">
        <v>0</v>
      </c>
      <c r="P10" s="279" t="e">
        <f t="shared" si="0"/>
        <v>#REF!</v>
      </c>
      <c r="Q10" s="279"/>
      <c r="R10" s="279"/>
      <c r="S10" s="279"/>
      <c r="T10" s="253"/>
      <c r="U10" s="279" t="e">
        <f t="shared" si="1"/>
        <v>#REF!</v>
      </c>
      <c r="V10" s="279">
        <f t="shared" si="2"/>
        <v>12253.373983739837</v>
      </c>
      <c r="W10" s="279" t="e">
        <f t="shared" si="3"/>
        <v>#REF!</v>
      </c>
      <c r="X10" s="106"/>
      <c r="Y10" s="106"/>
      <c r="Z10" s="106"/>
    </row>
    <row r="11" spans="1:26" x14ac:dyDescent="0.2">
      <c r="A11" s="192">
        <v>10</v>
      </c>
      <c r="B11" s="281">
        <f>ROUNDDOWN(B10*(1+'Assumption Sheet'!E$3), 0)</f>
        <v>358</v>
      </c>
      <c r="C11" s="72">
        <f>'Assumption Sheet'!B$12*B11</f>
        <v>13094.650406504064</v>
      </c>
      <c r="D11" s="72">
        <f>'Assumption Sheet'!B$10*B11</f>
        <v>11010.29895</v>
      </c>
      <c r="E11" s="282">
        <f>'Assumption Sheet'!B$11*B11</f>
        <v>2375.4083670731698</v>
      </c>
      <c r="F11" s="280">
        <f t="shared" si="4"/>
        <v>1424</v>
      </c>
      <c r="G11" s="277"/>
      <c r="H11" s="72"/>
      <c r="I11" s="71"/>
      <c r="J11" s="71"/>
      <c r="K11" s="253"/>
      <c r="L11" s="71">
        <f>SUM(B$2:B10)</f>
        <v>1218</v>
      </c>
      <c r="M11" s="278" t="e">
        <f>ROUNDDOWN(L11*'Assumption Sheet'!#REF!, 0)</f>
        <v>#REF!</v>
      </c>
      <c r="N11" s="279" t="e">
        <f>M11*'Assumption Sheet'!B$27</f>
        <v>#REF!</v>
      </c>
      <c r="O11" s="279">
        <v>0</v>
      </c>
      <c r="P11" s="279" t="e">
        <f t="shared" si="0"/>
        <v>#REF!</v>
      </c>
      <c r="Q11" s="279"/>
      <c r="R11" s="279"/>
      <c r="S11" s="279"/>
      <c r="T11" s="253"/>
      <c r="U11" s="279" t="e">
        <f t="shared" si="1"/>
        <v>#REF!</v>
      </c>
      <c r="V11" s="279">
        <f t="shared" si="2"/>
        <v>13094.650406504064</v>
      </c>
      <c r="W11" s="279" t="e">
        <f t="shared" si="3"/>
        <v>#REF!</v>
      </c>
      <c r="X11" s="106"/>
      <c r="Y11" s="106"/>
      <c r="Z11" s="106"/>
    </row>
    <row r="12" spans="1:26" x14ac:dyDescent="0.2">
      <c r="A12" s="192">
        <v>11</v>
      </c>
      <c r="B12" s="281">
        <f>ROUNDDOWN(B11*(1+'Assumption Sheet'!E$3), 0)</f>
        <v>383</v>
      </c>
      <c r="C12" s="72">
        <f>'Assumption Sheet'!B$12*B12</f>
        <v>14009.081300813008</v>
      </c>
      <c r="D12" s="72">
        <f>'Assumption Sheet'!B$10*B12</f>
        <v>11779.174575000001</v>
      </c>
      <c r="E12" s="282">
        <f>'Assumption Sheet'!B$11*B12</f>
        <v>2541.288839634145</v>
      </c>
      <c r="F12" s="280">
        <f t="shared" si="4"/>
        <v>1041</v>
      </c>
      <c r="G12" s="277"/>
      <c r="H12" s="72"/>
      <c r="I12" s="71"/>
      <c r="J12" s="71"/>
      <c r="K12" s="253"/>
      <c r="L12" s="71">
        <f>SUM(B$2:B11)</f>
        <v>1576</v>
      </c>
      <c r="M12" s="278" t="e">
        <f>ROUNDDOWN(L12*'Assumption Sheet'!#REF!, 0)</f>
        <v>#REF!</v>
      </c>
      <c r="N12" s="279" t="e">
        <f>M12*'Assumption Sheet'!B$27</f>
        <v>#REF!</v>
      </c>
      <c r="O12" s="279">
        <v>0</v>
      </c>
      <c r="P12" s="279" t="e">
        <f t="shared" si="0"/>
        <v>#REF!</v>
      </c>
      <c r="Q12" s="279"/>
      <c r="R12" s="279"/>
      <c r="S12" s="279"/>
      <c r="T12" s="253"/>
      <c r="U12" s="279" t="e">
        <f t="shared" si="1"/>
        <v>#REF!</v>
      </c>
      <c r="V12" s="279">
        <f t="shared" si="2"/>
        <v>14009.081300813008</v>
      </c>
      <c r="W12" s="279" t="e">
        <f t="shared" si="3"/>
        <v>#REF!</v>
      </c>
      <c r="X12" s="106"/>
      <c r="Y12" s="106"/>
      <c r="Z12" s="106"/>
    </row>
    <row r="13" spans="1:26" x14ac:dyDescent="0.2">
      <c r="A13" s="192">
        <v>12</v>
      </c>
      <c r="B13" s="281">
        <f>ROUNDDOWN(B12*(1+'Assumption Sheet'!E$3), 0)</f>
        <v>409</v>
      </c>
      <c r="C13" s="72">
        <f>'Assumption Sheet'!B$12*B13</f>
        <v>14960.08943089431</v>
      </c>
      <c r="D13" s="72">
        <f>'Assumption Sheet'!B$10*B13</f>
        <v>12578.805225000002</v>
      </c>
      <c r="E13" s="282">
        <f>'Assumption Sheet'!B$11*B13</f>
        <v>2713.8045310975599</v>
      </c>
      <c r="F13" s="280">
        <f t="shared" si="4"/>
        <v>632</v>
      </c>
      <c r="G13" s="277"/>
      <c r="H13" s="72"/>
      <c r="I13" s="73">
        <f>SUM(B2:B13)</f>
        <v>2368</v>
      </c>
      <c r="J13" s="73">
        <f>SUM(C2:C13)</f>
        <v>86614.894308943098</v>
      </c>
      <c r="K13" s="253"/>
      <c r="L13" s="71">
        <f>SUM(B$2:B12)</f>
        <v>1959</v>
      </c>
      <c r="M13" s="278" t="e">
        <f>ROUNDDOWN(L13*'Assumption Sheet'!#REF!, 0)</f>
        <v>#REF!</v>
      </c>
      <c r="N13" s="279" t="e">
        <f>M13*'Assumption Sheet'!B$27</f>
        <v>#REF!</v>
      </c>
      <c r="O13" s="279">
        <v>0</v>
      </c>
      <c r="P13" s="279" t="e">
        <f t="shared" si="0"/>
        <v>#REF!</v>
      </c>
      <c r="Q13" s="105" t="e">
        <f>SUM(M2:M13)</f>
        <v>#REF!</v>
      </c>
      <c r="R13" s="106" t="e">
        <f>Q13*'Assumption Sheet'!E$16</f>
        <v>#REF!</v>
      </c>
      <c r="S13" s="139" t="e">
        <f>SUM(N2:N13)</f>
        <v>#REF!</v>
      </c>
      <c r="T13" s="253"/>
      <c r="U13" s="279" t="e">
        <f t="shared" si="1"/>
        <v>#REF!</v>
      </c>
      <c r="V13" s="279">
        <f t="shared" si="2"/>
        <v>14960.08943089431</v>
      </c>
      <c r="W13" s="279" t="e">
        <f t="shared" si="3"/>
        <v>#REF!</v>
      </c>
      <c r="X13" s="106" t="e">
        <f>SUM(U2:U13)</f>
        <v>#REF!</v>
      </c>
      <c r="Y13" s="106">
        <f>SUM(V2:V13)</f>
        <v>86614.894308943098</v>
      </c>
      <c r="Z13" s="106" t="e">
        <f>SUM(W2:W13)</f>
        <v>#REF!</v>
      </c>
    </row>
    <row r="14" spans="1:26" x14ac:dyDescent="0.2">
      <c r="A14" s="193">
        <v>13</v>
      </c>
      <c r="B14" s="283">
        <f>ROUNDDOWN(B13*(1+'Assumption Sheet'!E$3), 0)</f>
        <v>437</v>
      </c>
      <c r="C14" s="74">
        <f>'Assumption Sheet'!B$12*B14</f>
        <v>15984.252032520326</v>
      </c>
      <c r="D14" s="74">
        <f>'Assumption Sheet'!B$10*B14</f>
        <v>13439.945925000002</v>
      </c>
      <c r="E14" s="284">
        <f>'Assumption Sheet'!B$11*B14</f>
        <v>2899.5906603658523</v>
      </c>
      <c r="F14" s="270">
        <f t="shared" si="4"/>
        <v>195</v>
      </c>
      <c r="G14" s="285">
        <v>2000</v>
      </c>
      <c r="H14" s="74">
        <f>G14*'Assumption Sheet'!B$10</f>
        <v>61510.05000000001</v>
      </c>
      <c r="I14" s="75"/>
      <c r="J14" s="75"/>
      <c r="K14" s="253"/>
      <c r="L14" s="75">
        <f>SUM(B$2:B13)</f>
        <v>2368</v>
      </c>
      <c r="M14" s="286" t="e">
        <f>ROUNDDOWN(L14*'Assumption Sheet'!#REF!, 0)</f>
        <v>#REF!</v>
      </c>
      <c r="N14" s="271" t="e">
        <f>M14*'Assumption Sheet'!B$27</f>
        <v>#REF!</v>
      </c>
      <c r="O14" s="271" t="e">
        <f>M14*'Assumption Sheet'!E$17</f>
        <v>#REF!</v>
      </c>
      <c r="P14" s="271" t="e">
        <f t="shared" si="0"/>
        <v>#REF!</v>
      </c>
      <c r="Q14" s="107"/>
      <c r="R14" s="108"/>
      <c r="S14" s="108"/>
      <c r="T14" s="287"/>
      <c r="U14" s="271" t="e">
        <f t="shared" si="1"/>
        <v>#REF!</v>
      </c>
      <c r="V14" s="271" t="e">
        <f t="shared" si="2"/>
        <v>#REF!</v>
      </c>
      <c r="W14" s="271" t="e">
        <f t="shared" si="3"/>
        <v>#REF!</v>
      </c>
      <c r="X14" s="108"/>
      <c r="Y14" s="108"/>
      <c r="Z14" s="108"/>
    </row>
    <row r="15" spans="1:26" x14ac:dyDescent="0.2">
      <c r="A15" s="193">
        <v>14</v>
      </c>
      <c r="B15" s="283">
        <f>ROUNDDOWN(B14*(1+'Assumption Sheet'!E$3), 0)</f>
        <v>467</v>
      </c>
      <c r="C15" s="74">
        <f>'Assumption Sheet'!B$12*B15</f>
        <v>17081.569105691058</v>
      </c>
      <c r="D15" s="74">
        <f>'Assumption Sheet'!B$10*B15</f>
        <v>14362.596675000001</v>
      </c>
      <c r="E15" s="284">
        <f>'Assumption Sheet'!B$11*B15</f>
        <v>3098.647227439023</v>
      </c>
      <c r="F15" s="270">
        <f t="shared" si="4"/>
        <v>1728</v>
      </c>
      <c r="G15" s="285"/>
      <c r="H15" s="74"/>
      <c r="I15" s="75"/>
      <c r="J15" s="75"/>
      <c r="K15" s="253"/>
      <c r="L15" s="75">
        <f>SUM(B$2:B14)</f>
        <v>2805</v>
      </c>
      <c r="M15" s="286" t="e">
        <f>ROUNDDOWN(L15*'Assumption Sheet'!#REF!, 0)</f>
        <v>#REF!</v>
      </c>
      <c r="N15" s="271" t="e">
        <f>M15*'Assumption Sheet'!B$27</f>
        <v>#REF!</v>
      </c>
      <c r="O15" s="271" t="e">
        <f>M15*'Assumption Sheet'!E$17</f>
        <v>#REF!</v>
      </c>
      <c r="P15" s="271" t="e">
        <f t="shared" si="0"/>
        <v>#REF!</v>
      </c>
      <c r="Q15" s="107"/>
      <c r="R15" s="108"/>
      <c r="S15" s="108"/>
      <c r="T15" s="253"/>
      <c r="U15" s="271" t="e">
        <f t="shared" si="1"/>
        <v>#REF!</v>
      </c>
      <c r="V15" s="271" t="e">
        <f t="shared" si="2"/>
        <v>#REF!</v>
      </c>
      <c r="W15" s="271" t="e">
        <f t="shared" si="3"/>
        <v>#REF!</v>
      </c>
      <c r="X15" s="108"/>
      <c r="Y15" s="108"/>
      <c r="Z15" s="108"/>
    </row>
    <row r="16" spans="1:26" x14ac:dyDescent="0.2">
      <c r="A16" s="193">
        <v>15</v>
      </c>
      <c r="B16" s="283">
        <f>ROUNDDOWN(B15*(1+'Assumption Sheet'!E$3), 0)</f>
        <v>499</v>
      </c>
      <c r="C16" s="74">
        <f>'Assumption Sheet'!B$12*B16</f>
        <v>18252.040650406503</v>
      </c>
      <c r="D16" s="74">
        <f>'Assumption Sheet'!B$10*B16</f>
        <v>15346.757475000002</v>
      </c>
      <c r="E16" s="284">
        <f>'Assumption Sheet'!B$11*B16</f>
        <v>3310.9742323170717</v>
      </c>
      <c r="F16" s="270">
        <f t="shared" si="4"/>
        <v>1229</v>
      </c>
      <c r="G16" s="285"/>
      <c r="H16" s="74"/>
      <c r="I16" s="75"/>
      <c r="J16" s="75"/>
      <c r="K16" s="253"/>
      <c r="L16" s="75">
        <f>SUM(B$2:B15)</f>
        <v>3272</v>
      </c>
      <c r="M16" s="286" t="e">
        <f>ROUNDDOWN(L16*'Assumption Sheet'!#REF!, 0)</f>
        <v>#REF!</v>
      </c>
      <c r="N16" s="271" t="e">
        <f>M16*'Assumption Sheet'!B$27</f>
        <v>#REF!</v>
      </c>
      <c r="O16" s="271" t="e">
        <f>M16*'Assumption Sheet'!E$17</f>
        <v>#REF!</v>
      </c>
      <c r="P16" s="271" t="e">
        <f t="shared" si="0"/>
        <v>#REF!</v>
      </c>
      <c r="Q16" s="107"/>
      <c r="R16" s="108"/>
      <c r="S16" s="108"/>
      <c r="T16" s="253"/>
      <c r="U16" s="271" t="e">
        <f t="shared" si="1"/>
        <v>#REF!</v>
      </c>
      <c r="V16" s="271" t="e">
        <f t="shared" si="2"/>
        <v>#REF!</v>
      </c>
      <c r="W16" s="271" t="e">
        <f t="shared" si="3"/>
        <v>#REF!</v>
      </c>
      <c r="X16" s="108"/>
      <c r="Y16" s="108"/>
      <c r="Z16" s="108"/>
    </row>
    <row r="17" spans="1:26" x14ac:dyDescent="0.2">
      <c r="A17" s="193">
        <v>16</v>
      </c>
      <c r="B17" s="283">
        <f>ROUNDDOWN(B16*(1+'Assumption Sheet'!E$3), 0)</f>
        <v>533</v>
      </c>
      <c r="C17" s="74">
        <f>'Assumption Sheet'!B$12*B17</f>
        <v>19495.666666666668</v>
      </c>
      <c r="D17" s="74">
        <f>'Assumption Sheet'!B$10*B17</f>
        <v>16392.428325000001</v>
      </c>
      <c r="E17" s="284">
        <f>'Assumption Sheet'!B$11*B17</f>
        <v>3536.5716749999983</v>
      </c>
      <c r="F17" s="270">
        <f t="shared" si="4"/>
        <v>696</v>
      </c>
      <c r="G17" s="285"/>
      <c r="H17" s="74"/>
      <c r="I17" s="75"/>
      <c r="J17" s="75"/>
      <c r="K17" s="253"/>
      <c r="L17" s="75">
        <f>SUM(B$2:B16)</f>
        <v>3771</v>
      </c>
      <c r="M17" s="286" t="e">
        <f>ROUNDDOWN(L17*'Assumption Sheet'!#REF!, 0)</f>
        <v>#REF!</v>
      </c>
      <c r="N17" s="271" t="e">
        <f>M17*'Assumption Sheet'!B$27</f>
        <v>#REF!</v>
      </c>
      <c r="O17" s="271" t="e">
        <f>M17*'Assumption Sheet'!E$17</f>
        <v>#REF!</v>
      </c>
      <c r="P17" s="271" t="e">
        <f t="shared" si="0"/>
        <v>#REF!</v>
      </c>
      <c r="Q17" s="107"/>
      <c r="R17" s="108"/>
      <c r="S17" s="108"/>
      <c r="T17" s="253"/>
      <c r="U17" s="271" t="e">
        <f t="shared" si="1"/>
        <v>#REF!</v>
      </c>
      <c r="V17" s="271" t="e">
        <f t="shared" si="2"/>
        <v>#REF!</v>
      </c>
      <c r="W17" s="271" t="e">
        <f t="shared" si="3"/>
        <v>#REF!</v>
      </c>
      <c r="X17" s="108"/>
      <c r="Y17" s="108"/>
      <c r="Z17" s="108"/>
    </row>
    <row r="18" spans="1:26" x14ac:dyDescent="0.2">
      <c r="A18" s="193">
        <v>17</v>
      </c>
      <c r="B18" s="283">
        <f>ROUNDDOWN(B17*(1+'Assumption Sheet'!E$3), 0)</f>
        <v>570</v>
      </c>
      <c r="C18" s="74">
        <f>'Assumption Sheet'!B$12*B18</f>
        <v>20849.024390243903</v>
      </c>
      <c r="D18" s="74">
        <f>'Assumption Sheet'!B$10*B18</f>
        <v>17530.364250000002</v>
      </c>
      <c r="E18" s="284">
        <f>'Assumption Sheet'!B$11*B18</f>
        <v>3782.0747743902421</v>
      </c>
      <c r="F18" s="270">
        <f t="shared" si="4"/>
        <v>126</v>
      </c>
      <c r="G18" s="285"/>
      <c r="H18" s="74"/>
      <c r="I18" s="75"/>
      <c r="J18" s="75"/>
      <c r="K18" s="253"/>
      <c r="L18" s="75">
        <f>SUM(B$2:B17)</f>
        <v>4304</v>
      </c>
      <c r="M18" s="286" t="e">
        <f>ROUNDDOWN(L18*'Assumption Sheet'!#REF!, 0)</f>
        <v>#REF!</v>
      </c>
      <c r="N18" s="271" t="e">
        <f>M18*'Assumption Sheet'!B$27</f>
        <v>#REF!</v>
      </c>
      <c r="O18" s="271" t="e">
        <f>M18*'Assumption Sheet'!E$17</f>
        <v>#REF!</v>
      </c>
      <c r="P18" s="271" t="e">
        <f t="shared" si="0"/>
        <v>#REF!</v>
      </c>
      <c r="Q18" s="107"/>
      <c r="R18" s="108"/>
      <c r="S18" s="108"/>
      <c r="T18" s="253"/>
      <c r="U18" s="271" t="e">
        <f t="shared" si="1"/>
        <v>#REF!</v>
      </c>
      <c r="V18" s="271" t="e">
        <f t="shared" si="2"/>
        <v>#REF!</v>
      </c>
      <c r="W18" s="271" t="e">
        <f t="shared" si="3"/>
        <v>#REF!</v>
      </c>
      <c r="X18" s="108"/>
      <c r="Y18" s="108"/>
      <c r="Z18" s="108"/>
    </row>
    <row r="19" spans="1:26" x14ac:dyDescent="0.2">
      <c r="A19" s="193">
        <v>18</v>
      </c>
      <c r="B19" s="283">
        <f>ROUNDDOWN(B18*(1+'Assumption Sheet'!E$3), 0)</f>
        <v>609</v>
      </c>
      <c r="C19" s="74">
        <f>'Assumption Sheet'!B$12*B19</f>
        <v>22275.536585365855</v>
      </c>
      <c r="D19" s="74">
        <f>'Assumption Sheet'!B$10*B19</f>
        <v>18729.810225000001</v>
      </c>
      <c r="E19" s="284">
        <f>'Assumption Sheet'!B$11*B19</f>
        <v>4040.8483115853642</v>
      </c>
      <c r="F19" s="270">
        <f t="shared" si="4"/>
        <v>-483</v>
      </c>
      <c r="G19" s="285">
        <v>3000</v>
      </c>
      <c r="H19" s="74">
        <f>G19*'Assumption Sheet'!B$10</f>
        <v>92265.075000000012</v>
      </c>
      <c r="I19" s="75"/>
      <c r="J19" s="75"/>
      <c r="K19" s="253"/>
      <c r="L19" s="75">
        <f>SUM(B$2:B18)</f>
        <v>4874</v>
      </c>
      <c r="M19" s="286" t="e">
        <f>ROUNDDOWN(L19*'Assumption Sheet'!#REF!, 0)</f>
        <v>#REF!</v>
      </c>
      <c r="N19" s="271" t="e">
        <f>M19*'Assumption Sheet'!B$27</f>
        <v>#REF!</v>
      </c>
      <c r="O19" s="271" t="e">
        <f>M19*'Assumption Sheet'!E$17</f>
        <v>#REF!</v>
      </c>
      <c r="P19" s="271" t="e">
        <f t="shared" si="0"/>
        <v>#REF!</v>
      </c>
      <c r="Q19" s="107"/>
      <c r="R19" s="108"/>
      <c r="S19" s="108"/>
      <c r="T19" s="253"/>
      <c r="U19" s="271" t="e">
        <f t="shared" si="1"/>
        <v>#REF!</v>
      </c>
      <c r="V19" s="271" t="e">
        <f t="shared" si="2"/>
        <v>#REF!</v>
      </c>
      <c r="W19" s="271" t="e">
        <f t="shared" si="3"/>
        <v>#REF!</v>
      </c>
      <c r="X19" s="108"/>
      <c r="Y19" s="108"/>
      <c r="Z19" s="108"/>
    </row>
    <row r="20" spans="1:26" x14ac:dyDescent="0.2">
      <c r="A20" s="193">
        <v>19</v>
      </c>
      <c r="B20" s="283">
        <f>ROUNDDOWN(B19*(1+'Assumption Sheet'!E$3), 0)</f>
        <v>651</v>
      </c>
      <c r="C20" s="74">
        <f>'Assumption Sheet'!B$12*B20</f>
        <v>23811.780487804877</v>
      </c>
      <c r="D20" s="74">
        <f>'Assumption Sheet'!B$10*B20</f>
        <v>20021.521275000003</v>
      </c>
      <c r="E20" s="284">
        <f>'Assumption Sheet'!B$11*B20</f>
        <v>4319.527505487803</v>
      </c>
      <c r="F20" s="270">
        <f t="shared" si="4"/>
        <v>1866</v>
      </c>
      <c r="G20" s="285"/>
      <c r="H20" s="74"/>
      <c r="I20" s="75"/>
      <c r="J20" s="75"/>
      <c r="K20" s="253"/>
      <c r="L20" s="75">
        <f>SUM(B$2:B19)</f>
        <v>5483</v>
      </c>
      <c r="M20" s="286" t="e">
        <f>ROUNDDOWN(L20*'Assumption Sheet'!#REF!, 0)</f>
        <v>#REF!</v>
      </c>
      <c r="N20" s="271" t="e">
        <f>M20*'Assumption Sheet'!B$27</f>
        <v>#REF!</v>
      </c>
      <c r="O20" s="271" t="e">
        <f>M20*'Assumption Sheet'!E$17</f>
        <v>#REF!</v>
      </c>
      <c r="P20" s="271" t="e">
        <f t="shared" si="0"/>
        <v>#REF!</v>
      </c>
      <c r="Q20" s="107"/>
      <c r="R20" s="108"/>
      <c r="S20" s="108"/>
      <c r="T20" s="253"/>
      <c r="U20" s="271" t="e">
        <f t="shared" si="1"/>
        <v>#REF!</v>
      </c>
      <c r="V20" s="271" t="e">
        <f t="shared" si="2"/>
        <v>#REF!</v>
      </c>
      <c r="W20" s="271" t="e">
        <f t="shared" si="3"/>
        <v>#REF!</v>
      </c>
      <c r="X20" s="108"/>
      <c r="Y20" s="108"/>
      <c r="Z20" s="108"/>
    </row>
    <row r="21" spans="1:26" x14ac:dyDescent="0.2">
      <c r="A21" s="193">
        <v>20</v>
      </c>
      <c r="B21" s="283">
        <f>ROUNDDOWN(B20*(1+'Assumption Sheet'!E$3), 0)</f>
        <v>696</v>
      </c>
      <c r="C21" s="74">
        <f>'Assumption Sheet'!B$12*B21</f>
        <v>25457.756097560978</v>
      </c>
      <c r="D21" s="74">
        <f>'Assumption Sheet'!B$10*B21</f>
        <v>21405.497400000004</v>
      </c>
      <c r="E21" s="284">
        <f>'Assumption Sheet'!B$11*B21</f>
        <v>4618.1123560975593</v>
      </c>
      <c r="F21" s="270">
        <f t="shared" si="4"/>
        <v>1170</v>
      </c>
      <c r="G21" s="285"/>
      <c r="H21" s="74"/>
      <c r="I21" s="75"/>
      <c r="J21" s="75"/>
      <c r="K21" s="253"/>
      <c r="L21" s="75">
        <f>SUM(B$2:B20)</f>
        <v>6134</v>
      </c>
      <c r="M21" s="286" t="e">
        <f>ROUNDDOWN(L21*'Assumption Sheet'!#REF!, 0)</f>
        <v>#REF!</v>
      </c>
      <c r="N21" s="271" t="e">
        <f>M21*'Assumption Sheet'!B$27</f>
        <v>#REF!</v>
      </c>
      <c r="O21" s="271" t="e">
        <f>M21*'Assumption Sheet'!E$17</f>
        <v>#REF!</v>
      </c>
      <c r="P21" s="271" t="e">
        <f t="shared" si="0"/>
        <v>#REF!</v>
      </c>
      <c r="Q21" s="107"/>
      <c r="R21" s="108"/>
      <c r="S21" s="108"/>
      <c r="T21" s="253"/>
      <c r="U21" s="271" t="e">
        <f t="shared" si="1"/>
        <v>#REF!</v>
      </c>
      <c r="V21" s="271" t="e">
        <f t="shared" si="2"/>
        <v>#REF!</v>
      </c>
      <c r="W21" s="271" t="e">
        <f t="shared" si="3"/>
        <v>#REF!</v>
      </c>
      <c r="X21" s="108"/>
      <c r="Y21" s="108"/>
      <c r="Z21" s="108"/>
    </row>
    <row r="22" spans="1:26" x14ac:dyDescent="0.2">
      <c r="A22" s="193">
        <v>21</v>
      </c>
      <c r="B22" s="283">
        <f>ROUNDDOWN(B21*(1+'Assumption Sheet'!E$3), 0)</f>
        <v>744</v>
      </c>
      <c r="C22" s="74">
        <f>'Assumption Sheet'!B$12*B22</f>
        <v>27213.463414634149</v>
      </c>
      <c r="D22" s="74">
        <f>'Assumption Sheet'!B$10*B22</f>
        <v>22881.738600000004</v>
      </c>
      <c r="E22" s="284">
        <f>'Assumption Sheet'!B$11*B22</f>
        <v>4936.6028634146314</v>
      </c>
      <c r="F22" s="270">
        <f t="shared" si="4"/>
        <v>426</v>
      </c>
      <c r="G22" s="285"/>
      <c r="H22" s="74"/>
      <c r="I22" s="75"/>
      <c r="J22" s="75"/>
      <c r="K22" s="253"/>
      <c r="L22" s="75">
        <f>SUM(B$2:B21)</f>
        <v>6830</v>
      </c>
      <c r="M22" s="286" t="e">
        <f>ROUNDDOWN(L22*'Assumption Sheet'!#REF!, 0)</f>
        <v>#REF!</v>
      </c>
      <c r="N22" s="271" t="e">
        <f>M22*'Assumption Sheet'!B$27</f>
        <v>#REF!</v>
      </c>
      <c r="O22" s="271" t="e">
        <f>M22*'Assumption Sheet'!E$17</f>
        <v>#REF!</v>
      </c>
      <c r="P22" s="271" t="e">
        <f t="shared" si="0"/>
        <v>#REF!</v>
      </c>
      <c r="Q22" s="107"/>
      <c r="R22" s="108"/>
      <c r="S22" s="108"/>
      <c r="T22" s="253"/>
      <c r="U22" s="271" t="e">
        <f t="shared" si="1"/>
        <v>#REF!</v>
      </c>
      <c r="V22" s="271" t="e">
        <f t="shared" si="2"/>
        <v>#REF!</v>
      </c>
      <c r="W22" s="271" t="e">
        <f t="shared" si="3"/>
        <v>#REF!</v>
      </c>
      <c r="X22" s="108"/>
      <c r="Y22" s="108"/>
      <c r="Z22" s="108"/>
    </row>
    <row r="23" spans="1:26" x14ac:dyDescent="0.2">
      <c r="A23" s="193">
        <v>22</v>
      </c>
      <c r="B23" s="283">
        <f>ROUNDDOWN(B22*(1+'Assumption Sheet'!E$3), 0)</f>
        <v>796</v>
      </c>
      <c r="C23" s="74">
        <f>'Assumption Sheet'!B$12*B23</f>
        <v>29115.479674796748</v>
      </c>
      <c r="D23" s="74">
        <f>'Assumption Sheet'!B$10*B23</f>
        <v>24480.999900000003</v>
      </c>
      <c r="E23" s="284">
        <f>'Assumption Sheet'!B$11*B23</f>
        <v>5281.6342463414612</v>
      </c>
      <c r="F23" s="270">
        <f t="shared" si="4"/>
        <v>-370</v>
      </c>
      <c r="G23" s="285"/>
      <c r="H23" s="74"/>
      <c r="I23" s="75"/>
      <c r="J23" s="75"/>
      <c r="K23" s="253"/>
      <c r="L23" s="75">
        <f>SUM(B$2:B22)</f>
        <v>7574</v>
      </c>
      <c r="M23" s="286" t="e">
        <f>ROUNDDOWN(L23*'Assumption Sheet'!#REF!, 0)</f>
        <v>#REF!</v>
      </c>
      <c r="N23" s="271" t="e">
        <f>M23*'Assumption Sheet'!B$27</f>
        <v>#REF!</v>
      </c>
      <c r="O23" s="271" t="e">
        <f>M23*'Assumption Sheet'!E$17</f>
        <v>#REF!</v>
      </c>
      <c r="P23" s="271" t="e">
        <f t="shared" si="0"/>
        <v>#REF!</v>
      </c>
      <c r="Q23" s="107"/>
      <c r="R23" s="108"/>
      <c r="S23" s="108"/>
      <c r="T23" s="253"/>
      <c r="U23" s="271" t="e">
        <f t="shared" si="1"/>
        <v>#REF!</v>
      </c>
      <c r="V23" s="271" t="e">
        <f t="shared" si="2"/>
        <v>#REF!</v>
      </c>
      <c r="W23" s="271" t="e">
        <f t="shared" si="3"/>
        <v>#REF!</v>
      </c>
      <c r="X23" s="108"/>
      <c r="Y23" s="108"/>
      <c r="Z23" s="108"/>
    </row>
    <row r="24" spans="1:26" x14ac:dyDescent="0.2">
      <c r="A24" s="193">
        <v>23</v>
      </c>
      <c r="B24" s="283">
        <f>ROUNDDOWN(B23*(1+'Assumption Sheet'!E$3), 0)</f>
        <v>851</v>
      </c>
      <c r="C24" s="74">
        <f>'Assumption Sheet'!B$12*B24</f>
        <v>31127.227642276423</v>
      </c>
      <c r="D24" s="74">
        <f>'Assumption Sheet'!B$10*B24</f>
        <v>26172.526275000004</v>
      </c>
      <c r="E24" s="284">
        <f>'Assumption Sheet'!B$11*B24</f>
        <v>5646.5712859756068</v>
      </c>
      <c r="F24" s="270">
        <f t="shared" si="4"/>
        <v>-1221</v>
      </c>
      <c r="G24" s="285"/>
      <c r="H24" s="74"/>
      <c r="I24" s="75"/>
      <c r="J24" s="75"/>
      <c r="K24" s="253"/>
      <c r="L24" s="75">
        <f>SUM(B$2:B23)</f>
        <v>8370</v>
      </c>
      <c r="M24" s="286" t="e">
        <f>ROUNDDOWN(L24*'Assumption Sheet'!#REF!, 0)</f>
        <v>#REF!</v>
      </c>
      <c r="N24" s="271" t="e">
        <f>M24*'Assumption Sheet'!B$27</f>
        <v>#REF!</v>
      </c>
      <c r="O24" s="271" t="e">
        <f>M24*'Assumption Sheet'!E$17</f>
        <v>#REF!</v>
      </c>
      <c r="P24" s="271" t="e">
        <f t="shared" si="0"/>
        <v>#REF!</v>
      </c>
      <c r="Q24" s="107"/>
      <c r="R24" s="108"/>
      <c r="S24" s="108"/>
      <c r="T24" s="253"/>
      <c r="U24" s="271" t="e">
        <f t="shared" si="1"/>
        <v>#REF!</v>
      </c>
      <c r="V24" s="271" t="e">
        <f t="shared" si="2"/>
        <v>#REF!</v>
      </c>
      <c r="W24" s="271" t="e">
        <f t="shared" si="3"/>
        <v>#REF!</v>
      </c>
      <c r="X24" s="108"/>
      <c r="Y24" s="108"/>
      <c r="Z24" s="108"/>
    </row>
    <row r="25" spans="1:26" x14ac:dyDescent="0.2">
      <c r="A25" s="193">
        <v>24</v>
      </c>
      <c r="B25" s="283">
        <f>ROUNDDOWN(B24*(1+'Assumption Sheet'!E$3), 0)</f>
        <v>910</v>
      </c>
      <c r="C25" s="74">
        <f>'Assumption Sheet'!B$12*B25</f>
        <v>33285.284552845529</v>
      </c>
      <c r="D25" s="74">
        <f>'Assumption Sheet'!B$10*B25</f>
        <v>27987.072750000003</v>
      </c>
      <c r="E25" s="284">
        <f>'Assumption Sheet'!B$11*B25</f>
        <v>6038.0492012195091</v>
      </c>
      <c r="F25" s="270">
        <f t="shared" si="4"/>
        <v>-2131</v>
      </c>
      <c r="G25" s="285">
        <v>5000</v>
      </c>
      <c r="H25" s="74">
        <f>G25*'Assumption Sheet'!B$10</f>
        <v>153775.12500000003</v>
      </c>
      <c r="I25" s="77">
        <f>SUM(B14:B25)</f>
        <v>7763</v>
      </c>
      <c r="J25" s="77">
        <f>SUM(C14:C25)</f>
        <v>283949.08130081301</v>
      </c>
      <c r="K25" s="253"/>
      <c r="L25" s="75">
        <f>SUM(B$2:B24)</f>
        <v>9221</v>
      </c>
      <c r="M25" s="286" t="e">
        <f>ROUNDDOWN(L25*'Assumption Sheet'!#REF!, 0)</f>
        <v>#REF!</v>
      </c>
      <c r="N25" s="271" t="e">
        <f>M25*'Assumption Sheet'!B$27</f>
        <v>#REF!</v>
      </c>
      <c r="O25" s="271" t="e">
        <f>M25*'Assumption Sheet'!E$17</f>
        <v>#REF!</v>
      </c>
      <c r="P25" s="271" t="e">
        <f t="shared" si="0"/>
        <v>#REF!</v>
      </c>
      <c r="Q25" s="107" t="e">
        <f>SUM(M14:M25)</f>
        <v>#REF!</v>
      </c>
      <c r="R25" s="108" t="e">
        <f>Q25*'Assumption Sheet'!E$16</f>
        <v>#REF!</v>
      </c>
      <c r="S25" s="108" t="e">
        <f>SUM(N14:N25)</f>
        <v>#REF!</v>
      </c>
      <c r="T25" s="253"/>
      <c r="U25" s="271" t="e">
        <f t="shared" si="1"/>
        <v>#REF!</v>
      </c>
      <c r="V25" s="271" t="e">
        <f t="shared" si="2"/>
        <v>#REF!</v>
      </c>
      <c r="W25" s="271" t="e">
        <f t="shared" si="3"/>
        <v>#REF!</v>
      </c>
      <c r="X25" s="108" t="e">
        <f>SUM(U14:U25)</f>
        <v>#REF!</v>
      </c>
      <c r="Y25" s="108" t="e">
        <f>SUM(V14:V25)</f>
        <v>#REF!</v>
      </c>
      <c r="Z25" s="108" t="e">
        <f>SUM(W14:W25)</f>
        <v>#REF!</v>
      </c>
    </row>
    <row r="26" spans="1:26" x14ac:dyDescent="0.2">
      <c r="A26" s="194">
        <v>25</v>
      </c>
      <c r="B26" s="288">
        <f>ROUNDDOWN(B25*(1+'Assumption Sheet'!E$3), 0)</f>
        <v>973</v>
      </c>
      <c r="C26" s="113">
        <f>'Assumption Sheet'!B$12*B26</f>
        <v>35589.650406504064</v>
      </c>
      <c r="D26" s="113">
        <f>'Assumption Sheet'!B$10*B26</f>
        <v>29924.639325000004</v>
      </c>
      <c r="E26" s="289">
        <f>'Assumption Sheet'!B$11*B26</f>
        <v>6456.0679920731682</v>
      </c>
      <c r="F26" s="272">
        <f t="shared" si="4"/>
        <v>1896</v>
      </c>
      <c r="G26" s="290"/>
      <c r="H26" s="113"/>
      <c r="I26" s="114"/>
      <c r="J26" s="114"/>
      <c r="K26" s="253"/>
      <c r="L26" s="114">
        <f>SUM(B$2:B25)</f>
        <v>10131</v>
      </c>
      <c r="M26" s="291" t="e">
        <f>ROUNDDOWN(L26*'Assumption Sheet'!#REF!, 0)</f>
        <v>#REF!</v>
      </c>
      <c r="N26" s="273" t="e">
        <f>M26*'Assumption Sheet'!B$27</f>
        <v>#REF!</v>
      </c>
      <c r="O26" s="273" t="e">
        <f>M26*'Assumption Sheet'!E$17</f>
        <v>#REF!</v>
      </c>
      <c r="P26" s="273" t="e">
        <f t="shared" si="0"/>
        <v>#REF!</v>
      </c>
      <c r="Q26" s="116"/>
      <c r="R26" s="117"/>
      <c r="S26" s="117"/>
      <c r="T26" s="253"/>
      <c r="U26" s="273" t="e">
        <f t="shared" si="1"/>
        <v>#REF!</v>
      </c>
      <c r="V26" s="273" t="e">
        <f t="shared" si="2"/>
        <v>#REF!</v>
      </c>
      <c r="W26" s="273" t="e">
        <f t="shared" si="3"/>
        <v>#REF!</v>
      </c>
      <c r="X26" s="117"/>
      <c r="Y26" s="117"/>
      <c r="Z26" s="117"/>
    </row>
    <row r="27" spans="1:26" x14ac:dyDescent="0.2">
      <c r="A27" s="194">
        <v>26</v>
      </c>
      <c r="B27" s="288">
        <f>ROUNDDOWN(B26*(1+'Assumption Sheet'!E$3), 0)</f>
        <v>1041</v>
      </c>
      <c r="C27" s="113">
        <f>'Assumption Sheet'!B$12*B27</f>
        <v>38076.902439024394</v>
      </c>
      <c r="D27" s="113">
        <f>'Assumption Sheet'!B$10*B27</f>
        <v>32015.981025000005</v>
      </c>
      <c r="E27" s="289">
        <f>'Assumption Sheet'!B$11*B27</f>
        <v>6907.2628774390214</v>
      </c>
      <c r="F27" s="272">
        <f t="shared" si="4"/>
        <v>855</v>
      </c>
      <c r="G27" s="290"/>
      <c r="H27" s="113"/>
      <c r="I27" s="114"/>
      <c r="J27" s="114"/>
      <c r="K27" s="253"/>
      <c r="L27" s="114">
        <f>SUM(B$2:B26)</f>
        <v>11104</v>
      </c>
      <c r="M27" s="291" t="e">
        <f>ROUNDDOWN(L27*'Assumption Sheet'!#REF!, 0)</f>
        <v>#REF!</v>
      </c>
      <c r="N27" s="273" t="e">
        <f>M27*'Assumption Sheet'!B$27</f>
        <v>#REF!</v>
      </c>
      <c r="O27" s="273" t="e">
        <f>M27*'Assumption Sheet'!E$17</f>
        <v>#REF!</v>
      </c>
      <c r="P27" s="273" t="e">
        <f t="shared" si="0"/>
        <v>#REF!</v>
      </c>
      <c r="Q27" s="116"/>
      <c r="R27" s="117"/>
      <c r="S27" s="117"/>
      <c r="T27" s="253"/>
      <c r="U27" s="273" t="e">
        <f t="shared" si="1"/>
        <v>#REF!</v>
      </c>
      <c r="V27" s="273" t="e">
        <f t="shared" si="2"/>
        <v>#REF!</v>
      </c>
      <c r="W27" s="273" t="e">
        <f t="shared" si="3"/>
        <v>#REF!</v>
      </c>
      <c r="X27" s="117"/>
      <c r="Y27" s="117"/>
      <c r="Z27" s="117"/>
    </row>
    <row r="28" spans="1:26" x14ac:dyDescent="0.2">
      <c r="A28" s="194">
        <v>27</v>
      </c>
      <c r="B28" s="288">
        <f>ROUNDDOWN(B27*(1+'Assumption Sheet'!E$3), 0)</f>
        <v>1113</v>
      </c>
      <c r="C28" s="113">
        <f>'Assumption Sheet'!B$12*B28</f>
        <v>40710.463414634149</v>
      </c>
      <c r="D28" s="113">
        <f>'Assumption Sheet'!B$10*B28</f>
        <v>34230.342825000007</v>
      </c>
      <c r="E28" s="289">
        <f>'Assumption Sheet'!B$11*B28</f>
        <v>7384.9986384146305</v>
      </c>
      <c r="F28" s="272">
        <f t="shared" si="4"/>
        <v>-258</v>
      </c>
      <c r="G28" s="290"/>
      <c r="H28" s="113"/>
      <c r="I28" s="114"/>
      <c r="J28" s="114"/>
      <c r="K28" s="253"/>
      <c r="L28" s="114">
        <f>SUM(B$2:B27)</f>
        <v>12145</v>
      </c>
      <c r="M28" s="291" t="e">
        <f>ROUNDDOWN(L28*'Assumption Sheet'!#REF!, 0)</f>
        <v>#REF!</v>
      </c>
      <c r="N28" s="273" t="e">
        <f>M28*'Assumption Sheet'!B$27</f>
        <v>#REF!</v>
      </c>
      <c r="O28" s="273" t="e">
        <f>M28*'Assumption Sheet'!E$17</f>
        <v>#REF!</v>
      </c>
      <c r="P28" s="273" t="e">
        <f t="shared" si="0"/>
        <v>#REF!</v>
      </c>
      <c r="Q28" s="116"/>
      <c r="R28" s="117"/>
      <c r="S28" s="117"/>
      <c r="T28" s="253"/>
      <c r="U28" s="273" t="e">
        <f t="shared" si="1"/>
        <v>#REF!</v>
      </c>
      <c r="V28" s="273" t="e">
        <f t="shared" si="2"/>
        <v>#REF!</v>
      </c>
      <c r="W28" s="273" t="e">
        <f t="shared" si="3"/>
        <v>#REF!</v>
      </c>
      <c r="X28" s="117"/>
      <c r="Y28" s="117"/>
      <c r="Z28" s="117"/>
    </row>
    <row r="29" spans="1:26" x14ac:dyDescent="0.2">
      <c r="A29" s="194">
        <v>28</v>
      </c>
      <c r="B29" s="288">
        <f>ROUNDDOWN(B28*(1+'Assumption Sheet'!E$3), 0)</f>
        <v>1190</v>
      </c>
      <c r="C29" s="113">
        <f>'Assumption Sheet'!B$12*B29</f>
        <v>43526.91056910569</v>
      </c>
      <c r="D29" s="113">
        <f>'Assumption Sheet'!B$10*B29</f>
        <v>36598.479750000006</v>
      </c>
      <c r="E29" s="289">
        <f>'Assumption Sheet'!B$11*B29</f>
        <v>7895.9104939024355</v>
      </c>
      <c r="F29" s="272">
        <f t="shared" si="4"/>
        <v>-1448</v>
      </c>
      <c r="G29" s="290"/>
      <c r="H29" s="113"/>
      <c r="I29" s="114"/>
      <c r="J29" s="114"/>
      <c r="K29" s="253"/>
      <c r="L29" s="114">
        <f>SUM(B$2:B28)</f>
        <v>13258</v>
      </c>
      <c r="M29" s="291" t="e">
        <f>ROUNDDOWN(L29*'Assumption Sheet'!#REF!, 0)</f>
        <v>#REF!</v>
      </c>
      <c r="N29" s="273" t="e">
        <f>M29*'Assumption Sheet'!B$27</f>
        <v>#REF!</v>
      </c>
      <c r="O29" s="273" t="e">
        <f>M29*'Assumption Sheet'!E$17</f>
        <v>#REF!</v>
      </c>
      <c r="P29" s="273" t="e">
        <f t="shared" si="0"/>
        <v>#REF!</v>
      </c>
      <c r="Q29" s="116"/>
      <c r="R29" s="117"/>
      <c r="S29" s="117"/>
      <c r="T29" s="253"/>
      <c r="U29" s="273" t="e">
        <f t="shared" si="1"/>
        <v>#REF!</v>
      </c>
      <c r="V29" s="273" t="e">
        <f t="shared" si="2"/>
        <v>#REF!</v>
      </c>
      <c r="W29" s="273" t="e">
        <f t="shared" si="3"/>
        <v>#REF!</v>
      </c>
      <c r="X29" s="117"/>
      <c r="Y29" s="117"/>
      <c r="Z29" s="117"/>
    </row>
    <row r="30" spans="1:26" x14ac:dyDescent="0.2">
      <c r="A30" s="194">
        <v>29</v>
      </c>
      <c r="B30" s="288">
        <f>ROUNDDOWN(B29*(1+'Assumption Sheet'!E$3), 0)</f>
        <v>1273</v>
      </c>
      <c r="C30" s="113">
        <f>'Assumption Sheet'!B$12*B30</f>
        <v>46562.82113821138</v>
      </c>
      <c r="D30" s="113">
        <f>'Assumption Sheet'!B$10*B30</f>
        <v>39151.146825000003</v>
      </c>
      <c r="E30" s="289">
        <f>'Assumption Sheet'!B$11*B30</f>
        <v>8446.6336628048739</v>
      </c>
      <c r="F30" s="272">
        <f t="shared" si="4"/>
        <v>-2721</v>
      </c>
      <c r="G30" s="290">
        <v>10000</v>
      </c>
      <c r="H30" s="113">
        <f>G30*'Assumption Sheet'!B$10</f>
        <v>307550.25000000006</v>
      </c>
      <c r="I30" s="114"/>
      <c r="J30" s="114"/>
      <c r="K30" s="253"/>
      <c r="L30" s="114">
        <f>SUM(B$2:B29)</f>
        <v>14448</v>
      </c>
      <c r="M30" s="291" t="e">
        <f>ROUNDDOWN(L30*'Assumption Sheet'!#REF!, 0)</f>
        <v>#REF!</v>
      </c>
      <c r="N30" s="273" t="e">
        <f>M30*'Assumption Sheet'!B$27</f>
        <v>#REF!</v>
      </c>
      <c r="O30" s="273" t="e">
        <f>M30*'Assumption Sheet'!E$17</f>
        <v>#REF!</v>
      </c>
      <c r="P30" s="273" t="e">
        <f t="shared" si="0"/>
        <v>#REF!</v>
      </c>
      <c r="Q30" s="116"/>
      <c r="R30" s="117"/>
      <c r="S30" s="117"/>
      <c r="T30" s="253"/>
      <c r="U30" s="273" t="e">
        <f t="shared" si="1"/>
        <v>#REF!</v>
      </c>
      <c r="V30" s="273" t="e">
        <f t="shared" si="2"/>
        <v>#REF!</v>
      </c>
      <c r="W30" s="273" t="e">
        <f t="shared" si="3"/>
        <v>#REF!</v>
      </c>
      <c r="X30" s="117"/>
      <c r="Y30" s="117"/>
      <c r="Z30" s="117"/>
    </row>
    <row r="31" spans="1:26" x14ac:dyDescent="0.2">
      <c r="A31" s="194">
        <v>30</v>
      </c>
      <c r="B31" s="288">
        <f>ROUNDDOWN(B30*(1+'Assumption Sheet'!E$3), 0)</f>
        <v>1362</v>
      </c>
      <c r="C31" s="113">
        <f>'Assumption Sheet'!B$12*B31</f>
        <v>49818.195121951219</v>
      </c>
      <c r="D31" s="113">
        <f>'Assumption Sheet'!B$10*B31</f>
        <v>41888.344050000007</v>
      </c>
      <c r="E31" s="289">
        <f>'Assumption Sheet'!B$11*B31</f>
        <v>9037.1681451219465</v>
      </c>
      <c r="F31" s="272">
        <f t="shared" si="4"/>
        <v>5917</v>
      </c>
      <c r="G31" s="290"/>
      <c r="H31" s="113"/>
      <c r="I31" s="114"/>
      <c r="J31" s="114"/>
      <c r="K31" s="253"/>
      <c r="L31" s="114">
        <f>SUM(B$2:B30)</f>
        <v>15721</v>
      </c>
      <c r="M31" s="291" t="e">
        <f>ROUNDDOWN(L31*'Assumption Sheet'!#REF!, 0)</f>
        <v>#REF!</v>
      </c>
      <c r="N31" s="273" t="e">
        <f>M31*'Assumption Sheet'!B$27</f>
        <v>#REF!</v>
      </c>
      <c r="O31" s="273" t="e">
        <f>M31*'Assumption Sheet'!E$17</f>
        <v>#REF!</v>
      </c>
      <c r="P31" s="273" t="e">
        <f t="shared" si="0"/>
        <v>#REF!</v>
      </c>
      <c r="Q31" s="116"/>
      <c r="R31" s="117"/>
      <c r="S31" s="117"/>
      <c r="T31" s="253"/>
      <c r="U31" s="273" t="e">
        <f t="shared" si="1"/>
        <v>#REF!</v>
      </c>
      <c r="V31" s="273" t="e">
        <f t="shared" si="2"/>
        <v>#REF!</v>
      </c>
      <c r="W31" s="273" t="e">
        <f t="shared" si="3"/>
        <v>#REF!</v>
      </c>
      <c r="X31" s="117"/>
      <c r="Y31" s="117"/>
      <c r="Z31" s="117"/>
    </row>
    <row r="32" spans="1:26" x14ac:dyDescent="0.2">
      <c r="A32" s="194">
        <v>31</v>
      </c>
      <c r="B32" s="288">
        <f>ROUNDDOWN(B31*(1+'Assumption Sheet'!E$3), 0)</f>
        <v>1457</v>
      </c>
      <c r="C32" s="113">
        <f>'Assumption Sheet'!B$12*B32</f>
        <v>53293.032520325207</v>
      </c>
      <c r="D32" s="113">
        <f>'Assumption Sheet'!B$10*B32</f>
        <v>44810.071425000002</v>
      </c>
      <c r="E32" s="289">
        <f>'Assumption Sheet'!B$11*B32</f>
        <v>9667.5139408536543</v>
      </c>
      <c r="F32" s="272">
        <f t="shared" si="4"/>
        <v>4460</v>
      </c>
      <c r="G32" s="290"/>
      <c r="H32" s="113"/>
      <c r="I32" s="114"/>
      <c r="J32" s="114"/>
      <c r="K32" s="253"/>
      <c r="L32" s="114">
        <f>SUM(B$2:B31)</f>
        <v>17083</v>
      </c>
      <c r="M32" s="291" t="e">
        <f>ROUNDDOWN(L32*'Assumption Sheet'!#REF!, 0)</f>
        <v>#REF!</v>
      </c>
      <c r="N32" s="273" t="e">
        <f>M32*'Assumption Sheet'!B$27</f>
        <v>#REF!</v>
      </c>
      <c r="O32" s="273" t="e">
        <f>M32*'Assumption Sheet'!E$17</f>
        <v>#REF!</v>
      </c>
      <c r="P32" s="273" t="e">
        <f t="shared" si="0"/>
        <v>#REF!</v>
      </c>
      <c r="Q32" s="116"/>
      <c r="R32" s="117"/>
      <c r="S32" s="117"/>
      <c r="T32" s="253"/>
      <c r="U32" s="273" t="e">
        <f t="shared" si="1"/>
        <v>#REF!</v>
      </c>
      <c r="V32" s="273" t="e">
        <f t="shared" si="2"/>
        <v>#REF!</v>
      </c>
      <c r="W32" s="273" t="e">
        <f t="shared" si="3"/>
        <v>#REF!</v>
      </c>
      <c r="X32" s="117"/>
      <c r="Y32" s="117"/>
      <c r="Z32" s="117"/>
    </row>
    <row r="33" spans="1:26" x14ac:dyDescent="0.2">
      <c r="A33" s="194">
        <v>32</v>
      </c>
      <c r="B33" s="288">
        <f>ROUNDDOWN(B32*(1+'Assumption Sheet'!E$3), 0)</f>
        <v>1558</v>
      </c>
      <c r="C33" s="113">
        <f>'Assumption Sheet'!B$12*B33</f>
        <v>56987.333333333336</v>
      </c>
      <c r="D33" s="113">
        <f>'Assumption Sheet'!B$10*B33</f>
        <v>47916.328950000003</v>
      </c>
      <c r="E33" s="289">
        <f>'Assumption Sheet'!B$11*B33</f>
        <v>10337.671049999995</v>
      </c>
      <c r="F33" s="272">
        <f t="shared" si="4"/>
        <v>2902</v>
      </c>
      <c r="G33" s="290"/>
      <c r="H33" s="113"/>
      <c r="I33" s="114"/>
      <c r="J33" s="114"/>
      <c r="K33" s="253"/>
      <c r="L33" s="114">
        <f>SUM(B$2:B32)</f>
        <v>18540</v>
      </c>
      <c r="M33" s="291" t="e">
        <f>ROUNDDOWN(L33*'Assumption Sheet'!#REF!, 0)</f>
        <v>#REF!</v>
      </c>
      <c r="N33" s="273" t="e">
        <f>M33*'Assumption Sheet'!B$27</f>
        <v>#REF!</v>
      </c>
      <c r="O33" s="273" t="e">
        <f>M33*'Assumption Sheet'!E$17</f>
        <v>#REF!</v>
      </c>
      <c r="P33" s="273" t="e">
        <f t="shared" si="0"/>
        <v>#REF!</v>
      </c>
      <c r="Q33" s="116"/>
      <c r="R33" s="117"/>
      <c r="S33" s="117"/>
      <c r="T33" s="253"/>
      <c r="U33" s="273" t="e">
        <f t="shared" si="1"/>
        <v>#REF!</v>
      </c>
      <c r="V33" s="273" t="e">
        <f t="shared" si="2"/>
        <v>#REF!</v>
      </c>
      <c r="W33" s="273" t="e">
        <f t="shared" si="3"/>
        <v>#REF!</v>
      </c>
      <c r="X33" s="117"/>
      <c r="Y33" s="117"/>
      <c r="Z33" s="117"/>
    </row>
    <row r="34" spans="1:26" x14ac:dyDescent="0.2">
      <c r="A34" s="194">
        <v>33</v>
      </c>
      <c r="B34" s="288">
        <f>ROUNDDOWN(B33*(1+'Assumption Sheet'!E$3), 0)</f>
        <v>1667</v>
      </c>
      <c r="C34" s="113">
        <f>'Assumption Sheet'!B$12*B34</f>
        <v>60974.25203252033</v>
      </c>
      <c r="D34" s="113">
        <f>'Assumption Sheet'!B$10*B34</f>
        <v>51268.626675000007</v>
      </c>
      <c r="E34" s="289">
        <f>'Assumption Sheet'!B$11*B34</f>
        <v>11060.909910365848</v>
      </c>
      <c r="F34" s="272">
        <f t="shared" si="4"/>
        <v>1235</v>
      </c>
      <c r="G34" s="290"/>
      <c r="H34" s="113"/>
      <c r="I34" s="114"/>
      <c r="J34" s="114"/>
      <c r="K34" s="253"/>
      <c r="L34" s="114">
        <f>SUM(B$2:B33)</f>
        <v>20098</v>
      </c>
      <c r="M34" s="291" t="e">
        <f>ROUNDDOWN(L34*'Assumption Sheet'!#REF!, 0)</f>
        <v>#REF!</v>
      </c>
      <c r="N34" s="273" t="e">
        <f>M34*'Assumption Sheet'!B$27</f>
        <v>#REF!</v>
      </c>
      <c r="O34" s="273" t="e">
        <f>M34*'Assumption Sheet'!E$17</f>
        <v>#REF!</v>
      </c>
      <c r="P34" s="273" t="e">
        <f t="shared" ref="P34:P61" si="5">O34-N34</f>
        <v>#REF!</v>
      </c>
      <c r="Q34" s="116"/>
      <c r="R34" s="117"/>
      <c r="S34" s="117"/>
      <c r="T34" s="253"/>
      <c r="U34" s="273" t="e">
        <f t="shared" ref="U34:U61" si="6">D34+N34</f>
        <v>#REF!</v>
      </c>
      <c r="V34" s="273" t="e">
        <f t="shared" ref="V34:V61" si="7">C34+O34</f>
        <v>#REF!</v>
      </c>
      <c r="W34" s="273" t="e">
        <f t="shared" ref="W34:W61" si="8">V34-U34</f>
        <v>#REF!</v>
      </c>
      <c r="X34" s="117"/>
      <c r="Y34" s="117"/>
      <c r="Z34" s="117"/>
    </row>
    <row r="35" spans="1:26" x14ac:dyDescent="0.2">
      <c r="A35" s="194">
        <v>34</v>
      </c>
      <c r="B35" s="288">
        <f>ROUNDDOWN(B34*(1+'Assumption Sheet'!E$3), 0)</f>
        <v>1783</v>
      </c>
      <c r="C35" s="113">
        <f>'Assumption Sheet'!B$12*B35</f>
        <v>65217.211382113819</v>
      </c>
      <c r="D35" s="113">
        <f>'Assumption Sheet'!B$10*B35</f>
        <v>54836.209575000008</v>
      </c>
      <c r="E35" s="289">
        <f>'Assumption Sheet'!B$11*B35</f>
        <v>11830.595303048774</v>
      </c>
      <c r="F35" s="272">
        <f t="shared" si="4"/>
        <v>-548</v>
      </c>
      <c r="G35" s="290"/>
      <c r="H35" s="113"/>
      <c r="I35" s="114"/>
      <c r="J35" s="114"/>
      <c r="K35" s="253"/>
      <c r="L35" s="114">
        <f>SUM(B$2:B34)</f>
        <v>21765</v>
      </c>
      <c r="M35" s="291" t="e">
        <f>ROUNDDOWN(L35*'Assumption Sheet'!#REF!, 0)</f>
        <v>#REF!</v>
      </c>
      <c r="N35" s="273" t="e">
        <f>M35*'Assumption Sheet'!B$27</f>
        <v>#REF!</v>
      </c>
      <c r="O35" s="273" t="e">
        <f>M35*'Assumption Sheet'!E$17</f>
        <v>#REF!</v>
      </c>
      <c r="P35" s="273" t="e">
        <f t="shared" si="5"/>
        <v>#REF!</v>
      </c>
      <c r="Q35" s="116"/>
      <c r="R35" s="117"/>
      <c r="S35" s="117"/>
      <c r="T35" s="253"/>
      <c r="U35" s="273" t="e">
        <f t="shared" si="6"/>
        <v>#REF!</v>
      </c>
      <c r="V35" s="273" t="e">
        <f t="shared" si="7"/>
        <v>#REF!</v>
      </c>
      <c r="W35" s="273" t="e">
        <f t="shared" si="8"/>
        <v>#REF!</v>
      </c>
      <c r="X35" s="117"/>
      <c r="Y35" s="117"/>
      <c r="Z35" s="117"/>
    </row>
    <row r="36" spans="1:26" x14ac:dyDescent="0.2">
      <c r="A36" s="194">
        <v>35</v>
      </c>
      <c r="B36" s="288">
        <f>ROUNDDOWN(B35*(1+'Assumption Sheet'!E$3), 0)</f>
        <v>1907</v>
      </c>
      <c r="C36" s="113">
        <f>'Assumption Sheet'!B$12*B36</f>
        <v>69752.788617886181</v>
      </c>
      <c r="D36" s="113">
        <f>'Assumption Sheet'!B$10*B36</f>
        <v>58649.832675000005</v>
      </c>
      <c r="E36" s="289">
        <f>'Assumption Sheet'!B$11*B36</f>
        <v>12653.362446951214</v>
      </c>
      <c r="F36" s="272">
        <f t="shared" si="4"/>
        <v>-2455</v>
      </c>
      <c r="G36" s="290">
        <v>20000</v>
      </c>
      <c r="H36" s="113">
        <f>G36*'Assumption Sheet'!B$10</f>
        <v>615100.50000000012</v>
      </c>
      <c r="I36" s="114"/>
      <c r="J36" s="114"/>
      <c r="K36" s="253"/>
      <c r="L36" s="114">
        <f>SUM(B$2:B35)</f>
        <v>23548</v>
      </c>
      <c r="M36" s="291" t="e">
        <f>ROUNDDOWN(L36*'Assumption Sheet'!#REF!, 0)</f>
        <v>#REF!</v>
      </c>
      <c r="N36" s="273" t="e">
        <f>M36*'Assumption Sheet'!B$27</f>
        <v>#REF!</v>
      </c>
      <c r="O36" s="273" t="e">
        <f>M36*'Assumption Sheet'!E$17</f>
        <v>#REF!</v>
      </c>
      <c r="P36" s="273" t="e">
        <f t="shared" si="5"/>
        <v>#REF!</v>
      </c>
      <c r="Q36" s="116"/>
      <c r="R36" s="117"/>
      <c r="S36" s="117"/>
      <c r="T36" s="253"/>
      <c r="U36" s="273" t="e">
        <f t="shared" si="6"/>
        <v>#REF!</v>
      </c>
      <c r="V36" s="273" t="e">
        <f t="shared" si="7"/>
        <v>#REF!</v>
      </c>
      <c r="W36" s="273" t="e">
        <f t="shared" si="8"/>
        <v>#REF!</v>
      </c>
      <c r="X36" s="117"/>
      <c r="Y36" s="117"/>
      <c r="Z36" s="117"/>
    </row>
    <row r="37" spans="1:26" x14ac:dyDescent="0.2">
      <c r="A37" s="194">
        <v>36</v>
      </c>
      <c r="B37" s="288">
        <f>ROUNDDOWN(B36*(1+'Assumption Sheet'!E$3), 0)</f>
        <v>2040</v>
      </c>
      <c r="C37" s="113">
        <f>'Assumption Sheet'!B$12*B37</f>
        <v>74617.560975609755</v>
      </c>
      <c r="D37" s="113">
        <f>'Assumption Sheet'!B$10*B37</f>
        <v>62740.251000000004</v>
      </c>
      <c r="E37" s="289">
        <f>'Assumption Sheet'!B$11*B37</f>
        <v>13535.846560975604</v>
      </c>
      <c r="F37" s="272">
        <f t="shared" si="4"/>
        <v>15505</v>
      </c>
      <c r="G37" s="290"/>
      <c r="H37" s="113"/>
      <c r="I37" s="115">
        <f>SUM(B26:B37)</f>
        <v>17364</v>
      </c>
      <c r="J37" s="115">
        <f>SUM(C26:C37)</f>
        <v>635127.12195121939</v>
      </c>
      <c r="K37" s="253"/>
      <c r="L37" s="114">
        <f>SUM(B$2:B36)</f>
        <v>25455</v>
      </c>
      <c r="M37" s="291" t="e">
        <f>ROUNDDOWN(L37*'Assumption Sheet'!#REF!, 0)</f>
        <v>#REF!</v>
      </c>
      <c r="N37" s="273" t="e">
        <f>M37*'Assumption Sheet'!B$27</f>
        <v>#REF!</v>
      </c>
      <c r="O37" s="273" t="e">
        <f>M37*'Assumption Sheet'!E$17</f>
        <v>#REF!</v>
      </c>
      <c r="P37" s="273" t="e">
        <f t="shared" si="5"/>
        <v>#REF!</v>
      </c>
      <c r="Q37" s="116" t="e">
        <f>SUM(M26:M37)</f>
        <v>#REF!</v>
      </c>
      <c r="R37" s="117" t="e">
        <f>Q37*'Assumption Sheet'!E$16</f>
        <v>#REF!</v>
      </c>
      <c r="S37" s="117" t="e">
        <f>SUM(N26:N37)</f>
        <v>#REF!</v>
      </c>
      <c r="T37" s="253"/>
      <c r="U37" s="273" t="e">
        <f t="shared" si="6"/>
        <v>#REF!</v>
      </c>
      <c r="V37" s="273" t="e">
        <f t="shared" si="7"/>
        <v>#REF!</v>
      </c>
      <c r="W37" s="273" t="e">
        <f t="shared" si="8"/>
        <v>#REF!</v>
      </c>
      <c r="X37" s="117" t="e">
        <f>SUM(U26:U37)</f>
        <v>#REF!</v>
      </c>
      <c r="Y37" s="117" t="e">
        <f>SUM(V26:V37)</f>
        <v>#REF!</v>
      </c>
      <c r="Z37" s="117" t="e">
        <f>SUM(W26:W37)</f>
        <v>#REF!</v>
      </c>
    </row>
    <row r="38" spans="1:26" x14ac:dyDescent="0.2">
      <c r="A38" s="195">
        <v>37</v>
      </c>
      <c r="B38" s="292">
        <f>ROUNDDOWN(B37*(1+'Assumption Sheet'!E$3), 0)</f>
        <v>2182</v>
      </c>
      <c r="C38" s="78">
        <f>'Assumption Sheet'!B$12*B38</f>
        <v>79811.528455284555</v>
      </c>
      <c r="D38" s="78">
        <f>'Assumption Sheet'!B$10*B38</f>
        <v>67107.464550000004</v>
      </c>
      <c r="E38" s="293">
        <f>'Assumption Sheet'!B$11*B38</f>
        <v>14478.047645121944</v>
      </c>
      <c r="F38" s="274">
        <f t="shared" si="4"/>
        <v>13323</v>
      </c>
      <c r="G38" s="294"/>
      <c r="H38" s="78"/>
      <c r="I38" s="79"/>
      <c r="J38" s="79"/>
      <c r="K38" s="253"/>
      <c r="L38" s="79">
        <f>SUM(B$2:B37)</f>
        <v>27495</v>
      </c>
      <c r="M38" s="295" t="e">
        <f>ROUNDDOWN(L38*'Assumption Sheet'!#REF!, 0)</f>
        <v>#REF!</v>
      </c>
      <c r="N38" s="296" t="e">
        <f>M38*'Assumption Sheet'!B$27</f>
        <v>#REF!</v>
      </c>
      <c r="O38" s="296" t="e">
        <f>M38*'Assumption Sheet'!E$17</f>
        <v>#REF!</v>
      </c>
      <c r="P38" s="296" t="e">
        <f t="shared" si="5"/>
        <v>#REF!</v>
      </c>
      <c r="Q38" s="109"/>
      <c r="R38" s="110"/>
      <c r="S38" s="110"/>
      <c r="T38" s="253"/>
      <c r="U38" s="296" t="e">
        <f t="shared" si="6"/>
        <v>#REF!</v>
      </c>
      <c r="V38" s="296" t="e">
        <f t="shared" si="7"/>
        <v>#REF!</v>
      </c>
      <c r="W38" s="296" t="e">
        <f t="shared" si="8"/>
        <v>#REF!</v>
      </c>
      <c r="X38" s="110"/>
      <c r="Y38" s="110"/>
      <c r="Z38" s="110"/>
    </row>
    <row r="39" spans="1:26" x14ac:dyDescent="0.2">
      <c r="A39" s="195">
        <v>38</v>
      </c>
      <c r="B39" s="292">
        <f>ROUNDDOWN(B38*(1+'Assumption Sheet'!E$3), 0)</f>
        <v>2334</v>
      </c>
      <c r="C39" s="78">
        <f>'Assumption Sheet'!B$12*B39</f>
        <v>85371.268292682929</v>
      </c>
      <c r="D39" s="78">
        <f>'Assumption Sheet'!B$10*B39</f>
        <v>71782.228350000005</v>
      </c>
      <c r="E39" s="293">
        <f>'Assumption Sheet'!B$11*B39</f>
        <v>15486.600918292675</v>
      </c>
      <c r="F39" s="274">
        <f t="shared" si="4"/>
        <v>10989</v>
      </c>
      <c r="G39" s="294"/>
      <c r="H39" s="78"/>
      <c r="I39" s="79"/>
      <c r="J39" s="79"/>
      <c r="K39" s="253"/>
      <c r="L39" s="79">
        <f>SUM(B$2:B38)</f>
        <v>29677</v>
      </c>
      <c r="M39" s="295" t="e">
        <f>ROUNDDOWN(L39*'Assumption Sheet'!#REF!, 0)</f>
        <v>#REF!</v>
      </c>
      <c r="N39" s="296" t="e">
        <f>M39*'Assumption Sheet'!B$27</f>
        <v>#REF!</v>
      </c>
      <c r="O39" s="296" t="e">
        <f>M39*'Assumption Sheet'!E$17</f>
        <v>#REF!</v>
      </c>
      <c r="P39" s="296" t="e">
        <f t="shared" si="5"/>
        <v>#REF!</v>
      </c>
      <c r="Q39" s="109"/>
      <c r="R39" s="110"/>
      <c r="S39" s="110"/>
      <c r="T39" s="253"/>
      <c r="U39" s="296" t="e">
        <f t="shared" si="6"/>
        <v>#REF!</v>
      </c>
      <c r="V39" s="296" t="e">
        <f t="shared" si="7"/>
        <v>#REF!</v>
      </c>
      <c r="W39" s="296" t="e">
        <f t="shared" si="8"/>
        <v>#REF!</v>
      </c>
      <c r="X39" s="110"/>
      <c r="Y39" s="110"/>
      <c r="Z39" s="110"/>
    </row>
    <row r="40" spans="1:26" x14ac:dyDescent="0.2">
      <c r="A40" s="195">
        <v>39</v>
      </c>
      <c r="B40" s="292">
        <f>ROUNDDOWN(B39*(1+'Assumption Sheet'!E$3), 0)</f>
        <v>2497</v>
      </c>
      <c r="C40" s="78">
        <f>'Assumption Sheet'!B$12*B40</f>
        <v>91333.357723577239</v>
      </c>
      <c r="D40" s="78">
        <f>'Assumption Sheet'!B$10*B40</f>
        <v>76795.297425000012</v>
      </c>
      <c r="E40" s="293">
        <f>'Assumption Sheet'!B$11*B40</f>
        <v>16568.141599390237</v>
      </c>
      <c r="F40" s="274">
        <f t="shared" ref="F40:F61" si="9">F39-ROUNDDOWN(B40, 0)+G39</f>
        <v>8492</v>
      </c>
      <c r="G40" s="294"/>
      <c r="H40" s="78"/>
      <c r="I40" s="79"/>
      <c r="J40" s="79"/>
      <c r="K40" s="253"/>
      <c r="L40" s="79">
        <f>SUM(B$2:B39)</f>
        <v>32011</v>
      </c>
      <c r="M40" s="295" t="e">
        <f>ROUNDDOWN(L40*'Assumption Sheet'!#REF!, 0)</f>
        <v>#REF!</v>
      </c>
      <c r="N40" s="296" t="e">
        <f>M40*'Assumption Sheet'!B$27</f>
        <v>#REF!</v>
      </c>
      <c r="O40" s="296" t="e">
        <f>M40*'Assumption Sheet'!E$17</f>
        <v>#REF!</v>
      </c>
      <c r="P40" s="296" t="e">
        <f t="shared" si="5"/>
        <v>#REF!</v>
      </c>
      <c r="Q40" s="109"/>
      <c r="R40" s="110"/>
      <c r="S40" s="110"/>
      <c r="T40" s="253"/>
      <c r="U40" s="296" t="e">
        <f t="shared" si="6"/>
        <v>#REF!</v>
      </c>
      <c r="V40" s="296" t="e">
        <f t="shared" si="7"/>
        <v>#REF!</v>
      </c>
      <c r="W40" s="296" t="e">
        <f t="shared" si="8"/>
        <v>#REF!</v>
      </c>
      <c r="X40" s="110"/>
      <c r="Y40" s="110"/>
      <c r="Z40" s="110"/>
    </row>
    <row r="41" spans="1:26" x14ac:dyDescent="0.2">
      <c r="A41" s="195">
        <v>40</v>
      </c>
      <c r="B41" s="292">
        <f>ROUNDDOWN(B40*(1+'Assumption Sheet'!E$3), 0)</f>
        <v>2671</v>
      </c>
      <c r="C41" s="78">
        <f>'Assumption Sheet'!B$12*B41</f>
        <v>97697.796747967484</v>
      </c>
      <c r="D41" s="78">
        <f>'Assumption Sheet'!B$10*B41</f>
        <v>82146.67177500001</v>
      </c>
      <c r="E41" s="293">
        <f>'Assumption Sheet'!B$11*B41</f>
        <v>17722.669688414626</v>
      </c>
      <c r="F41" s="274">
        <f t="shared" si="9"/>
        <v>5821</v>
      </c>
      <c r="G41" s="294"/>
      <c r="H41" s="78"/>
      <c r="I41" s="79"/>
      <c r="J41" s="79"/>
      <c r="K41" s="253"/>
      <c r="L41" s="79">
        <f>SUM(B$2:B40)</f>
        <v>34508</v>
      </c>
      <c r="M41" s="295" t="e">
        <f>ROUNDDOWN(L41*'Assumption Sheet'!#REF!, 0)</f>
        <v>#REF!</v>
      </c>
      <c r="N41" s="296" t="e">
        <f>M41*'Assumption Sheet'!B$27</f>
        <v>#REF!</v>
      </c>
      <c r="O41" s="296" t="e">
        <f>M41*'Assumption Sheet'!E$17</f>
        <v>#REF!</v>
      </c>
      <c r="P41" s="296" t="e">
        <f t="shared" si="5"/>
        <v>#REF!</v>
      </c>
      <c r="Q41" s="109"/>
      <c r="R41" s="110"/>
      <c r="S41" s="110"/>
      <c r="T41" s="253"/>
      <c r="U41" s="296" t="e">
        <f t="shared" si="6"/>
        <v>#REF!</v>
      </c>
      <c r="V41" s="296" t="e">
        <f t="shared" si="7"/>
        <v>#REF!</v>
      </c>
      <c r="W41" s="296" t="e">
        <f t="shared" si="8"/>
        <v>#REF!</v>
      </c>
      <c r="X41" s="110"/>
      <c r="Y41" s="110"/>
      <c r="Z41" s="110"/>
    </row>
    <row r="42" spans="1:26" x14ac:dyDescent="0.2">
      <c r="A42" s="195">
        <v>41</v>
      </c>
      <c r="B42" s="292">
        <f>ROUNDDOWN(B41*(1+'Assumption Sheet'!E$3), 0)</f>
        <v>2857</v>
      </c>
      <c r="C42" s="78">
        <f>'Assumption Sheet'!B$12*B42</f>
        <v>104501.16260162601</v>
      </c>
      <c r="D42" s="78">
        <f>'Assumption Sheet'!B$10*B42</f>
        <v>87867.106425000005</v>
      </c>
      <c r="E42" s="293">
        <f>'Assumption Sheet'!B$11*B42</f>
        <v>18956.820404268285</v>
      </c>
      <c r="F42" s="274">
        <f t="shared" si="9"/>
        <v>2964</v>
      </c>
      <c r="G42" s="294"/>
      <c r="H42" s="78"/>
      <c r="I42" s="79"/>
      <c r="J42" s="79"/>
      <c r="K42" s="253"/>
      <c r="L42" s="79">
        <f>SUM(B$2:B41)</f>
        <v>37179</v>
      </c>
      <c r="M42" s="295" t="e">
        <f>ROUNDDOWN(L42*'Assumption Sheet'!#REF!, 0)</f>
        <v>#REF!</v>
      </c>
      <c r="N42" s="296" t="e">
        <f>M42*'Assumption Sheet'!B$27</f>
        <v>#REF!</v>
      </c>
      <c r="O42" s="296" t="e">
        <f>M42*'Assumption Sheet'!E$17</f>
        <v>#REF!</v>
      </c>
      <c r="P42" s="296" t="e">
        <f t="shared" si="5"/>
        <v>#REF!</v>
      </c>
      <c r="Q42" s="109"/>
      <c r="R42" s="110"/>
      <c r="S42" s="110"/>
      <c r="T42" s="253"/>
      <c r="U42" s="296" t="e">
        <f t="shared" si="6"/>
        <v>#REF!</v>
      </c>
      <c r="V42" s="296" t="e">
        <f t="shared" si="7"/>
        <v>#REF!</v>
      </c>
      <c r="W42" s="296" t="e">
        <f t="shared" si="8"/>
        <v>#REF!</v>
      </c>
      <c r="X42" s="110"/>
      <c r="Y42" s="110"/>
      <c r="Z42" s="110"/>
    </row>
    <row r="43" spans="1:26" x14ac:dyDescent="0.2">
      <c r="A43" s="195">
        <v>42</v>
      </c>
      <c r="B43" s="292">
        <f>ROUNDDOWN(B42*(1+'Assumption Sheet'!E$3), 0)</f>
        <v>3056</v>
      </c>
      <c r="C43" s="78">
        <f>'Assumption Sheet'!B$12*B43</f>
        <v>111780.0325203252</v>
      </c>
      <c r="D43" s="78">
        <f>'Assumption Sheet'!B$10*B43</f>
        <v>93987.356400000004</v>
      </c>
      <c r="E43" s="293">
        <f>'Assumption Sheet'!B$11*B43</f>
        <v>20277.22896585365</v>
      </c>
      <c r="F43" s="274">
        <f t="shared" si="9"/>
        <v>-92</v>
      </c>
      <c r="G43" s="294"/>
      <c r="H43" s="78"/>
      <c r="I43" s="79"/>
      <c r="J43" s="79"/>
      <c r="K43" s="253"/>
      <c r="L43" s="79">
        <f>SUM(B$2:B42)</f>
        <v>40036</v>
      </c>
      <c r="M43" s="295" t="e">
        <f>ROUNDDOWN(L43*'Assumption Sheet'!#REF!, 0)</f>
        <v>#REF!</v>
      </c>
      <c r="N43" s="296" t="e">
        <f>M43*'Assumption Sheet'!B$27</f>
        <v>#REF!</v>
      </c>
      <c r="O43" s="296" t="e">
        <f>M43*'Assumption Sheet'!E$17</f>
        <v>#REF!</v>
      </c>
      <c r="P43" s="296" t="e">
        <f t="shared" si="5"/>
        <v>#REF!</v>
      </c>
      <c r="Q43" s="109"/>
      <c r="R43" s="110"/>
      <c r="S43" s="110"/>
      <c r="T43" s="253"/>
      <c r="U43" s="296" t="e">
        <f t="shared" si="6"/>
        <v>#REF!</v>
      </c>
      <c r="V43" s="296" t="e">
        <f t="shared" si="7"/>
        <v>#REF!</v>
      </c>
      <c r="W43" s="296" t="e">
        <f t="shared" si="8"/>
        <v>#REF!</v>
      </c>
      <c r="X43" s="110"/>
      <c r="Y43" s="110"/>
      <c r="Z43" s="110"/>
    </row>
    <row r="44" spans="1:26" x14ac:dyDescent="0.2">
      <c r="A44" s="195">
        <v>43</v>
      </c>
      <c r="B44" s="292">
        <f>ROUNDDOWN(B43*(1+'Assumption Sheet'!E$3), 0)</f>
        <v>3269</v>
      </c>
      <c r="C44" s="78">
        <f>'Assumption Sheet'!B$12*B44</f>
        <v>119570.98373983741</v>
      </c>
      <c r="D44" s="78">
        <f>'Assumption Sheet'!B$10*B44</f>
        <v>100538.17672500001</v>
      </c>
      <c r="E44" s="293">
        <f>'Assumption Sheet'!B$11*B44</f>
        <v>21690.530592073163</v>
      </c>
      <c r="F44" s="274">
        <f t="shared" si="9"/>
        <v>-3361</v>
      </c>
      <c r="G44" s="294"/>
      <c r="H44" s="78"/>
      <c r="I44" s="79"/>
      <c r="J44" s="79"/>
      <c r="K44" s="253"/>
      <c r="L44" s="79">
        <f>SUM(B$2:B43)</f>
        <v>43092</v>
      </c>
      <c r="M44" s="295" t="e">
        <f>ROUNDDOWN(L44*'Assumption Sheet'!#REF!, 0)</f>
        <v>#REF!</v>
      </c>
      <c r="N44" s="296" t="e">
        <f>M44*'Assumption Sheet'!B$27</f>
        <v>#REF!</v>
      </c>
      <c r="O44" s="296" t="e">
        <f>M44*'Assumption Sheet'!E$17</f>
        <v>#REF!</v>
      </c>
      <c r="P44" s="296" t="e">
        <f t="shared" si="5"/>
        <v>#REF!</v>
      </c>
      <c r="Q44" s="109"/>
      <c r="R44" s="110"/>
      <c r="S44" s="110"/>
      <c r="T44" s="253"/>
      <c r="U44" s="296" t="e">
        <f t="shared" si="6"/>
        <v>#REF!</v>
      </c>
      <c r="V44" s="296" t="e">
        <f t="shared" si="7"/>
        <v>#REF!</v>
      </c>
      <c r="W44" s="296" t="e">
        <f t="shared" si="8"/>
        <v>#REF!</v>
      </c>
      <c r="X44" s="110"/>
      <c r="Y44" s="110"/>
      <c r="Z44" s="110"/>
    </row>
    <row r="45" spans="1:26" x14ac:dyDescent="0.2">
      <c r="A45" s="195">
        <v>44</v>
      </c>
      <c r="B45" s="292">
        <f>ROUNDDOWN(B44*(1+'Assumption Sheet'!E$3), 0)</f>
        <v>3497</v>
      </c>
      <c r="C45" s="78">
        <f>'Assumption Sheet'!B$12*B45</f>
        <v>127910.59349593497</v>
      </c>
      <c r="D45" s="78">
        <f>'Assumption Sheet'!B$10*B45</f>
        <v>107550.32242500001</v>
      </c>
      <c r="E45" s="293">
        <f>'Assumption Sheet'!B$11*B45</f>
        <v>23203.360501829258</v>
      </c>
      <c r="F45" s="274">
        <f t="shared" si="9"/>
        <v>-6858</v>
      </c>
      <c r="G45" s="294">
        <v>25000</v>
      </c>
      <c r="H45" s="78">
        <f>G45*'Assumption Sheet'!B$10</f>
        <v>768875.62500000012</v>
      </c>
      <c r="I45" s="79"/>
      <c r="J45" s="79"/>
      <c r="K45" s="253"/>
      <c r="L45" s="79">
        <f>SUM(B$2:B44)</f>
        <v>46361</v>
      </c>
      <c r="M45" s="295" t="e">
        <f>ROUNDDOWN(L45*'Assumption Sheet'!#REF!, 0)</f>
        <v>#REF!</v>
      </c>
      <c r="N45" s="296" t="e">
        <f>M45*'Assumption Sheet'!B$27</f>
        <v>#REF!</v>
      </c>
      <c r="O45" s="296" t="e">
        <f>M45*'Assumption Sheet'!E$17</f>
        <v>#REF!</v>
      </c>
      <c r="P45" s="296" t="e">
        <f t="shared" si="5"/>
        <v>#REF!</v>
      </c>
      <c r="Q45" s="109"/>
      <c r="R45" s="110"/>
      <c r="S45" s="110"/>
      <c r="T45" s="253"/>
      <c r="U45" s="296" t="e">
        <f t="shared" si="6"/>
        <v>#REF!</v>
      </c>
      <c r="V45" s="296" t="e">
        <f t="shared" si="7"/>
        <v>#REF!</v>
      </c>
      <c r="W45" s="296" t="e">
        <f t="shared" si="8"/>
        <v>#REF!</v>
      </c>
      <c r="X45" s="110"/>
      <c r="Y45" s="110"/>
      <c r="Z45" s="110"/>
    </row>
    <row r="46" spans="1:26" x14ac:dyDescent="0.2">
      <c r="A46" s="195">
        <v>45</v>
      </c>
      <c r="B46" s="292">
        <f>ROUNDDOWN(B45*(1+'Assumption Sheet'!E$3), 0)</f>
        <v>3741</v>
      </c>
      <c r="C46" s="78">
        <f>'Assumption Sheet'!B$12*B46</f>
        <v>136835.43902439025</v>
      </c>
      <c r="D46" s="78">
        <f>'Assumption Sheet'!B$10*B46</f>
        <v>115054.54852500001</v>
      </c>
      <c r="E46" s="293">
        <f>'Assumption Sheet'!B$11*B46</f>
        <v>24822.353914024377</v>
      </c>
      <c r="F46" s="274">
        <f t="shared" si="9"/>
        <v>14401</v>
      </c>
      <c r="G46" s="294"/>
      <c r="H46" s="78"/>
      <c r="I46" s="79"/>
      <c r="J46" s="79"/>
      <c r="K46" s="253"/>
      <c r="L46" s="79">
        <f>SUM(B$2:B45)</f>
        <v>49858</v>
      </c>
      <c r="M46" s="295" t="e">
        <f>ROUNDDOWN(L46*'Assumption Sheet'!#REF!, 0)</f>
        <v>#REF!</v>
      </c>
      <c r="N46" s="296" t="e">
        <f>M46*'Assumption Sheet'!B$27</f>
        <v>#REF!</v>
      </c>
      <c r="O46" s="296" t="e">
        <f>M46*'Assumption Sheet'!E$17</f>
        <v>#REF!</v>
      </c>
      <c r="P46" s="296" t="e">
        <f t="shared" si="5"/>
        <v>#REF!</v>
      </c>
      <c r="Q46" s="109"/>
      <c r="R46" s="110"/>
      <c r="S46" s="110"/>
      <c r="T46" s="253"/>
      <c r="U46" s="296" t="e">
        <f t="shared" si="6"/>
        <v>#REF!</v>
      </c>
      <c r="V46" s="296" t="e">
        <f t="shared" si="7"/>
        <v>#REF!</v>
      </c>
      <c r="W46" s="296" t="e">
        <f t="shared" si="8"/>
        <v>#REF!</v>
      </c>
      <c r="X46" s="110"/>
      <c r="Y46" s="110"/>
      <c r="Z46" s="110"/>
    </row>
    <row r="47" spans="1:26" x14ac:dyDescent="0.2">
      <c r="A47" s="195">
        <v>46</v>
      </c>
      <c r="B47" s="292">
        <f>ROUNDDOWN(B46*(1+'Assumption Sheet'!E$3), 0)</f>
        <v>4002</v>
      </c>
      <c r="C47" s="78">
        <f>'Assumption Sheet'!B$12*B47</f>
        <v>146382.09756097561</v>
      </c>
      <c r="D47" s="78">
        <f>'Assumption Sheet'!B$10*B47</f>
        <v>123081.61005000002</v>
      </c>
      <c r="E47" s="293">
        <f>'Assumption Sheet'!B$11*B47</f>
        <v>26554.146047560964</v>
      </c>
      <c r="F47" s="274">
        <f t="shared" si="9"/>
        <v>10399</v>
      </c>
      <c r="G47" s="294"/>
      <c r="H47" s="78"/>
      <c r="I47" s="79"/>
      <c r="J47" s="79"/>
      <c r="K47" s="253"/>
      <c r="L47" s="79">
        <f>SUM(B$2:B46)</f>
        <v>53599</v>
      </c>
      <c r="M47" s="295" t="e">
        <f>ROUNDDOWN(L47*'Assumption Sheet'!#REF!, 0)</f>
        <v>#REF!</v>
      </c>
      <c r="N47" s="296" t="e">
        <f>M47*'Assumption Sheet'!B$27</f>
        <v>#REF!</v>
      </c>
      <c r="O47" s="296" t="e">
        <f>M47*'Assumption Sheet'!E$17</f>
        <v>#REF!</v>
      </c>
      <c r="P47" s="296" t="e">
        <f t="shared" si="5"/>
        <v>#REF!</v>
      </c>
      <c r="Q47" s="109"/>
      <c r="R47" s="110"/>
      <c r="S47" s="110"/>
      <c r="T47" s="253"/>
      <c r="U47" s="296" t="e">
        <f t="shared" si="6"/>
        <v>#REF!</v>
      </c>
      <c r="V47" s="296" t="e">
        <f t="shared" si="7"/>
        <v>#REF!</v>
      </c>
      <c r="W47" s="296" t="e">
        <f t="shared" si="8"/>
        <v>#REF!</v>
      </c>
      <c r="X47" s="110"/>
      <c r="Y47" s="110"/>
      <c r="Z47" s="110"/>
    </row>
    <row r="48" spans="1:26" x14ac:dyDescent="0.2">
      <c r="A48" s="195">
        <v>47</v>
      </c>
      <c r="B48" s="292">
        <f>ROUNDDOWN(B47*(1+'Assumption Sheet'!E$3), 0)</f>
        <v>4282</v>
      </c>
      <c r="C48" s="78">
        <f>'Assumption Sheet'!B$12*B48</f>
        <v>156623.72357723577</v>
      </c>
      <c r="D48" s="78">
        <f>'Assumption Sheet'!B$10*B48</f>
        <v>131693.01705000002</v>
      </c>
      <c r="E48" s="293">
        <f>'Assumption Sheet'!B$11*B48</f>
        <v>28412.00734024389</v>
      </c>
      <c r="F48" s="274">
        <f t="shared" si="9"/>
        <v>6117</v>
      </c>
      <c r="G48" s="294"/>
      <c r="H48" s="78"/>
      <c r="I48" s="79"/>
      <c r="J48" s="79"/>
      <c r="K48" s="253"/>
      <c r="L48" s="79">
        <f>SUM(B$2:B47)</f>
        <v>57601</v>
      </c>
      <c r="M48" s="295" t="e">
        <f>ROUNDDOWN(L48*'Assumption Sheet'!#REF!, 0)</f>
        <v>#REF!</v>
      </c>
      <c r="N48" s="296" t="e">
        <f>M48*'Assumption Sheet'!B$27</f>
        <v>#REF!</v>
      </c>
      <c r="O48" s="296" t="e">
        <f>M48*'Assumption Sheet'!E$17</f>
        <v>#REF!</v>
      </c>
      <c r="P48" s="296" t="e">
        <f t="shared" si="5"/>
        <v>#REF!</v>
      </c>
      <c r="Q48" s="109"/>
      <c r="R48" s="110"/>
      <c r="S48" s="110"/>
      <c r="T48" s="253"/>
      <c r="U48" s="296" t="e">
        <f t="shared" si="6"/>
        <v>#REF!</v>
      </c>
      <c r="V48" s="296" t="e">
        <f t="shared" si="7"/>
        <v>#REF!</v>
      </c>
      <c r="W48" s="296" t="e">
        <f t="shared" si="8"/>
        <v>#REF!</v>
      </c>
      <c r="X48" s="110"/>
      <c r="Y48" s="110"/>
      <c r="Z48" s="110"/>
    </row>
    <row r="49" spans="1:26" x14ac:dyDescent="0.2">
      <c r="A49" s="195">
        <v>48</v>
      </c>
      <c r="B49" s="292">
        <f>ROUNDDOWN(B48*(1+'Assumption Sheet'!E$3), 0)</f>
        <v>4581</v>
      </c>
      <c r="C49" s="78">
        <f>'Assumption Sheet'!B$12*B49</f>
        <v>167560.31707317074</v>
      </c>
      <c r="D49" s="78">
        <f>'Assumption Sheet'!B$10*B49</f>
        <v>140888.76952500001</v>
      </c>
      <c r="E49" s="293">
        <f>'Assumption Sheet'!B$11*B49</f>
        <v>30395.937792073157</v>
      </c>
      <c r="F49" s="274">
        <f t="shared" si="9"/>
        <v>1536</v>
      </c>
      <c r="G49" s="294"/>
      <c r="H49" s="78"/>
      <c r="I49" s="80">
        <f>SUM(B38:B49)</f>
        <v>38969</v>
      </c>
      <c r="J49" s="80">
        <f>SUM(C38:C49)</f>
        <v>1425378.3008130083</v>
      </c>
      <c r="K49" s="253"/>
      <c r="L49" s="79">
        <f>SUM(B$2:B48)</f>
        <v>61883</v>
      </c>
      <c r="M49" s="295" t="e">
        <f>ROUNDDOWN(L49*'Assumption Sheet'!#REF!, 0)</f>
        <v>#REF!</v>
      </c>
      <c r="N49" s="296" t="e">
        <f>M49*'Assumption Sheet'!B$27</f>
        <v>#REF!</v>
      </c>
      <c r="O49" s="296" t="e">
        <f>M49*'Assumption Sheet'!E$17</f>
        <v>#REF!</v>
      </c>
      <c r="P49" s="296" t="e">
        <f t="shared" si="5"/>
        <v>#REF!</v>
      </c>
      <c r="Q49" s="109" t="e">
        <f>SUM(M38:M49)</f>
        <v>#REF!</v>
      </c>
      <c r="R49" s="110" t="e">
        <f>Q49*'Assumption Sheet'!E$16</f>
        <v>#REF!</v>
      </c>
      <c r="S49" s="110" t="e">
        <f>SUM(N38:N49)</f>
        <v>#REF!</v>
      </c>
      <c r="T49" s="253"/>
      <c r="U49" s="296" t="e">
        <f t="shared" si="6"/>
        <v>#REF!</v>
      </c>
      <c r="V49" s="296" t="e">
        <f t="shared" si="7"/>
        <v>#REF!</v>
      </c>
      <c r="W49" s="296" t="e">
        <f t="shared" si="8"/>
        <v>#REF!</v>
      </c>
      <c r="X49" s="110" t="e">
        <f>SUM(U38:U49)</f>
        <v>#REF!</v>
      </c>
      <c r="Y49" s="110" t="e">
        <f>SUM(V38:V49)</f>
        <v>#REF!</v>
      </c>
      <c r="Z49" s="110" t="e">
        <f>SUM(W38:W49)</f>
        <v>#REF!</v>
      </c>
    </row>
    <row r="50" spans="1:26" x14ac:dyDescent="0.2">
      <c r="A50" s="196">
        <v>49</v>
      </c>
      <c r="B50" s="297">
        <f>ROUNDDOWN(B49*(1+'Assumption Sheet'!E$3), 0)</f>
        <v>4901</v>
      </c>
      <c r="C50" s="81">
        <f>'Assumption Sheet'!B$12*B50</f>
        <v>179265.03252032521</v>
      </c>
      <c r="D50" s="81">
        <f>'Assumption Sheet'!B$10*B50</f>
        <v>150730.37752500002</v>
      </c>
      <c r="E50" s="298">
        <f>'Assumption Sheet'!B$11*B50</f>
        <v>32519.207840853644</v>
      </c>
      <c r="F50" s="275">
        <f t="shared" si="9"/>
        <v>-3365</v>
      </c>
      <c r="G50" s="299"/>
      <c r="H50" s="81"/>
      <c r="I50" s="82"/>
      <c r="J50" s="82"/>
      <c r="K50" s="253"/>
      <c r="L50" s="82">
        <f>SUM(B$2:B49)</f>
        <v>66464</v>
      </c>
      <c r="M50" s="300" t="e">
        <f>ROUNDDOWN(L50*'Assumption Sheet'!#REF!, 0)</f>
        <v>#REF!</v>
      </c>
      <c r="N50" s="301" t="e">
        <f>M50*'Assumption Sheet'!B$27</f>
        <v>#REF!</v>
      </c>
      <c r="O50" s="301" t="e">
        <f>M50*'Assumption Sheet'!E$17</f>
        <v>#REF!</v>
      </c>
      <c r="P50" s="301" t="e">
        <f t="shared" si="5"/>
        <v>#REF!</v>
      </c>
      <c r="Q50" s="111"/>
      <c r="R50" s="112"/>
      <c r="S50" s="112"/>
      <c r="T50" s="253"/>
      <c r="U50" s="301" t="e">
        <f t="shared" si="6"/>
        <v>#REF!</v>
      </c>
      <c r="V50" s="301" t="e">
        <f t="shared" si="7"/>
        <v>#REF!</v>
      </c>
      <c r="W50" s="301" t="e">
        <f t="shared" si="8"/>
        <v>#REF!</v>
      </c>
      <c r="X50" s="112"/>
      <c r="Y50" s="112"/>
      <c r="Z50" s="112"/>
    </row>
    <row r="51" spans="1:26" x14ac:dyDescent="0.2">
      <c r="A51" s="196">
        <v>50</v>
      </c>
      <c r="B51" s="297">
        <f>ROUNDDOWN(B50*(1+'Assumption Sheet'!E$3), 0)</f>
        <v>5244</v>
      </c>
      <c r="C51" s="81">
        <f>'Assumption Sheet'!B$12*B51</f>
        <v>191811.0243902439</v>
      </c>
      <c r="D51" s="81">
        <f>'Assumption Sheet'!B$10*B51</f>
        <v>161279.35110000003</v>
      </c>
      <c r="E51" s="298">
        <f>'Assumption Sheet'!B$11*B51</f>
        <v>34795.087924390231</v>
      </c>
      <c r="F51" s="275">
        <f t="shared" si="9"/>
        <v>-8609</v>
      </c>
      <c r="G51" s="299"/>
      <c r="H51" s="81"/>
      <c r="I51" s="82"/>
      <c r="J51" s="82"/>
      <c r="K51" s="253"/>
      <c r="L51" s="82">
        <f>SUM(B$2:B50)</f>
        <v>71365</v>
      </c>
      <c r="M51" s="300" t="e">
        <f>ROUNDDOWN(L51*'Assumption Sheet'!#REF!, 0)</f>
        <v>#REF!</v>
      </c>
      <c r="N51" s="301" t="e">
        <f>M51*'Assumption Sheet'!B$27</f>
        <v>#REF!</v>
      </c>
      <c r="O51" s="301" t="e">
        <f>M51*'Assumption Sheet'!E$17</f>
        <v>#REF!</v>
      </c>
      <c r="P51" s="301" t="e">
        <f t="shared" si="5"/>
        <v>#REF!</v>
      </c>
      <c r="Q51" s="111"/>
      <c r="R51" s="112"/>
      <c r="S51" s="112"/>
      <c r="T51" s="253"/>
      <c r="U51" s="301" t="e">
        <f t="shared" si="6"/>
        <v>#REF!</v>
      </c>
      <c r="V51" s="301" t="e">
        <f t="shared" si="7"/>
        <v>#REF!</v>
      </c>
      <c r="W51" s="301" t="e">
        <f t="shared" si="8"/>
        <v>#REF!</v>
      </c>
      <c r="X51" s="112"/>
      <c r="Y51" s="112"/>
      <c r="Z51" s="112"/>
    </row>
    <row r="52" spans="1:26" x14ac:dyDescent="0.2">
      <c r="A52" s="196">
        <v>51</v>
      </c>
      <c r="B52" s="297">
        <f>ROUNDDOWN(B51*(1+'Assumption Sheet'!E$3), 0)</f>
        <v>5611</v>
      </c>
      <c r="C52" s="81">
        <f>'Assumption Sheet'!B$12*B52</f>
        <v>205234.8699186992</v>
      </c>
      <c r="D52" s="81">
        <f>'Assumption Sheet'!B$10*B52</f>
        <v>172566.44527500001</v>
      </c>
      <c r="E52" s="298">
        <f>'Assumption Sheet'!B$11*B52</f>
        <v>37230.213261585348</v>
      </c>
      <c r="F52" s="275">
        <f t="shared" si="9"/>
        <v>-14220</v>
      </c>
      <c r="G52" s="299">
        <v>40000</v>
      </c>
      <c r="H52" s="81">
        <f>G52*'Assumption Sheet'!B$10</f>
        <v>1230201.0000000002</v>
      </c>
      <c r="I52" s="82"/>
      <c r="J52" s="82"/>
      <c r="K52" s="253"/>
      <c r="L52" s="82">
        <f>SUM(B$2:B51)</f>
        <v>76609</v>
      </c>
      <c r="M52" s="300" t="e">
        <f>ROUNDDOWN(L52*'Assumption Sheet'!#REF!, 0)</f>
        <v>#REF!</v>
      </c>
      <c r="N52" s="301" t="e">
        <f>M52*'Assumption Sheet'!B$27</f>
        <v>#REF!</v>
      </c>
      <c r="O52" s="301" t="e">
        <f>M52*'Assumption Sheet'!E$17</f>
        <v>#REF!</v>
      </c>
      <c r="P52" s="301" t="e">
        <f t="shared" si="5"/>
        <v>#REF!</v>
      </c>
      <c r="Q52" s="111"/>
      <c r="R52" s="112"/>
      <c r="S52" s="112"/>
      <c r="T52" s="253"/>
      <c r="U52" s="301" t="e">
        <f t="shared" si="6"/>
        <v>#REF!</v>
      </c>
      <c r="V52" s="301" t="e">
        <f t="shared" si="7"/>
        <v>#REF!</v>
      </c>
      <c r="W52" s="301" t="e">
        <f t="shared" si="8"/>
        <v>#REF!</v>
      </c>
      <c r="X52" s="112"/>
      <c r="Y52" s="112"/>
      <c r="Z52" s="112"/>
    </row>
    <row r="53" spans="1:26" x14ac:dyDescent="0.2">
      <c r="A53" s="196">
        <v>52</v>
      </c>
      <c r="B53" s="297">
        <f>ROUNDDOWN(B52*(1+'Assumption Sheet'!E$3), 0)</f>
        <v>6003</v>
      </c>
      <c r="C53" s="81">
        <f>'Assumption Sheet'!B$12*B53</f>
        <v>219573.14634146341</v>
      </c>
      <c r="D53" s="81">
        <f>'Assumption Sheet'!B$10*B53</f>
        <v>184622.41507500003</v>
      </c>
      <c r="E53" s="298">
        <f>'Assumption Sheet'!B$11*B53</f>
        <v>39831.219071341446</v>
      </c>
      <c r="F53" s="275">
        <f t="shared" si="9"/>
        <v>19777</v>
      </c>
      <c r="G53" s="299"/>
      <c r="H53" s="81"/>
      <c r="I53" s="82"/>
      <c r="J53" s="82"/>
      <c r="K53" s="253"/>
      <c r="L53" s="82">
        <f>SUM(B$2:B52)</f>
        <v>82220</v>
      </c>
      <c r="M53" s="300" t="e">
        <f>ROUNDDOWN(L53*'Assumption Sheet'!#REF!, 0)</f>
        <v>#REF!</v>
      </c>
      <c r="N53" s="301" t="e">
        <f>M53*'Assumption Sheet'!B$27</f>
        <v>#REF!</v>
      </c>
      <c r="O53" s="301" t="e">
        <f>M53*'Assumption Sheet'!E$17</f>
        <v>#REF!</v>
      </c>
      <c r="P53" s="301" t="e">
        <f t="shared" si="5"/>
        <v>#REF!</v>
      </c>
      <c r="Q53" s="111"/>
      <c r="R53" s="112"/>
      <c r="S53" s="112"/>
      <c r="T53" s="253"/>
      <c r="U53" s="301" t="e">
        <f t="shared" si="6"/>
        <v>#REF!</v>
      </c>
      <c r="V53" s="301" t="e">
        <f t="shared" si="7"/>
        <v>#REF!</v>
      </c>
      <c r="W53" s="301" t="e">
        <f t="shared" si="8"/>
        <v>#REF!</v>
      </c>
      <c r="X53" s="112"/>
      <c r="Y53" s="112"/>
      <c r="Z53" s="112"/>
    </row>
    <row r="54" spans="1:26" x14ac:dyDescent="0.2">
      <c r="A54" s="196">
        <v>53</v>
      </c>
      <c r="B54" s="297">
        <f>ROUNDDOWN(B53*(1+'Assumption Sheet'!E$3), 0)</f>
        <v>6423</v>
      </c>
      <c r="C54" s="81">
        <f>'Assumption Sheet'!B$12*B54</f>
        <v>234935.58536585365</v>
      </c>
      <c r="D54" s="81">
        <f>'Assumption Sheet'!B$10*B54</f>
        <v>197539.52557500004</v>
      </c>
      <c r="E54" s="298">
        <f>'Assumption Sheet'!B$11*B54</f>
        <v>42618.011010365837</v>
      </c>
      <c r="F54" s="275">
        <f t="shared" si="9"/>
        <v>13354</v>
      </c>
      <c r="G54" s="299"/>
      <c r="H54" s="81"/>
      <c r="I54" s="82"/>
      <c r="J54" s="82"/>
      <c r="K54" s="253"/>
      <c r="L54" s="82">
        <f>SUM(B$2:B53)</f>
        <v>88223</v>
      </c>
      <c r="M54" s="300" t="e">
        <f>ROUNDDOWN(L54*'Assumption Sheet'!#REF!, 0)</f>
        <v>#REF!</v>
      </c>
      <c r="N54" s="301" t="e">
        <f>M54*'Assumption Sheet'!B$27</f>
        <v>#REF!</v>
      </c>
      <c r="O54" s="301" t="e">
        <f>M54*'Assumption Sheet'!E$17</f>
        <v>#REF!</v>
      </c>
      <c r="P54" s="301" t="e">
        <f t="shared" si="5"/>
        <v>#REF!</v>
      </c>
      <c r="Q54" s="111"/>
      <c r="R54" s="112"/>
      <c r="S54" s="112"/>
      <c r="T54" s="253"/>
      <c r="U54" s="301" t="e">
        <f t="shared" si="6"/>
        <v>#REF!</v>
      </c>
      <c r="V54" s="301" t="e">
        <f t="shared" si="7"/>
        <v>#REF!</v>
      </c>
      <c r="W54" s="301" t="e">
        <f t="shared" si="8"/>
        <v>#REF!</v>
      </c>
      <c r="X54" s="112"/>
      <c r="Y54" s="112"/>
      <c r="Z54" s="112"/>
    </row>
    <row r="55" spans="1:26" x14ac:dyDescent="0.2">
      <c r="A55" s="196">
        <v>54</v>
      </c>
      <c r="B55" s="297">
        <f>ROUNDDOWN(B54*(1+'Assumption Sheet'!E$3), 0)</f>
        <v>6872</v>
      </c>
      <c r="C55" s="81">
        <f>'Assumption Sheet'!B$12*B55</f>
        <v>251358.76422764227</v>
      </c>
      <c r="D55" s="81">
        <f>'Assumption Sheet'!B$10*B55</f>
        <v>211348.53180000003</v>
      </c>
      <c r="E55" s="298">
        <f>'Assumption Sheet'!B$11*B55</f>
        <v>45597.224297560955</v>
      </c>
      <c r="F55" s="275">
        <f t="shared" si="9"/>
        <v>6482</v>
      </c>
      <c r="G55" s="299"/>
      <c r="H55" s="81"/>
      <c r="I55" s="82"/>
      <c r="J55" s="82"/>
      <c r="K55" s="253"/>
      <c r="L55" s="82">
        <f>SUM(B$2:B54)</f>
        <v>94646</v>
      </c>
      <c r="M55" s="300" t="e">
        <f>ROUNDDOWN(L55*'Assumption Sheet'!#REF!, 0)</f>
        <v>#REF!</v>
      </c>
      <c r="N55" s="301" t="e">
        <f>M55*'Assumption Sheet'!B$27</f>
        <v>#REF!</v>
      </c>
      <c r="O55" s="301" t="e">
        <f>M55*'Assumption Sheet'!E$17</f>
        <v>#REF!</v>
      </c>
      <c r="P55" s="301" t="e">
        <f t="shared" si="5"/>
        <v>#REF!</v>
      </c>
      <c r="Q55" s="111"/>
      <c r="R55" s="112"/>
      <c r="S55" s="112"/>
      <c r="T55" s="253"/>
      <c r="U55" s="301" t="e">
        <f t="shared" si="6"/>
        <v>#REF!</v>
      </c>
      <c r="V55" s="301" t="e">
        <f t="shared" si="7"/>
        <v>#REF!</v>
      </c>
      <c r="W55" s="301" t="e">
        <f t="shared" si="8"/>
        <v>#REF!</v>
      </c>
      <c r="X55" s="112"/>
      <c r="Y55" s="112"/>
      <c r="Z55" s="112"/>
    </row>
    <row r="56" spans="1:26" x14ac:dyDescent="0.2">
      <c r="A56" s="196">
        <v>55</v>
      </c>
      <c r="B56" s="297">
        <f>ROUNDDOWN(B55*(1+'Assumption Sheet'!E$3), 0)</f>
        <v>7353</v>
      </c>
      <c r="C56" s="81">
        <f>'Assumption Sheet'!B$12*B56</f>
        <v>268952.41463414632</v>
      </c>
      <c r="D56" s="81">
        <f>'Assumption Sheet'!B$10*B56</f>
        <v>226141.69882500003</v>
      </c>
      <c r="E56" s="298">
        <f>'Assumption Sheet'!B$11*B56</f>
        <v>48788.764589634127</v>
      </c>
      <c r="F56" s="275">
        <f t="shared" si="9"/>
        <v>-871</v>
      </c>
      <c r="G56" s="299"/>
      <c r="H56" s="81"/>
      <c r="I56" s="82"/>
      <c r="J56" s="82"/>
      <c r="K56" s="253"/>
      <c r="L56" s="82">
        <f>SUM(B$2:B55)</f>
        <v>101518</v>
      </c>
      <c r="M56" s="300" t="e">
        <f>ROUNDDOWN(L56*'Assumption Sheet'!#REF!, 0)</f>
        <v>#REF!</v>
      </c>
      <c r="N56" s="301" t="e">
        <f>M56*'Assumption Sheet'!B$27</f>
        <v>#REF!</v>
      </c>
      <c r="O56" s="301" t="e">
        <f>M56*'Assumption Sheet'!E$17</f>
        <v>#REF!</v>
      </c>
      <c r="P56" s="301" t="e">
        <f t="shared" si="5"/>
        <v>#REF!</v>
      </c>
      <c r="Q56" s="111"/>
      <c r="R56" s="112"/>
      <c r="S56" s="112"/>
      <c r="T56" s="253"/>
      <c r="U56" s="301" t="e">
        <f t="shared" si="6"/>
        <v>#REF!</v>
      </c>
      <c r="V56" s="301" t="e">
        <f t="shared" si="7"/>
        <v>#REF!</v>
      </c>
      <c r="W56" s="301" t="e">
        <f t="shared" si="8"/>
        <v>#REF!</v>
      </c>
      <c r="X56" s="112"/>
      <c r="Y56" s="112"/>
      <c r="Z56" s="112"/>
    </row>
    <row r="57" spans="1:26" x14ac:dyDescent="0.2">
      <c r="A57" s="196">
        <v>56</v>
      </c>
      <c r="B57" s="297">
        <f>ROUNDDOWN(B56*(1+'Assumption Sheet'!E$3), 0)</f>
        <v>7867</v>
      </c>
      <c r="C57" s="81">
        <f>'Assumption Sheet'!B$12*B57</f>
        <v>287753.11382113822</v>
      </c>
      <c r="D57" s="81">
        <f>'Assumption Sheet'!B$10*B57</f>
        <v>241949.78167500003</v>
      </c>
      <c r="E57" s="298">
        <f>'Assumption Sheet'!B$11*B57</f>
        <v>52199.267105487779</v>
      </c>
      <c r="F57" s="275">
        <f t="shared" si="9"/>
        <v>-8738</v>
      </c>
      <c r="G57" s="299"/>
      <c r="H57" s="81"/>
      <c r="I57" s="82"/>
      <c r="J57" s="82"/>
      <c r="K57" s="253"/>
      <c r="L57" s="82">
        <f>SUM(B$2:B56)</f>
        <v>108871</v>
      </c>
      <c r="M57" s="300" t="e">
        <f>ROUNDDOWN(L57*'Assumption Sheet'!#REF!, 0)</f>
        <v>#REF!</v>
      </c>
      <c r="N57" s="301" t="e">
        <f>M57*'Assumption Sheet'!B$27</f>
        <v>#REF!</v>
      </c>
      <c r="O57" s="301" t="e">
        <f>M57*'Assumption Sheet'!E$17</f>
        <v>#REF!</v>
      </c>
      <c r="P57" s="301" t="e">
        <f t="shared" si="5"/>
        <v>#REF!</v>
      </c>
      <c r="Q57" s="111"/>
      <c r="R57" s="112"/>
      <c r="S57" s="112"/>
      <c r="T57" s="253"/>
      <c r="U57" s="301" t="e">
        <f t="shared" si="6"/>
        <v>#REF!</v>
      </c>
      <c r="V57" s="301" t="e">
        <f t="shared" si="7"/>
        <v>#REF!</v>
      </c>
      <c r="W57" s="301" t="e">
        <f t="shared" si="8"/>
        <v>#REF!</v>
      </c>
      <c r="X57" s="112"/>
      <c r="Y57" s="112"/>
      <c r="Z57" s="112"/>
    </row>
    <row r="58" spans="1:26" x14ac:dyDescent="0.2">
      <c r="A58" s="196">
        <v>57</v>
      </c>
      <c r="B58" s="297">
        <f>ROUNDDOWN(B57*(1+'Assumption Sheet'!E$3), 0)</f>
        <v>8417</v>
      </c>
      <c r="C58" s="81">
        <f>'Assumption Sheet'!B$12*B58</f>
        <v>307870.59349593497</v>
      </c>
      <c r="D58" s="81">
        <f>'Assumption Sheet'!B$10*B58</f>
        <v>258865.04542500002</v>
      </c>
      <c r="E58" s="298">
        <f>'Assumption Sheet'!B$11*B58</f>
        <v>55848.637501829246</v>
      </c>
      <c r="F58" s="275">
        <f t="shared" si="9"/>
        <v>-17155</v>
      </c>
      <c r="G58" s="299">
        <v>50000</v>
      </c>
      <c r="H58" s="81">
        <f>G58*'Assumption Sheet'!B$10</f>
        <v>1537751.2500000002</v>
      </c>
      <c r="I58" s="82"/>
      <c r="J58" s="82"/>
      <c r="K58" s="253"/>
      <c r="L58" s="82">
        <f>SUM(B$2:B57)</f>
        <v>116738</v>
      </c>
      <c r="M58" s="300" t="e">
        <f>ROUNDDOWN(L58*'Assumption Sheet'!#REF!, 0)</f>
        <v>#REF!</v>
      </c>
      <c r="N58" s="301" t="e">
        <f>M58*'Assumption Sheet'!B$27</f>
        <v>#REF!</v>
      </c>
      <c r="O58" s="301" t="e">
        <f>M58*'Assumption Sheet'!E$17</f>
        <v>#REF!</v>
      </c>
      <c r="P58" s="301" t="e">
        <f t="shared" si="5"/>
        <v>#REF!</v>
      </c>
      <c r="Q58" s="111"/>
      <c r="R58" s="112"/>
      <c r="S58" s="112"/>
      <c r="T58" s="253"/>
      <c r="U58" s="301" t="e">
        <f t="shared" si="6"/>
        <v>#REF!</v>
      </c>
      <c r="V58" s="301" t="e">
        <f t="shared" si="7"/>
        <v>#REF!</v>
      </c>
      <c r="W58" s="301" t="e">
        <f t="shared" si="8"/>
        <v>#REF!</v>
      </c>
      <c r="X58" s="112"/>
      <c r="Y58" s="112"/>
      <c r="Z58" s="112"/>
    </row>
    <row r="59" spans="1:26" x14ac:dyDescent="0.2">
      <c r="A59" s="196">
        <v>58</v>
      </c>
      <c r="B59" s="297">
        <f>ROUNDDOWN(B58*(1+'Assumption Sheet'!E$3), 0)</f>
        <v>9006</v>
      </c>
      <c r="C59" s="81">
        <f>'Assumption Sheet'!B$12*B59</f>
        <v>329414.58536585368</v>
      </c>
      <c r="D59" s="81">
        <f>'Assumption Sheet'!B$10*B59</f>
        <v>276979.75515000004</v>
      </c>
      <c r="E59" s="298">
        <f>'Assumption Sheet'!B$11*B59</f>
        <v>59756.781435365825</v>
      </c>
      <c r="F59" s="275">
        <f t="shared" si="9"/>
        <v>23839</v>
      </c>
      <c r="G59" s="299"/>
      <c r="H59" s="81"/>
      <c r="I59" s="82"/>
      <c r="J59" s="82"/>
      <c r="K59" s="253"/>
      <c r="L59" s="82">
        <f>SUM(B$2:B58)</f>
        <v>125155</v>
      </c>
      <c r="M59" s="300" t="e">
        <f>ROUNDDOWN(L59*'Assumption Sheet'!#REF!, 0)</f>
        <v>#REF!</v>
      </c>
      <c r="N59" s="301" t="e">
        <f>M59*'Assumption Sheet'!B$27</f>
        <v>#REF!</v>
      </c>
      <c r="O59" s="301" t="e">
        <f>M59*'Assumption Sheet'!E$17</f>
        <v>#REF!</v>
      </c>
      <c r="P59" s="301" t="e">
        <f t="shared" si="5"/>
        <v>#REF!</v>
      </c>
      <c r="Q59" s="111"/>
      <c r="R59" s="112"/>
      <c r="S59" s="112"/>
      <c r="T59" s="253"/>
      <c r="U59" s="301" t="e">
        <f t="shared" si="6"/>
        <v>#REF!</v>
      </c>
      <c r="V59" s="301" t="e">
        <f t="shared" si="7"/>
        <v>#REF!</v>
      </c>
      <c r="W59" s="301" t="e">
        <f t="shared" si="8"/>
        <v>#REF!</v>
      </c>
      <c r="X59" s="112"/>
      <c r="Y59" s="112"/>
      <c r="Z59" s="112"/>
    </row>
    <row r="60" spans="1:26" x14ac:dyDescent="0.2">
      <c r="A60" s="196">
        <v>59</v>
      </c>
      <c r="B60" s="297">
        <f>ROUNDDOWN(B59*(1+'Assumption Sheet'!E$3), 0)</f>
        <v>9636</v>
      </c>
      <c r="C60" s="81">
        <f>'Assumption Sheet'!B$12*B60</f>
        <v>352458.24390243902</v>
      </c>
      <c r="D60" s="81">
        <f>'Assumption Sheet'!B$10*B60</f>
        <v>296355.42090000003</v>
      </c>
      <c r="E60" s="298">
        <f>'Assumption Sheet'!B$11*B60</f>
        <v>63936.969343902412</v>
      </c>
      <c r="F60" s="275">
        <f t="shared" si="9"/>
        <v>14203</v>
      </c>
      <c r="G60" s="299"/>
      <c r="H60" s="81"/>
      <c r="I60" s="82"/>
      <c r="J60" s="82"/>
      <c r="K60" s="253"/>
      <c r="L60" s="82">
        <f>SUM(B$2:B59)</f>
        <v>134161</v>
      </c>
      <c r="M60" s="300" t="e">
        <f>ROUNDDOWN(L60*'Assumption Sheet'!#REF!, 0)</f>
        <v>#REF!</v>
      </c>
      <c r="N60" s="301" t="e">
        <f>M60*'Assumption Sheet'!B$27</f>
        <v>#REF!</v>
      </c>
      <c r="O60" s="301" t="e">
        <f>M60*'Assumption Sheet'!E$17</f>
        <v>#REF!</v>
      </c>
      <c r="P60" s="301" t="e">
        <f t="shared" si="5"/>
        <v>#REF!</v>
      </c>
      <c r="Q60" s="111"/>
      <c r="R60" s="112"/>
      <c r="S60" s="112"/>
      <c r="T60" s="253"/>
      <c r="U60" s="301" t="e">
        <f t="shared" si="6"/>
        <v>#REF!</v>
      </c>
      <c r="V60" s="301" t="e">
        <f t="shared" si="7"/>
        <v>#REF!</v>
      </c>
      <c r="W60" s="301" t="e">
        <f t="shared" si="8"/>
        <v>#REF!</v>
      </c>
      <c r="X60" s="112"/>
      <c r="Y60" s="112"/>
      <c r="Z60" s="112"/>
    </row>
    <row r="61" spans="1:26" x14ac:dyDescent="0.2">
      <c r="A61" s="196">
        <v>60</v>
      </c>
      <c r="B61" s="297">
        <f>ROUNDDOWN(B60*(1+'Assumption Sheet'!E$3), 0)</f>
        <v>10310</v>
      </c>
      <c r="C61" s="81">
        <f>'Assumption Sheet'!B$12*B61</f>
        <v>377111.30081300816</v>
      </c>
      <c r="D61" s="81">
        <f>'Assumption Sheet'!B$10*B61</f>
        <v>317084.30775000004</v>
      </c>
      <c r="E61" s="298">
        <f>'Assumption Sheet'!B$11*B61</f>
        <v>68409.106884146313</v>
      </c>
      <c r="F61" s="275">
        <f t="shared" si="9"/>
        <v>3893</v>
      </c>
      <c r="G61" s="299"/>
      <c r="H61" s="81"/>
      <c r="I61" s="83">
        <f>SUM(B50:B61)</f>
        <v>87643</v>
      </c>
      <c r="J61" s="83">
        <f>SUM(C50:C61)</f>
        <v>3205738.674796748</v>
      </c>
      <c r="K61" s="253"/>
      <c r="L61" s="82">
        <f>SUM(B$2:B60)</f>
        <v>143797</v>
      </c>
      <c r="M61" s="300" t="e">
        <f>ROUNDDOWN(L61*'Assumption Sheet'!#REF!, 0)</f>
        <v>#REF!</v>
      </c>
      <c r="N61" s="301" t="e">
        <f>M61*'Assumption Sheet'!B$27</f>
        <v>#REF!</v>
      </c>
      <c r="O61" s="301" t="e">
        <f>M61*'Assumption Sheet'!E$17</f>
        <v>#REF!</v>
      </c>
      <c r="P61" s="301" t="e">
        <f t="shared" si="5"/>
        <v>#REF!</v>
      </c>
      <c r="Q61" s="111" t="e">
        <f>SUM(M50:M61)</f>
        <v>#REF!</v>
      </c>
      <c r="R61" s="112" t="e">
        <f>Q61*'Assumption Sheet'!E$16</f>
        <v>#REF!</v>
      </c>
      <c r="S61" s="112" t="e">
        <f>SUM(N50:N61)</f>
        <v>#REF!</v>
      </c>
      <c r="T61" s="253"/>
      <c r="U61" s="301" t="e">
        <f t="shared" si="6"/>
        <v>#REF!</v>
      </c>
      <c r="V61" s="301" t="e">
        <f t="shared" si="7"/>
        <v>#REF!</v>
      </c>
      <c r="W61" s="301" t="e">
        <f t="shared" si="8"/>
        <v>#REF!</v>
      </c>
      <c r="X61" s="112" t="e">
        <f>SUM(U50:U61)</f>
        <v>#REF!</v>
      </c>
      <c r="Y61" s="112" t="e">
        <f>SUM(V50:V61)</f>
        <v>#REF!</v>
      </c>
      <c r="Z61" s="112" t="e">
        <f>SUM(W50:W61)</f>
        <v>#REF!</v>
      </c>
    </row>
    <row r="62" spans="1:26" x14ac:dyDescent="0.2">
      <c r="B62" s="302"/>
      <c r="C62" s="85"/>
      <c r="D62" s="85"/>
      <c r="E62" s="303"/>
      <c r="F62" s="304"/>
      <c r="G62" s="253"/>
      <c r="H62" s="85"/>
      <c r="I62" s="253"/>
      <c r="J62" s="253"/>
      <c r="K62" s="253"/>
      <c r="L62" s="253"/>
      <c r="M62" s="253"/>
      <c r="N62" s="253"/>
      <c r="O62" s="253"/>
      <c r="P62" s="253"/>
      <c r="Q62" s="276"/>
      <c r="R62" s="253"/>
      <c r="S62" s="253"/>
      <c r="T62" s="253"/>
      <c r="U62" s="253"/>
      <c r="V62" s="253"/>
      <c r="W62" s="253"/>
      <c r="X62" s="253"/>
      <c r="Y62" s="253"/>
      <c r="Z62" s="253"/>
    </row>
    <row r="63" spans="1:26" x14ac:dyDescent="0.2">
      <c r="B63" s="302"/>
      <c r="C63" s="85"/>
      <c r="D63" s="85"/>
      <c r="E63" s="303"/>
      <c r="F63" s="304"/>
      <c r="G63" s="253"/>
      <c r="H63" s="85"/>
      <c r="I63" s="253"/>
      <c r="J63" s="253"/>
      <c r="K63" s="253"/>
      <c r="L63" s="253"/>
      <c r="M63" s="253"/>
      <c r="N63" s="253"/>
      <c r="O63" s="253"/>
      <c r="P63" s="253"/>
      <c r="Q63" s="253"/>
      <c r="R63" s="253"/>
      <c r="S63" s="253"/>
      <c r="T63" s="253"/>
      <c r="U63" s="253"/>
      <c r="V63" s="253"/>
      <c r="W63" s="253"/>
      <c r="X63" s="253"/>
      <c r="Y63" s="253"/>
      <c r="Z63" s="253"/>
    </row>
    <row r="64" spans="1:26" x14ac:dyDescent="0.2">
      <c r="B64" s="302"/>
      <c r="C64" s="85"/>
      <c r="D64" s="85"/>
      <c r="E64" s="303"/>
      <c r="F64" s="304"/>
      <c r="G64" s="253"/>
      <c r="H64" s="85"/>
      <c r="I64" s="253"/>
      <c r="J64" s="253"/>
      <c r="K64" s="253"/>
      <c r="L64" s="253"/>
      <c r="M64" s="253"/>
      <c r="N64" s="253"/>
      <c r="O64" s="253"/>
      <c r="P64" s="253"/>
      <c r="Q64" s="253"/>
      <c r="R64" s="253"/>
      <c r="S64" s="253"/>
      <c r="T64" s="253"/>
      <c r="U64" s="253"/>
      <c r="V64" s="253"/>
      <c r="W64" s="253"/>
      <c r="X64" s="253"/>
      <c r="Y64" s="253"/>
      <c r="Z64" s="253"/>
    </row>
    <row r="65" spans="2:8" x14ac:dyDescent="0.2">
      <c r="B65" s="302"/>
      <c r="C65" s="85"/>
      <c r="D65" s="85"/>
      <c r="E65" s="303"/>
      <c r="F65" s="304"/>
      <c r="G65" s="253"/>
      <c r="H65" s="85"/>
    </row>
    <row r="66" spans="2:8" x14ac:dyDescent="0.2">
      <c r="B66" s="302"/>
      <c r="C66" s="85"/>
      <c r="D66" s="85"/>
      <c r="E66" s="303"/>
      <c r="F66" s="304"/>
      <c r="G66" s="253"/>
      <c r="H66" s="85"/>
    </row>
  </sheetData>
  <conditionalFormatting sqref="P2:S61">
    <cfRule type="cellIs" dxfId="8" priority="2" operator="lessThan">
      <formula>0</formula>
    </cfRule>
  </conditionalFormatting>
  <conditionalFormatting sqref="W2:Z61">
    <cfRule type="cellIs" dxfId="7" priority="1" operator="lessThan">
      <formula>0</formula>
    </cfRule>
  </conditionalFormatting>
  <pageMargins left="0.7" right="0.7" top="0.75" bottom="0.75" header="0.3" footer="0.3"/>
  <legacyDrawing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D515F1-A123-4240-8171-5AAE456ABB9D}">
  <dimension ref="A1:F39"/>
  <sheetViews>
    <sheetView workbookViewId="0">
      <selection activeCell="D12" sqref="D12"/>
    </sheetView>
  </sheetViews>
  <sheetFormatPr baseColWidth="10" defaultColWidth="10.83203125" defaultRowHeight="13" x14ac:dyDescent="0.15"/>
  <cols>
    <col min="1" max="1" width="23.5" style="88" bestFit="1" customWidth="1"/>
    <col min="2" max="2" width="11.5" style="88" bestFit="1" customWidth="1"/>
    <col min="3" max="3" width="49" style="88" bestFit="1" customWidth="1"/>
    <col min="4" max="16384" width="10.83203125" style="88"/>
  </cols>
  <sheetData>
    <row r="1" spans="1:3" ht="16" x14ac:dyDescent="0.2">
      <c r="A1" s="372" t="s">
        <v>273</v>
      </c>
      <c r="B1" s="373" t="s">
        <v>274</v>
      </c>
      <c r="C1" s="374" t="s">
        <v>275</v>
      </c>
    </row>
    <row r="2" spans="1:3" x14ac:dyDescent="0.15">
      <c r="A2" s="360" t="s">
        <v>276</v>
      </c>
      <c r="B2" s="354">
        <v>3.29</v>
      </c>
      <c r="C2" s="364" t="s">
        <v>277</v>
      </c>
    </row>
    <row r="3" spans="1:3" x14ac:dyDescent="0.15">
      <c r="A3" s="361" t="s">
        <v>278</v>
      </c>
      <c r="B3" s="355">
        <v>1.66</v>
      </c>
      <c r="C3" s="365" t="s">
        <v>279</v>
      </c>
    </row>
    <row r="4" spans="1:3" x14ac:dyDescent="0.15">
      <c r="A4" s="360" t="s">
        <v>280</v>
      </c>
      <c r="B4" s="354">
        <v>0.57999999999999996</v>
      </c>
      <c r="C4" s="364" t="s">
        <v>281</v>
      </c>
    </row>
    <row r="5" spans="1:3" x14ac:dyDescent="0.15">
      <c r="A5" s="361" t="s">
        <v>282</v>
      </c>
      <c r="B5" s="355">
        <v>0.5</v>
      </c>
      <c r="C5" s="365" t="s">
        <v>283</v>
      </c>
    </row>
    <row r="6" spans="1:3" x14ac:dyDescent="0.15">
      <c r="A6" s="360" t="s">
        <v>284</v>
      </c>
      <c r="B6" s="354">
        <v>2.34</v>
      </c>
      <c r="C6" s="364" t="s">
        <v>285</v>
      </c>
    </row>
    <row r="7" spans="1:3" x14ac:dyDescent="0.15">
      <c r="A7" s="361" t="s">
        <v>286</v>
      </c>
      <c r="B7" s="355">
        <v>2.57</v>
      </c>
      <c r="C7" s="365" t="s">
        <v>287</v>
      </c>
    </row>
    <row r="8" spans="1:3" x14ac:dyDescent="0.15">
      <c r="A8" s="360" t="s">
        <v>288</v>
      </c>
      <c r="B8" s="354">
        <v>0.32</v>
      </c>
      <c r="C8" s="364" t="s">
        <v>289</v>
      </c>
    </row>
    <row r="9" spans="1:3" x14ac:dyDescent="0.15">
      <c r="A9" s="361" t="s">
        <v>290</v>
      </c>
      <c r="B9" s="355">
        <v>4.3</v>
      </c>
      <c r="C9" s="365" t="s">
        <v>291</v>
      </c>
    </row>
    <row r="10" spans="1:3" x14ac:dyDescent="0.15">
      <c r="A10" s="360" t="s">
        <v>292</v>
      </c>
      <c r="B10" s="354">
        <v>1.41</v>
      </c>
      <c r="C10" s="364" t="s">
        <v>293</v>
      </c>
    </row>
    <row r="11" spans="1:3" x14ac:dyDescent="0.15">
      <c r="A11" s="361" t="s">
        <v>294</v>
      </c>
      <c r="B11" s="355">
        <v>1.88</v>
      </c>
      <c r="C11" s="365" t="s">
        <v>295</v>
      </c>
    </row>
    <row r="12" spans="1:3" x14ac:dyDescent="0.15">
      <c r="A12" s="360" t="s">
        <v>296</v>
      </c>
      <c r="B12" s="354">
        <v>0.2</v>
      </c>
      <c r="C12" s="364" t="s">
        <v>297</v>
      </c>
    </row>
    <row r="13" spans="1:3" x14ac:dyDescent="0.15">
      <c r="A13" s="361" t="s">
        <v>298</v>
      </c>
      <c r="B13" s="355">
        <v>0.35</v>
      </c>
      <c r="C13" s="365" t="s">
        <v>299</v>
      </c>
    </row>
    <row r="14" spans="1:3" x14ac:dyDescent="0.15">
      <c r="A14" s="360" t="s">
        <v>300</v>
      </c>
      <c r="B14" s="354">
        <v>0.3</v>
      </c>
      <c r="C14" s="364" t="s">
        <v>301</v>
      </c>
    </row>
    <row r="15" spans="1:3" x14ac:dyDescent="0.15">
      <c r="A15" s="361" t="s">
        <v>302</v>
      </c>
      <c r="B15" s="355">
        <v>0.05</v>
      </c>
      <c r="C15" s="365" t="s">
        <v>303</v>
      </c>
    </row>
    <row r="16" spans="1:3" x14ac:dyDescent="0.15">
      <c r="A16" s="360" t="s">
        <v>304</v>
      </c>
      <c r="B16" s="354">
        <v>1.5</v>
      </c>
      <c r="C16" s="364" t="s">
        <v>291</v>
      </c>
    </row>
    <row r="17" spans="1:3" x14ac:dyDescent="0.15">
      <c r="A17" s="361" t="s">
        <v>305</v>
      </c>
      <c r="B17" s="355">
        <f>SUM(B2:B16, B18)*0.25</f>
        <v>5.3250000000000011</v>
      </c>
      <c r="C17" s="366"/>
    </row>
    <row r="18" spans="1:3" x14ac:dyDescent="0.15">
      <c r="A18" s="360" t="s">
        <v>306</v>
      </c>
      <c r="B18" s="354">
        <v>0.05</v>
      </c>
      <c r="C18" s="364" t="s">
        <v>307</v>
      </c>
    </row>
    <row r="19" spans="1:3" x14ac:dyDescent="0.15">
      <c r="A19" s="361"/>
      <c r="B19" s="355"/>
      <c r="C19" s="366"/>
    </row>
    <row r="20" spans="1:3" ht="16" x14ac:dyDescent="0.2">
      <c r="A20" s="362" t="s">
        <v>308</v>
      </c>
      <c r="B20" s="356">
        <f>SUM(B2:B19)</f>
        <v>26.625000000000004</v>
      </c>
      <c r="C20" s="367"/>
    </row>
    <row r="21" spans="1:3" ht="75" x14ac:dyDescent="0.15">
      <c r="A21" s="361" t="s">
        <v>309</v>
      </c>
      <c r="B21" s="355">
        <v>6.18</v>
      </c>
      <c r="C21" s="368" t="s">
        <v>310</v>
      </c>
    </row>
    <row r="22" spans="1:3" x14ac:dyDescent="0.15">
      <c r="A22" s="360" t="s">
        <v>311</v>
      </c>
      <c r="B22" s="354">
        <v>0.5</v>
      </c>
      <c r="C22" s="367" t="s">
        <v>312</v>
      </c>
    </row>
    <row r="23" spans="1:3" ht="16" x14ac:dyDescent="0.2">
      <c r="A23" s="359" t="s">
        <v>313</v>
      </c>
      <c r="B23" s="357">
        <f>B21*B22</f>
        <v>3.09</v>
      </c>
      <c r="C23" s="366"/>
    </row>
    <row r="24" spans="1:3" x14ac:dyDescent="0.15">
      <c r="A24" s="360" t="s">
        <v>314</v>
      </c>
      <c r="B24" s="354">
        <f>B23+B20</f>
        <v>29.715000000000003</v>
      </c>
      <c r="C24" s="367"/>
    </row>
    <row r="25" spans="1:3" x14ac:dyDescent="0.15">
      <c r="A25" s="361" t="s">
        <v>315</v>
      </c>
      <c r="B25" s="355">
        <f>B24*0.035</f>
        <v>1.0400250000000002</v>
      </c>
      <c r="C25" s="366"/>
    </row>
    <row r="26" spans="1:3" x14ac:dyDescent="0.15">
      <c r="A26" s="360"/>
      <c r="B26" s="354"/>
      <c r="C26" s="367"/>
    </row>
    <row r="27" spans="1:3" x14ac:dyDescent="0.15">
      <c r="A27" s="363" t="s">
        <v>316</v>
      </c>
      <c r="B27" s="358"/>
      <c r="C27" s="369" t="s">
        <v>317</v>
      </c>
    </row>
    <row r="28" spans="1:3" x14ac:dyDescent="0.15">
      <c r="A28" s="360"/>
      <c r="B28" s="354"/>
      <c r="C28" s="367"/>
    </row>
    <row r="29" spans="1:3" ht="16" x14ac:dyDescent="0.2">
      <c r="A29" s="359" t="s">
        <v>318</v>
      </c>
      <c r="B29" s="357">
        <f>SUM(B24:B27)</f>
        <v>30.755025000000003</v>
      </c>
      <c r="C29" s="370"/>
    </row>
    <row r="30" spans="1:3" x14ac:dyDescent="0.15">
      <c r="A30" s="360" t="s">
        <v>319</v>
      </c>
      <c r="B30" s="354">
        <v>0.19900000000000001</v>
      </c>
      <c r="C30" s="367"/>
    </row>
    <row r="31" spans="1:3" x14ac:dyDescent="0.15">
      <c r="A31" s="361" t="s">
        <v>320</v>
      </c>
      <c r="B31" s="355">
        <f>B29*B30</f>
        <v>6.120249975000001</v>
      </c>
      <c r="C31" s="366"/>
    </row>
    <row r="32" spans="1:3" x14ac:dyDescent="0.15">
      <c r="A32" s="360" t="s">
        <v>321</v>
      </c>
      <c r="B32" s="354">
        <f>(B29+B31)*0.23</f>
        <v>8.4813132442500017</v>
      </c>
      <c r="C32" s="367"/>
    </row>
    <row r="33" spans="1:6" x14ac:dyDescent="0.15">
      <c r="A33" s="361" t="s">
        <v>322</v>
      </c>
      <c r="B33" s="355">
        <f>B29+B31+B32</f>
        <v>45.356588219250007</v>
      </c>
      <c r="C33" s="366"/>
    </row>
    <row r="34" spans="1:6" ht="16" x14ac:dyDescent="0.2">
      <c r="A34" s="362" t="s">
        <v>323</v>
      </c>
      <c r="B34" s="356">
        <f>ROUNDUP(B33,0)-0.01</f>
        <v>45.99</v>
      </c>
      <c r="C34" s="367"/>
    </row>
    <row r="35" spans="1:6" ht="16" x14ac:dyDescent="0.2">
      <c r="A35" s="359" t="s">
        <v>324</v>
      </c>
      <c r="B35" s="357">
        <f>B34*100/123</f>
        <v>37.390243902439025</v>
      </c>
      <c r="C35" s="366"/>
    </row>
    <row r="36" spans="1:6" ht="16" x14ac:dyDescent="0.2">
      <c r="A36" s="362" t="s">
        <v>325</v>
      </c>
      <c r="B36" s="356">
        <f>B35-B29</f>
        <v>6.6352189024390213</v>
      </c>
      <c r="C36" s="371"/>
      <c r="E36" s="90"/>
      <c r="F36" s="91"/>
    </row>
    <row r="37" spans="1:6" ht="16" x14ac:dyDescent="0.2">
      <c r="A37" s="375" t="s">
        <v>326</v>
      </c>
      <c r="B37" s="376">
        <f>B34*23/123</f>
        <v>8.5997560975609755</v>
      </c>
      <c r="C37" s="377"/>
    </row>
    <row r="39" spans="1:6" ht="16" x14ac:dyDescent="0.2">
      <c r="A39" s="89"/>
      <c r="B39" s="91"/>
    </row>
  </sheetData>
  <hyperlinks>
    <hyperlink ref="C10" r:id="rId1" tooltip="Shenzhen Minewsemi Co.,Ltd." display="https://minewsemi.en.alibaba.com/minisiteentrance.html?from=detail&amp;productId=1600821627963" xr:uid="{A7A7A6BC-CF38-7D41-A71B-AE11AECB5C89}"/>
    <hyperlink ref="C2" r:id="rId2" xr:uid="{7FFCE682-5EC3-A84F-8833-9A700AC9188B}"/>
    <hyperlink ref="C11" r:id="rId3" tooltip="Changzhou Keling Power Technology Co., Ltd." display="https://czkeling.en.alibaba.com/minisiteentrance.html?from=detail&amp;productId=1600931976361" xr:uid="{37380C62-D94D-2A49-B161-27FFA5CAD4DE}"/>
    <hyperlink ref="C3" r:id="rId4" xr:uid="{79F3BE67-203B-3E47-B392-5B87BD15E10F}"/>
    <hyperlink ref="C5" r:id="rId5" xr:uid="{5AD882D3-CC16-BD47-A369-0580BC1C2128}"/>
    <hyperlink ref="C4" r:id="rId6" xr:uid="{C935E296-5FA5-0141-911C-13D98F33B4EB}"/>
    <hyperlink ref="C6" r:id="rId7" tooltip="Shenzhen Enerforce Technology Co., Ltd." xr:uid="{F60161A0-DC50-4946-92DC-8CAF96304CC0}"/>
    <hyperlink ref="C13" r:id="rId8" xr:uid="{FA42CC5F-F131-AC40-A50C-AF4FE8253F70}"/>
    <hyperlink ref="C15" r:id="rId9" tooltip="Shenzhen Changkeshun Technology Co., Ltd." xr:uid="{28C58A36-1C05-5144-A626-03C74BB4B261}"/>
    <hyperlink ref="C9" r:id="rId10" xr:uid="{8E37E20E-6F72-F741-8A02-4DA2C27EABB5}"/>
    <hyperlink ref="C8" r:id="rId11" xr:uid="{E01690D3-CE32-0044-981C-6E0CC65C19E1}"/>
    <hyperlink ref="C14" r:id="rId12" display="https://www.alibaba.com/product-detail/23mm-90dB-DC-5V-12V-24V_1600284210703.html?spm=a2700.galleryofferlist.p_offer.d_title.4d033672FBiWTA&amp;s=p" xr:uid="{56C6BC4F-0B01-694E-9503-ED236A0A2C0E}"/>
    <hyperlink ref="C18" r:id="rId13" tooltip="Dongguan Sovetl Special Rope &amp; Webbing Co., Ltd." xr:uid="{52D34034-4AAD-D840-A375-D2D67802EA1B}"/>
    <hyperlink ref="C7" r:id="rId14" tooltip="Shenzhen Frida LCD Co., Ltd." xr:uid="{DD624BAC-F619-4C4C-8938-911E9346F71F}"/>
    <hyperlink ref="C16" r:id="rId15" xr:uid="{25FAA8E4-6318-7E46-A745-F811F7CE9896}"/>
  </hyperlinks>
  <pageMargins left="0.7" right="0.7" top="0.75" bottom="0.75" header="0.3" footer="0.3"/>
  <tableParts count="1">
    <tablePart r:id="rId16"/>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0AE4B3A200F7514792E6A69CC6A97918" ma:contentTypeVersion="13" ma:contentTypeDescription="Create a new document." ma:contentTypeScope="" ma:versionID="f64693db25ba090eb37d6394701b412f">
  <xsd:schema xmlns:xsd="http://www.w3.org/2001/XMLSchema" xmlns:xs="http://www.w3.org/2001/XMLSchema" xmlns:p="http://schemas.microsoft.com/office/2006/metadata/properties" xmlns:ns2="52dc5b9d-bd4b-42c3-b217-1f0729e40c60" xmlns:ns3="d0a4a4a1-06a5-4dde-99c8-b56180da0eac" targetNamespace="http://schemas.microsoft.com/office/2006/metadata/properties" ma:root="true" ma:fieldsID="dbc144cf2d2aa3a63faff27a0f7bfa78" ns2:_="" ns3:_="">
    <xsd:import namespace="52dc5b9d-bd4b-42c3-b217-1f0729e40c60"/>
    <xsd:import namespace="d0a4a4a1-06a5-4dde-99c8-b56180da0eac"/>
    <xsd:element name="properties">
      <xsd:complexType>
        <xsd:sequence>
          <xsd:element name="documentManagement">
            <xsd:complexType>
              <xsd:all>
                <xsd:element ref="ns2:MediaServiceMetadata" minOccurs="0"/>
                <xsd:element ref="ns2:MediaServiceFastMetadata" minOccurs="0"/>
                <xsd:element ref="ns2:MediaServiceObjectDetectorVersions" minOccurs="0"/>
                <xsd:element ref="ns2:lcf76f155ced4ddcb4097134ff3c332f" minOccurs="0"/>
                <xsd:element ref="ns3:TaxCatchAll" minOccurs="0"/>
                <xsd:element ref="ns2:MediaServiceGenerationTime" minOccurs="0"/>
                <xsd:element ref="ns2:MediaServiceEventHashCode" minOccurs="0"/>
                <xsd:element ref="ns2:MediaServiceDateTaken" minOccurs="0"/>
                <xsd:element ref="ns2:MediaServiceLocation" minOccurs="0"/>
                <xsd:element ref="ns2:MediaServiceOCR" minOccurs="0"/>
                <xsd:element ref="ns2:MediaServiceSearchProperties"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52dc5b9d-bd4b-42c3-b217-1f0729e40c60"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bjectDetectorVersions" ma:index="10" nillable="true" ma:displayName="MediaServiceObjectDetectorVersions" ma:hidden="true" ma:indexed="true" ma:internalName="MediaServiceObjectDetectorVersions" ma:readOnly="true">
      <xsd:simpleType>
        <xsd:restriction base="dms:Text"/>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c6159e26-e387-4955-8c38-302e604e49cb" ma:termSetId="09814cd3-568e-fe90-9814-8d621ff8fb84" ma:anchorId="fba54fb3-c3e1-fe81-a776-ca4b69148c4d" ma:open="true" ma:isKeyword="false">
      <xsd:complexType>
        <xsd:sequence>
          <xsd:element ref="pc:Terms" minOccurs="0" maxOccurs="1"/>
        </xsd:sequence>
      </xsd:complex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DateTaken" ma:index="16" nillable="true" ma:displayName="MediaServiceDateTaken" ma:hidden="true" ma:indexed="true" ma:internalName="MediaServiceDateTaken" ma:readOnly="true">
      <xsd:simpleType>
        <xsd:restriction base="dms:Text"/>
      </xsd:simpleType>
    </xsd:element>
    <xsd:element name="MediaServiceLocation" ma:index="17" nillable="true" ma:displayName="Location" ma:indexed="true" ma:internalName="MediaServiceLocation" ma:readOnly="true">
      <xsd:simpleType>
        <xsd:restriction base="dms:Text"/>
      </xsd:simpleType>
    </xsd:element>
    <xsd:element name="MediaServiceOCR" ma:index="18" nillable="true" ma:displayName="Extracted Text" ma:internalName="MediaServiceOCR" ma:readOnly="true">
      <xsd:simpleType>
        <xsd:restriction base="dms:Note">
          <xsd:maxLength value="255"/>
        </xsd:restriction>
      </xsd:simpleType>
    </xsd:element>
    <xsd:element name="MediaServiceSearchProperties" ma:index="19" nillable="true" ma:displayName="MediaServiceSearchProperties" ma:hidden="true" ma:internalName="MediaServiceSearchProperties" ma:readOnly="true">
      <xsd:simpleType>
        <xsd:restriction base="dms:Note"/>
      </xsd:simpleType>
    </xsd:element>
    <xsd:element name="MediaLengthInSeconds" ma:index="20"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d0a4a4a1-06a5-4dde-99c8-b56180da0eac"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b1ac517f-63a4-40c6-a09e-132e3e2ed3ff}" ma:internalName="TaxCatchAll" ma:showField="CatchAllData" ma:web="d0a4a4a1-06a5-4dde-99c8-b56180da0eac">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52dc5b9d-bd4b-42c3-b217-1f0729e40c60">
      <Terms xmlns="http://schemas.microsoft.com/office/infopath/2007/PartnerControls"/>
    </lcf76f155ced4ddcb4097134ff3c332f>
    <TaxCatchAll xmlns="d0a4a4a1-06a5-4dde-99c8-b56180da0eac" xsi:nil="true"/>
  </documentManagement>
</p:properties>
</file>

<file path=customXml/itemProps1.xml><?xml version="1.0" encoding="utf-8"?>
<ds:datastoreItem xmlns:ds="http://schemas.openxmlformats.org/officeDocument/2006/customXml" ds:itemID="{2B091866-D7DE-4EC5-B7CD-D4F711B11246}">
  <ds:schemaRefs>
    <ds:schemaRef ds:uri="http://schemas.microsoft.com/sharepoint/v3/contenttype/forms"/>
  </ds:schemaRefs>
</ds:datastoreItem>
</file>

<file path=customXml/itemProps2.xml><?xml version="1.0" encoding="utf-8"?>
<ds:datastoreItem xmlns:ds="http://schemas.openxmlformats.org/officeDocument/2006/customXml" ds:itemID="{3E4E8214-041B-49EB-9E5F-3733A3E2E515}">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52dc5b9d-bd4b-42c3-b217-1f0729e40c60"/>
    <ds:schemaRef ds:uri="d0a4a4a1-06a5-4dde-99c8-b56180da0eac"/>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69F860CA-F64F-45B1-9926-453338A916F0}">
  <ds:schemaRefs>
    <ds:schemaRef ds:uri="http://schemas.microsoft.com/office/infopath/2007/PartnerControls"/>
    <ds:schemaRef ds:uri="http://schemas.microsoft.com/office/2006/documentManagement/types"/>
    <ds:schemaRef ds:uri="http://schemas.microsoft.com/office/2006/metadata/properties"/>
    <ds:schemaRef ds:uri="http://purl.org/dc/dcmitype/"/>
    <ds:schemaRef ds:uri="http://purl.org/dc/terms/"/>
    <ds:schemaRef ds:uri="http://purl.org/dc/elements/1.1/"/>
    <ds:schemaRef ds:uri="http://schemas.openxmlformats.org/package/2006/metadata/core-properties"/>
    <ds:schemaRef ds:uri="d0a4a4a1-06a5-4dde-99c8-b56180da0eac"/>
    <ds:schemaRef ds:uri="52dc5b9d-bd4b-42c3-b217-1f0729e40c60"/>
    <ds:schemaRef ds:uri="http://www.w3.org/XML/1998/namespace"/>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11</vt:i4>
      </vt:variant>
    </vt:vector>
  </HeadingPairs>
  <TitlesOfParts>
    <vt:vector size="11" baseType="lpstr">
      <vt:lpstr>How to use this template</vt:lpstr>
      <vt:lpstr>Set-up costs</vt:lpstr>
      <vt:lpstr>Additional Financial Accounts</vt:lpstr>
      <vt:lpstr>Profit and loss forecast</vt:lpstr>
      <vt:lpstr>P&amp;L for Handout</vt:lpstr>
      <vt:lpstr>Cash Flow</vt:lpstr>
      <vt:lpstr>Balance sheet forecast</vt:lpstr>
      <vt:lpstr>Assumption Sheet</vt:lpstr>
      <vt:lpstr>Sales Forecast CAGR</vt:lpstr>
      <vt:lpstr>Sales Forecast (7% Growth)</vt:lpstr>
      <vt:lpstr>Cost_calc</vt:lpstr>
    </vt:vector>
  </TitlesOfParts>
  <Manager/>
  <Company>Commonwealth Bank of Australia</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Financial Plan Template</dc:title>
  <dc:subject/>
  <dc:creator>the white agency</dc:creator>
  <cp:keywords/>
  <dc:description/>
  <cp:lastModifiedBy>Stilz, Vincent</cp:lastModifiedBy>
  <cp:revision/>
  <dcterms:created xsi:type="dcterms:W3CDTF">2007-07-23T04:50:59Z</dcterms:created>
  <dcterms:modified xsi:type="dcterms:W3CDTF">2024-04-13T10:52:55Z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0x0101000AE4B3A200F7514792E6A69CC6A97918</vt:lpwstr>
  </property>
  <property fmtid="{D5CDD505-2E9C-101B-9397-08002B2CF9AE}" pid="3" name="MediaServiceImageTags">
    <vt:lpwstr/>
  </property>
</Properties>
</file>