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t/Desktop/"/>
    </mc:Choice>
  </mc:AlternateContent>
  <xr:revisionPtr revIDLastSave="0" documentId="13_ncr:1_{60249787-C680-0C46-86EA-01D53477B43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ssumption Sheet" sheetId="12" r:id="rId1"/>
    <sheet name="Sales Forecast CAGR" sheetId="13" r:id="rId2"/>
    <sheet name="Cost_calc" sheetId="1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3" l="1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3" i="13"/>
  <c r="K4" i="13"/>
  <c r="K5" i="13"/>
  <c r="K6" i="13"/>
  <c r="K2" i="13"/>
  <c r="K17" i="12" l="1"/>
  <c r="K22" i="12" s="1"/>
  <c r="H18" i="12"/>
  <c r="H19" i="12" s="1"/>
  <c r="H17" i="12"/>
  <c r="E18" i="12"/>
  <c r="E19" i="12" s="1"/>
  <c r="E10" i="12" l="1"/>
  <c r="E11" i="12"/>
  <c r="E9" i="12"/>
  <c r="E5" i="12"/>
  <c r="B6" i="12"/>
  <c r="B7" i="13" l="1"/>
  <c r="B17" i="14"/>
  <c r="B23" i="14"/>
  <c r="L2" i="13"/>
  <c r="M2" i="13" s="1"/>
  <c r="L3" i="13"/>
  <c r="M3" i="13" s="1"/>
  <c r="L4" i="13"/>
  <c r="M4" i="13" s="1"/>
  <c r="L5" i="13"/>
  <c r="M5" i="13" s="1"/>
  <c r="L6" i="13"/>
  <c r="M6" i="13" s="1"/>
  <c r="B19" i="12"/>
  <c r="E17" i="12"/>
  <c r="B9" i="12"/>
  <c r="B12" i="12"/>
  <c r="K7" i="13" l="1"/>
  <c r="O6" i="13"/>
  <c r="S6" i="13"/>
  <c r="Q6" i="13"/>
  <c r="O2" i="13"/>
  <c r="Q2" i="13"/>
  <c r="S2" i="13"/>
  <c r="H22" i="12"/>
  <c r="H20" i="12" s="1"/>
  <c r="K18" i="12"/>
  <c r="E22" i="12"/>
  <c r="E20" i="12" s="1"/>
  <c r="O5" i="13"/>
  <c r="Q5" i="13"/>
  <c r="S5" i="13"/>
  <c r="S4" i="13"/>
  <c r="Q4" i="13"/>
  <c r="O4" i="13"/>
  <c r="S3" i="13"/>
  <c r="Q3" i="13"/>
  <c r="O3" i="13"/>
  <c r="B8" i="13"/>
  <c r="B9" i="13" s="1"/>
  <c r="B10" i="13" s="1"/>
  <c r="B11" i="13" s="1"/>
  <c r="B12" i="13" s="1"/>
  <c r="B13" i="13" s="1"/>
  <c r="L7" i="13"/>
  <c r="M7" i="13" s="1"/>
  <c r="F7" i="13"/>
  <c r="C7" i="13"/>
  <c r="B20" i="14"/>
  <c r="B24" i="14" s="1"/>
  <c r="K8" i="13" l="1"/>
  <c r="K9" i="13"/>
  <c r="K10" i="13"/>
  <c r="K11" i="13"/>
  <c r="K13" i="13"/>
  <c r="K12" i="13"/>
  <c r="U2" i="13"/>
  <c r="AB2" i="13" s="1"/>
  <c r="P5" i="13"/>
  <c r="K23" i="12"/>
  <c r="K19" i="12"/>
  <c r="N2" i="13"/>
  <c r="N4" i="13"/>
  <c r="N6" i="13"/>
  <c r="O7" i="13"/>
  <c r="N7" i="13"/>
  <c r="P7" i="13"/>
  <c r="S7" i="13"/>
  <c r="Q7" i="13"/>
  <c r="R7" i="13"/>
  <c r="N3" i="13"/>
  <c r="N5" i="13"/>
  <c r="P2" i="13"/>
  <c r="U6" i="13"/>
  <c r="AB6" i="13" s="1"/>
  <c r="P3" i="13"/>
  <c r="P4" i="13"/>
  <c r="P6" i="13"/>
  <c r="U4" i="13"/>
  <c r="AB4" i="13" s="1"/>
  <c r="U5" i="13"/>
  <c r="AB5" i="13" s="1"/>
  <c r="U3" i="13"/>
  <c r="AB3" i="13" s="1"/>
  <c r="B14" i="13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L12" i="13"/>
  <c r="L13" i="13"/>
  <c r="M13" i="13" s="1"/>
  <c r="L9" i="13"/>
  <c r="M9" i="13" s="1"/>
  <c r="L8" i="13"/>
  <c r="M8" i="13" s="1"/>
  <c r="C8" i="13"/>
  <c r="F8" i="13"/>
  <c r="F9" i="13" s="1"/>
  <c r="L11" i="13"/>
  <c r="L10" i="13"/>
  <c r="M10" i="13" s="1"/>
  <c r="B25" i="14"/>
  <c r="B29" i="14" s="1"/>
  <c r="C9" i="13"/>
  <c r="K21" i="13" l="1"/>
  <c r="K17" i="13"/>
  <c r="K34" i="13"/>
  <c r="L15" i="13"/>
  <c r="M15" i="13" s="1"/>
  <c r="K27" i="13"/>
  <c r="K14" i="13"/>
  <c r="K15" i="13"/>
  <c r="K16" i="13"/>
  <c r="L16" i="13"/>
  <c r="M16" i="13" s="1"/>
  <c r="P16" i="13" s="1"/>
  <c r="K22" i="13"/>
  <c r="K23" i="13"/>
  <c r="K24" i="13"/>
  <c r="K19" i="13"/>
  <c r="K20" i="13"/>
  <c r="K26" i="13"/>
  <c r="K18" i="13"/>
  <c r="K25" i="13"/>
  <c r="L18" i="13"/>
  <c r="M18" i="13" s="1"/>
  <c r="P18" i="13" s="1"/>
  <c r="U7" i="13"/>
  <c r="AB7" i="13" s="1"/>
  <c r="L20" i="13"/>
  <c r="M20" i="13" s="1"/>
  <c r="P20" i="13" s="1"/>
  <c r="L19" i="13"/>
  <c r="M19" i="13" s="1"/>
  <c r="S19" i="13" s="1"/>
  <c r="L17" i="13"/>
  <c r="M17" i="13" s="1"/>
  <c r="R17" i="13" s="1"/>
  <c r="L14" i="13"/>
  <c r="M14" i="13" s="1"/>
  <c r="S14" i="13" s="1"/>
  <c r="O18" i="13"/>
  <c r="T7" i="13"/>
  <c r="S9" i="13"/>
  <c r="R9" i="13"/>
  <c r="Q9" i="13"/>
  <c r="P9" i="13"/>
  <c r="N9" i="13"/>
  <c r="O9" i="13"/>
  <c r="Q8" i="13"/>
  <c r="O8" i="13"/>
  <c r="P8" i="13"/>
  <c r="N8" i="13"/>
  <c r="S8" i="13"/>
  <c r="R8" i="13"/>
  <c r="S10" i="13"/>
  <c r="R10" i="13"/>
  <c r="Q10" i="13"/>
  <c r="P10" i="13"/>
  <c r="N10" i="13"/>
  <c r="O10" i="13"/>
  <c r="Q16" i="13"/>
  <c r="S16" i="13"/>
  <c r="R16" i="13"/>
  <c r="O16" i="13"/>
  <c r="N16" i="13"/>
  <c r="Q15" i="13"/>
  <c r="R15" i="13"/>
  <c r="P15" i="13"/>
  <c r="O15" i="13"/>
  <c r="S15" i="13"/>
  <c r="N15" i="13"/>
  <c r="L25" i="13"/>
  <c r="M25" i="13" s="1"/>
  <c r="P13" i="13"/>
  <c r="N13" i="13"/>
  <c r="S13" i="13"/>
  <c r="R13" i="13"/>
  <c r="O13" i="13"/>
  <c r="Q13" i="13"/>
  <c r="L21" i="13"/>
  <c r="M21" i="13" s="1"/>
  <c r="R5" i="13"/>
  <c r="T5" i="13" s="1"/>
  <c r="R6" i="13"/>
  <c r="T6" i="13" s="1"/>
  <c r="R2" i="13"/>
  <c r="T2" i="13" s="1"/>
  <c r="R4" i="13"/>
  <c r="T4" i="13" s="1"/>
  <c r="R3" i="13"/>
  <c r="T3" i="13" s="1"/>
  <c r="M11" i="13"/>
  <c r="L22" i="13"/>
  <c r="M22" i="13" s="1"/>
  <c r="M12" i="13"/>
  <c r="L24" i="13"/>
  <c r="M24" i="13" s="1"/>
  <c r="L23" i="13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L26" i="13"/>
  <c r="W13" i="13"/>
  <c r="W25" i="13"/>
  <c r="F10" i="13"/>
  <c r="B31" i="14"/>
  <c r="B10" i="12"/>
  <c r="C10" i="13"/>
  <c r="K29" i="13" l="1"/>
  <c r="R18" i="13"/>
  <c r="K31" i="13"/>
  <c r="K32" i="13"/>
  <c r="S18" i="13"/>
  <c r="K33" i="13"/>
  <c r="K28" i="13"/>
  <c r="K35" i="13"/>
  <c r="K30" i="13"/>
  <c r="K36" i="13"/>
  <c r="K37" i="13"/>
  <c r="V7" i="13"/>
  <c r="P14" i="13"/>
  <c r="O14" i="13"/>
  <c r="R14" i="13"/>
  <c r="Q20" i="13"/>
  <c r="O19" i="13"/>
  <c r="N20" i="13"/>
  <c r="O20" i="13"/>
  <c r="R20" i="13"/>
  <c r="Q17" i="13"/>
  <c r="S17" i="13"/>
  <c r="Q19" i="13"/>
  <c r="S20" i="13"/>
  <c r="P19" i="13"/>
  <c r="N18" i="13"/>
  <c r="T18" i="13" s="1"/>
  <c r="N19" i="13"/>
  <c r="P17" i="13"/>
  <c r="N17" i="13"/>
  <c r="R19" i="13"/>
  <c r="Q18" i="13"/>
  <c r="Q14" i="13"/>
  <c r="O17" i="13"/>
  <c r="T9" i="13"/>
  <c r="N14" i="13"/>
  <c r="U9" i="13"/>
  <c r="AB9" i="13" s="1"/>
  <c r="T13" i="13"/>
  <c r="T10" i="13"/>
  <c r="V2" i="13"/>
  <c r="AA2" i="13"/>
  <c r="AC2" i="13" s="1"/>
  <c r="AA6" i="13"/>
  <c r="AC6" i="13" s="1"/>
  <c r="V6" i="13"/>
  <c r="AA5" i="13"/>
  <c r="AC5" i="13" s="1"/>
  <c r="V5" i="13"/>
  <c r="AA3" i="13"/>
  <c r="AC3" i="13" s="1"/>
  <c r="V3" i="13"/>
  <c r="H39" i="13"/>
  <c r="N11" i="13"/>
  <c r="S11" i="13"/>
  <c r="R11" i="13"/>
  <c r="Q11" i="13"/>
  <c r="P11" i="13"/>
  <c r="O11" i="13"/>
  <c r="Q21" i="13"/>
  <c r="R21" i="13"/>
  <c r="O21" i="13"/>
  <c r="N21" i="13"/>
  <c r="S21" i="13"/>
  <c r="P21" i="13"/>
  <c r="P25" i="13"/>
  <c r="S25" i="13"/>
  <c r="R25" i="13"/>
  <c r="O25" i="13"/>
  <c r="N25" i="13"/>
  <c r="Q25" i="13"/>
  <c r="U10" i="13"/>
  <c r="T8" i="13"/>
  <c r="Q22" i="13"/>
  <c r="S22" i="13"/>
  <c r="R22" i="13"/>
  <c r="P22" i="13"/>
  <c r="O22" i="13"/>
  <c r="N22" i="13"/>
  <c r="U15" i="13"/>
  <c r="T16" i="13"/>
  <c r="P24" i="13"/>
  <c r="Q24" i="13"/>
  <c r="S24" i="13"/>
  <c r="R24" i="13"/>
  <c r="O24" i="13"/>
  <c r="N24" i="13"/>
  <c r="U13" i="13"/>
  <c r="U16" i="13"/>
  <c r="U8" i="13"/>
  <c r="O12" i="13"/>
  <c r="S12" i="13"/>
  <c r="R12" i="13"/>
  <c r="Q12" i="13"/>
  <c r="P12" i="13"/>
  <c r="N12" i="13"/>
  <c r="AA4" i="13"/>
  <c r="AC4" i="13" s="1"/>
  <c r="V4" i="13"/>
  <c r="T15" i="13"/>
  <c r="M23" i="13"/>
  <c r="L33" i="13"/>
  <c r="M26" i="13"/>
  <c r="L30" i="13"/>
  <c r="L27" i="13"/>
  <c r="L46" i="13"/>
  <c r="L41" i="13"/>
  <c r="L31" i="13"/>
  <c r="L34" i="13"/>
  <c r="M34" i="13" s="1"/>
  <c r="L29" i="13"/>
  <c r="L36" i="13"/>
  <c r="L32" i="13"/>
  <c r="L54" i="13"/>
  <c r="L45" i="13"/>
  <c r="L35" i="13"/>
  <c r="M35" i="13" s="1"/>
  <c r="L58" i="13"/>
  <c r="M58" i="13" s="1"/>
  <c r="L59" i="13"/>
  <c r="L38" i="13"/>
  <c r="L56" i="13"/>
  <c r="L43" i="13"/>
  <c r="L42" i="13"/>
  <c r="L39" i="13"/>
  <c r="L44" i="13"/>
  <c r="L57" i="13"/>
  <c r="H25" i="13"/>
  <c r="L40" i="13"/>
  <c r="L61" i="13"/>
  <c r="M61" i="13" s="1"/>
  <c r="L55" i="13"/>
  <c r="M55" i="13" s="1"/>
  <c r="L47" i="13"/>
  <c r="M47" i="13" s="1"/>
  <c r="L37" i="13"/>
  <c r="L28" i="13"/>
  <c r="M28" i="13" s="1"/>
  <c r="L52" i="13"/>
  <c r="M52" i="13" s="1"/>
  <c r="L48" i="13"/>
  <c r="M48" i="13" s="1"/>
  <c r="L60" i="13"/>
  <c r="M60" i="13" s="1"/>
  <c r="L50" i="13"/>
  <c r="M50" i="13" s="1"/>
  <c r="L51" i="13"/>
  <c r="M51" i="13" s="1"/>
  <c r="L53" i="13"/>
  <c r="M53" i="13" s="1"/>
  <c r="L49" i="13"/>
  <c r="M49" i="13" s="1"/>
  <c r="B32" i="14"/>
  <c r="B33" i="14" s="1"/>
  <c r="B34" i="14" s="1"/>
  <c r="F11" i="13"/>
  <c r="C11" i="13"/>
  <c r="H6" i="13"/>
  <c r="H30" i="13"/>
  <c r="H36" i="13"/>
  <c r="H45" i="13"/>
  <c r="D10" i="13"/>
  <c r="H14" i="13"/>
  <c r="D11" i="13"/>
  <c r="D8" i="13"/>
  <c r="H52" i="13"/>
  <c r="D9" i="13"/>
  <c r="H58" i="13"/>
  <c r="D7" i="13"/>
  <c r="AA7" i="13" s="1"/>
  <c r="T20" i="13" l="1"/>
  <c r="U14" i="13"/>
  <c r="U18" i="13"/>
  <c r="T14" i="13"/>
  <c r="U19" i="13"/>
  <c r="U20" i="13"/>
  <c r="T17" i="13"/>
  <c r="T19" i="13"/>
  <c r="U17" i="13"/>
  <c r="AA9" i="13"/>
  <c r="AC9" i="13" s="1"/>
  <c r="V9" i="13"/>
  <c r="T22" i="13"/>
  <c r="V8" i="13"/>
  <c r="V10" i="13"/>
  <c r="AB10" i="13"/>
  <c r="U25" i="13"/>
  <c r="S49" i="13"/>
  <c r="R49" i="13"/>
  <c r="O49" i="13"/>
  <c r="N49" i="13"/>
  <c r="Q49" i="13"/>
  <c r="P49" i="13"/>
  <c r="T12" i="13"/>
  <c r="P35" i="13"/>
  <c r="S35" i="13"/>
  <c r="R35" i="13"/>
  <c r="O35" i="13"/>
  <c r="N35" i="13"/>
  <c r="Q35" i="13"/>
  <c r="P28" i="13"/>
  <c r="S28" i="13"/>
  <c r="R28" i="13"/>
  <c r="O28" i="13"/>
  <c r="N28" i="13"/>
  <c r="Q28" i="13"/>
  <c r="Q53" i="13"/>
  <c r="R53" i="13"/>
  <c r="O53" i="13"/>
  <c r="N53" i="13"/>
  <c r="P53" i="13"/>
  <c r="S53" i="13"/>
  <c r="P51" i="13"/>
  <c r="S51" i="13"/>
  <c r="R51" i="13"/>
  <c r="O51" i="13"/>
  <c r="N51" i="13"/>
  <c r="Q51" i="13"/>
  <c r="Q47" i="13"/>
  <c r="P47" i="13"/>
  <c r="N47" i="13"/>
  <c r="O47" i="13"/>
  <c r="S47" i="13"/>
  <c r="R47" i="13"/>
  <c r="Q55" i="13"/>
  <c r="R55" i="13"/>
  <c r="O55" i="13"/>
  <c r="P55" i="13"/>
  <c r="S55" i="13"/>
  <c r="N55" i="13"/>
  <c r="T24" i="13"/>
  <c r="U22" i="13"/>
  <c r="U11" i="13"/>
  <c r="P60" i="13"/>
  <c r="S60" i="13"/>
  <c r="R60" i="13"/>
  <c r="O60" i="13"/>
  <c r="N60" i="13"/>
  <c r="Q60" i="13"/>
  <c r="Q61" i="13"/>
  <c r="P61" i="13"/>
  <c r="S61" i="13"/>
  <c r="R61" i="13"/>
  <c r="O61" i="13"/>
  <c r="N61" i="13"/>
  <c r="P34" i="13"/>
  <c r="S34" i="13"/>
  <c r="R34" i="13"/>
  <c r="O34" i="13"/>
  <c r="N34" i="13"/>
  <c r="Q34" i="13"/>
  <c r="Q23" i="13"/>
  <c r="S23" i="13"/>
  <c r="O23" i="13"/>
  <c r="N23" i="13"/>
  <c r="R23" i="13"/>
  <c r="P23" i="13"/>
  <c r="U12" i="13"/>
  <c r="U24" i="13"/>
  <c r="T11" i="13"/>
  <c r="AA11" i="13" s="1"/>
  <c r="P52" i="13"/>
  <c r="S52" i="13"/>
  <c r="R52" i="13"/>
  <c r="O52" i="13"/>
  <c r="N52" i="13"/>
  <c r="Q52" i="13"/>
  <c r="Q26" i="13"/>
  <c r="S26" i="13"/>
  <c r="R26" i="13"/>
  <c r="P26" i="13"/>
  <c r="N26" i="13"/>
  <c r="O26" i="13"/>
  <c r="P50" i="13"/>
  <c r="S50" i="13"/>
  <c r="R50" i="13"/>
  <c r="O50" i="13"/>
  <c r="N50" i="13"/>
  <c r="Q50" i="13"/>
  <c r="Q48" i="13"/>
  <c r="P48" i="13"/>
  <c r="N48" i="13"/>
  <c r="R48" i="13"/>
  <c r="S48" i="13"/>
  <c r="O48" i="13"/>
  <c r="P58" i="13"/>
  <c r="S58" i="13"/>
  <c r="R58" i="13"/>
  <c r="O58" i="13"/>
  <c r="N58" i="13"/>
  <c r="Q58" i="13"/>
  <c r="AB8" i="13"/>
  <c r="T21" i="13"/>
  <c r="T25" i="13"/>
  <c r="U21" i="13"/>
  <c r="M45" i="13"/>
  <c r="M46" i="13"/>
  <c r="M37" i="13"/>
  <c r="M57" i="13"/>
  <c r="M38" i="13"/>
  <c r="M36" i="13"/>
  <c r="M27" i="13"/>
  <c r="M32" i="13"/>
  <c r="M44" i="13"/>
  <c r="M59" i="13"/>
  <c r="M30" i="13"/>
  <c r="M43" i="13"/>
  <c r="M31" i="13"/>
  <c r="M39" i="13"/>
  <c r="M29" i="13"/>
  <c r="M42" i="13"/>
  <c r="M33" i="13"/>
  <c r="M40" i="13"/>
  <c r="M56" i="13"/>
  <c r="M54" i="13"/>
  <c r="M41" i="13"/>
  <c r="W61" i="13"/>
  <c r="W37" i="13"/>
  <c r="W49" i="13"/>
  <c r="AA8" i="13"/>
  <c r="AA10" i="13"/>
  <c r="V13" i="13"/>
  <c r="B35" i="14"/>
  <c r="B36" i="14" s="1"/>
  <c r="B37" i="14"/>
  <c r="F12" i="13"/>
  <c r="AC7" i="13"/>
  <c r="D12" i="13"/>
  <c r="C12" i="13"/>
  <c r="AC10" i="13" l="1"/>
  <c r="U23" i="13"/>
  <c r="T55" i="13"/>
  <c r="T48" i="13"/>
  <c r="T58" i="13"/>
  <c r="U34" i="13"/>
  <c r="V11" i="13"/>
  <c r="T51" i="13"/>
  <c r="U53" i="13"/>
  <c r="U58" i="13"/>
  <c r="U26" i="13"/>
  <c r="AC8" i="13"/>
  <c r="T26" i="13"/>
  <c r="T35" i="13"/>
  <c r="T53" i="13"/>
  <c r="U28" i="13"/>
  <c r="Y13" i="13"/>
  <c r="Q45" i="13"/>
  <c r="S45" i="13"/>
  <c r="P45" i="13"/>
  <c r="R45" i="13"/>
  <c r="O45" i="13"/>
  <c r="N45" i="13"/>
  <c r="Q32" i="13"/>
  <c r="R32" i="13"/>
  <c r="O32" i="13"/>
  <c r="P32" i="13"/>
  <c r="N32" i="13"/>
  <c r="S32" i="13"/>
  <c r="T23" i="13"/>
  <c r="U51" i="13"/>
  <c r="U47" i="13"/>
  <c r="T49" i="13"/>
  <c r="AA12" i="13"/>
  <c r="S41" i="13"/>
  <c r="R41" i="13"/>
  <c r="O41" i="13"/>
  <c r="N41" i="13"/>
  <c r="Q41" i="13"/>
  <c r="P41" i="13"/>
  <c r="Q54" i="13"/>
  <c r="P54" i="13"/>
  <c r="N54" i="13"/>
  <c r="R54" i="13"/>
  <c r="O54" i="13"/>
  <c r="S54" i="13"/>
  <c r="P43" i="13"/>
  <c r="S43" i="13"/>
  <c r="R43" i="13"/>
  <c r="O43" i="13"/>
  <c r="N43" i="13"/>
  <c r="Q43" i="13"/>
  <c r="S57" i="13"/>
  <c r="R57" i="13"/>
  <c r="O57" i="13"/>
  <c r="N57" i="13"/>
  <c r="Q57" i="13"/>
  <c r="P57" i="13"/>
  <c r="U48" i="13"/>
  <c r="U50" i="13"/>
  <c r="U61" i="13"/>
  <c r="T60" i="13"/>
  <c r="S33" i="13"/>
  <c r="R33" i="13"/>
  <c r="O33" i="13"/>
  <c r="N33" i="13"/>
  <c r="Q33" i="13"/>
  <c r="P33" i="13"/>
  <c r="P42" i="13"/>
  <c r="S42" i="13"/>
  <c r="R42" i="13"/>
  <c r="O42" i="13"/>
  <c r="Q42" i="13"/>
  <c r="N42" i="13"/>
  <c r="P27" i="13"/>
  <c r="S27" i="13"/>
  <c r="R27" i="13"/>
  <c r="O27" i="13"/>
  <c r="N27" i="13"/>
  <c r="Q27" i="13"/>
  <c r="B11" i="12"/>
  <c r="E9" i="13" s="1"/>
  <c r="P36" i="13"/>
  <c r="S36" i="13"/>
  <c r="R36" i="13"/>
  <c r="O36" i="13"/>
  <c r="N36" i="13"/>
  <c r="Q36" i="13"/>
  <c r="U52" i="13"/>
  <c r="Q38" i="13"/>
  <c r="P38" i="13"/>
  <c r="R38" i="13"/>
  <c r="O38" i="13"/>
  <c r="S38" i="13"/>
  <c r="N38" i="13"/>
  <c r="T50" i="13"/>
  <c r="T61" i="13"/>
  <c r="T47" i="13"/>
  <c r="U49" i="13"/>
  <c r="AB11" i="13"/>
  <c r="AC11" i="13" s="1"/>
  <c r="Q56" i="13"/>
  <c r="R56" i="13"/>
  <c r="O56" i="13"/>
  <c r="P56" i="13"/>
  <c r="S56" i="13"/>
  <c r="N56" i="13"/>
  <c r="Q30" i="13"/>
  <c r="P30" i="13"/>
  <c r="N30" i="13"/>
  <c r="R30" i="13"/>
  <c r="O30" i="13"/>
  <c r="S30" i="13"/>
  <c r="Q37" i="13"/>
  <c r="R37" i="13"/>
  <c r="O37" i="13"/>
  <c r="N37" i="13"/>
  <c r="P37" i="13"/>
  <c r="S37" i="13"/>
  <c r="X13" i="13"/>
  <c r="U60" i="13"/>
  <c r="U55" i="13"/>
  <c r="P44" i="13"/>
  <c r="S44" i="13"/>
  <c r="R44" i="13"/>
  <c r="O44" i="13"/>
  <c r="N44" i="13"/>
  <c r="Q44" i="13"/>
  <c r="Q29" i="13"/>
  <c r="S29" i="13"/>
  <c r="P29" i="13"/>
  <c r="R29" i="13"/>
  <c r="O29" i="13"/>
  <c r="N29" i="13"/>
  <c r="T52" i="13"/>
  <c r="Q39" i="13"/>
  <c r="S39" i="13"/>
  <c r="O39" i="13"/>
  <c r="P39" i="13"/>
  <c r="R39" i="13"/>
  <c r="N39" i="13"/>
  <c r="T39" i="13" s="1"/>
  <c r="Q31" i="13"/>
  <c r="P31" i="13"/>
  <c r="N31" i="13"/>
  <c r="S31" i="13"/>
  <c r="R31" i="13"/>
  <c r="O31" i="13"/>
  <c r="U35" i="13"/>
  <c r="Q40" i="13"/>
  <c r="S40" i="13"/>
  <c r="R40" i="13"/>
  <c r="O40" i="13"/>
  <c r="P40" i="13"/>
  <c r="N40" i="13"/>
  <c r="P59" i="13"/>
  <c r="S59" i="13"/>
  <c r="R59" i="13"/>
  <c r="O59" i="13"/>
  <c r="N59" i="13"/>
  <c r="Q59" i="13"/>
  <c r="Q46" i="13"/>
  <c r="P46" i="13"/>
  <c r="S46" i="13"/>
  <c r="N46" i="13"/>
  <c r="R46" i="13"/>
  <c r="O46" i="13"/>
  <c r="V12" i="13"/>
  <c r="T34" i="13"/>
  <c r="T28" i="13"/>
  <c r="X25" i="13"/>
  <c r="F13" i="13"/>
  <c r="I13" i="13"/>
  <c r="AB12" i="13"/>
  <c r="C13" i="13"/>
  <c r="D13" i="13"/>
  <c r="E8" i="13" l="1"/>
  <c r="E11" i="13"/>
  <c r="E12" i="13"/>
  <c r="AC12" i="13"/>
  <c r="E7" i="13"/>
  <c r="T29" i="13"/>
  <c r="U39" i="13"/>
  <c r="U45" i="13"/>
  <c r="T59" i="13"/>
  <c r="T40" i="13"/>
  <c r="B13" i="12"/>
  <c r="U33" i="13"/>
  <c r="T57" i="13"/>
  <c r="E13" i="13"/>
  <c r="U40" i="13"/>
  <c r="T38" i="13"/>
  <c r="T27" i="13"/>
  <c r="T45" i="13"/>
  <c r="U30" i="13"/>
  <c r="U57" i="13"/>
  <c r="U46" i="13"/>
  <c r="U38" i="13"/>
  <c r="U54" i="13"/>
  <c r="U29" i="13"/>
  <c r="T44" i="13"/>
  <c r="T37" i="13"/>
  <c r="U36" i="13"/>
  <c r="T32" i="13"/>
  <c r="T31" i="13"/>
  <c r="U27" i="13"/>
  <c r="T41" i="13"/>
  <c r="U59" i="13"/>
  <c r="U41" i="13"/>
  <c r="T46" i="13"/>
  <c r="U44" i="13"/>
  <c r="U37" i="13"/>
  <c r="T43" i="13"/>
  <c r="T54" i="13"/>
  <c r="U42" i="13"/>
  <c r="U56" i="13"/>
  <c r="T30" i="13"/>
  <c r="T36" i="13"/>
  <c r="AA13" i="13"/>
  <c r="U31" i="13"/>
  <c r="T56" i="13"/>
  <c r="E10" i="13"/>
  <c r="T42" i="13"/>
  <c r="T33" i="13"/>
  <c r="U43" i="13"/>
  <c r="U32" i="13"/>
  <c r="F14" i="13"/>
  <c r="F15" i="13" s="1"/>
  <c r="J13" i="13"/>
  <c r="AB13" i="13"/>
  <c r="AE13" i="13" s="1"/>
  <c r="C14" i="13"/>
  <c r="D14" i="13"/>
  <c r="E14" i="13"/>
  <c r="AD13" i="13" l="1"/>
  <c r="X49" i="13"/>
  <c r="X61" i="13"/>
  <c r="X37" i="13"/>
  <c r="AC13" i="13"/>
  <c r="AF13" i="13" s="1"/>
  <c r="V14" i="13"/>
  <c r="AA14" i="13"/>
  <c r="AB14" i="13"/>
  <c r="F16" i="13"/>
  <c r="C15" i="13"/>
  <c r="D15" i="13"/>
  <c r="E15" i="13"/>
  <c r="AC14" i="13" l="1"/>
  <c r="V15" i="13"/>
  <c r="AB15" i="13"/>
  <c r="AA15" i="13"/>
  <c r="F17" i="13"/>
  <c r="C16" i="13"/>
  <c r="D16" i="13"/>
  <c r="E16" i="13"/>
  <c r="AC15" i="13" l="1"/>
  <c r="AA16" i="13"/>
  <c r="AB16" i="13"/>
  <c r="V16" i="13"/>
  <c r="F18" i="13"/>
  <c r="C17" i="13"/>
  <c r="D17" i="13"/>
  <c r="E17" i="13"/>
  <c r="AC16" i="13" l="1"/>
  <c r="AB17" i="13"/>
  <c r="AA17" i="13"/>
  <c r="V17" i="13"/>
  <c r="F19" i="13"/>
  <c r="C18" i="13"/>
  <c r="D18" i="13"/>
  <c r="E18" i="13"/>
  <c r="AC17" i="13" l="1"/>
  <c r="AB18" i="13"/>
  <c r="AA18" i="13"/>
  <c r="F20" i="13"/>
  <c r="C19" i="13"/>
  <c r="D19" i="13"/>
  <c r="E19" i="13"/>
  <c r="V18" i="13"/>
  <c r="H2" i="12" l="1"/>
  <c r="AC18" i="13"/>
  <c r="V19" i="13"/>
  <c r="AB19" i="13"/>
  <c r="AA19" i="13"/>
  <c r="F21" i="13"/>
  <c r="C20" i="13"/>
  <c r="D20" i="13"/>
  <c r="E20" i="13"/>
  <c r="AC19" i="13" l="1"/>
  <c r="AB20" i="13"/>
  <c r="AA20" i="13"/>
  <c r="F22" i="13"/>
  <c r="C21" i="13"/>
  <c r="D21" i="13"/>
  <c r="E21" i="13"/>
  <c r="V20" i="13"/>
  <c r="AA21" i="13" l="1"/>
  <c r="AB21" i="13"/>
  <c r="AC20" i="13"/>
  <c r="V21" i="13"/>
  <c r="F23" i="13"/>
  <c r="C22" i="13"/>
  <c r="D22" i="13"/>
  <c r="E22" i="13"/>
  <c r="AC21" i="13" l="1"/>
  <c r="V22" i="13"/>
  <c r="AA22" i="13"/>
  <c r="AB22" i="13"/>
  <c r="F24" i="13"/>
  <c r="C23" i="13"/>
  <c r="D23" i="13"/>
  <c r="E23" i="13"/>
  <c r="AA23" i="13" l="1"/>
  <c r="AB23" i="13"/>
  <c r="AC22" i="13"/>
  <c r="V23" i="13"/>
  <c r="F25" i="13"/>
  <c r="C24" i="13"/>
  <c r="D24" i="13"/>
  <c r="E24" i="13"/>
  <c r="AC23" i="13" l="1"/>
  <c r="AA24" i="13"/>
  <c r="V24" i="13"/>
  <c r="Y25" i="13"/>
  <c r="AB24" i="13"/>
  <c r="F26" i="13"/>
  <c r="C25" i="13"/>
  <c r="D25" i="13"/>
  <c r="E25" i="13"/>
  <c r="I25" i="13"/>
  <c r="AA25" i="13" l="1"/>
  <c r="AC24" i="13"/>
  <c r="V25" i="13"/>
  <c r="AB25" i="13"/>
  <c r="J25" i="13"/>
  <c r="F27" i="13"/>
  <c r="C26" i="13"/>
  <c r="D26" i="13"/>
  <c r="E26" i="13"/>
  <c r="AD25" i="13" l="1"/>
  <c r="AC25" i="13"/>
  <c r="AF25" i="13" s="1"/>
  <c r="AE25" i="13"/>
  <c r="AB26" i="13"/>
  <c r="AA26" i="13"/>
  <c r="V26" i="13"/>
  <c r="F28" i="13"/>
  <c r="C27" i="13"/>
  <c r="D27" i="13"/>
  <c r="E27" i="13"/>
  <c r="AC26" i="13" l="1"/>
  <c r="AB27" i="13"/>
  <c r="V27" i="13"/>
  <c r="AA27" i="13"/>
  <c r="F29" i="13"/>
  <c r="C28" i="13"/>
  <c r="D28" i="13"/>
  <c r="E28" i="13"/>
  <c r="AC27" i="13" l="1"/>
  <c r="AB28" i="13"/>
  <c r="V29" i="13"/>
  <c r="AA28" i="13"/>
  <c r="F30" i="13"/>
  <c r="C29" i="13"/>
  <c r="D29" i="13"/>
  <c r="E29" i="13"/>
  <c r="V28" i="13"/>
  <c r="AC28" i="13" l="1"/>
  <c r="AB29" i="13"/>
  <c r="AA29" i="13"/>
  <c r="F31" i="13"/>
  <c r="C30" i="13"/>
  <c r="D30" i="13"/>
  <c r="E30" i="13"/>
  <c r="AC29" i="13" l="1"/>
  <c r="AA30" i="13"/>
  <c r="V30" i="13"/>
  <c r="AB30" i="13"/>
  <c r="F32" i="13"/>
  <c r="C31" i="13"/>
  <c r="D31" i="13"/>
  <c r="E31" i="13"/>
  <c r="AC30" i="13" l="1"/>
  <c r="AB31" i="13"/>
  <c r="AA31" i="13"/>
  <c r="V31" i="13"/>
  <c r="F33" i="13"/>
  <c r="C32" i="13"/>
  <c r="D32" i="13"/>
  <c r="E32" i="13"/>
  <c r="AC31" i="13" l="1"/>
  <c r="AA32" i="13"/>
  <c r="V32" i="13"/>
  <c r="AB32" i="13"/>
  <c r="F34" i="13"/>
  <c r="C33" i="13"/>
  <c r="D33" i="13"/>
  <c r="E33" i="13"/>
  <c r="AB33" i="13" l="1"/>
  <c r="V33" i="13"/>
  <c r="AC32" i="13"/>
  <c r="AA33" i="13"/>
  <c r="F35" i="13"/>
  <c r="C34" i="13"/>
  <c r="D34" i="13"/>
  <c r="E34" i="13"/>
  <c r="AC33" i="13" l="1"/>
  <c r="V34" i="13"/>
  <c r="AA34" i="13"/>
  <c r="AB34" i="13"/>
  <c r="F36" i="13"/>
  <c r="C35" i="13"/>
  <c r="D35" i="13"/>
  <c r="E35" i="13"/>
  <c r="AC34" i="13" l="1"/>
  <c r="AB35" i="13"/>
  <c r="V35" i="13"/>
  <c r="AA35" i="13"/>
  <c r="F37" i="13"/>
  <c r="C36" i="13"/>
  <c r="D36" i="13"/>
  <c r="E36" i="13"/>
  <c r="AC35" i="13" l="1"/>
  <c r="V36" i="13"/>
  <c r="AA36" i="13"/>
  <c r="Y37" i="13"/>
  <c r="AB36" i="13"/>
  <c r="F38" i="13"/>
  <c r="C37" i="13"/>
  <c r="D37" i="13"/>
  <c r="E37" i="13"/>
  <c r="I37" i="13"/>
  <c r="AC36" i="13" l="1"/>
  <c r="AA37" i="13"/>
  <c r="AD37" i="13" s="1"/>
  <c r="AB37" i="13"/>
  <c r="J37" i="13"/>
  <c r="F39" i="13"/>
  <c r="C38" i="13"/>
  <c r="D38" i="13"/>
  <c r="E38" i="13"/>
  <c r="V37" i="13"/>
  <c r="AC37" i="13" l="1"/>
  <c r="AF37" i="13" s="1"/>
  <c r="AE37" i="13"/>
  <c r="AA38" i="13"/>
  <c r="V38" i="13"/>
  <c r="AB38" i="13"/>
  <c r="F40" i="13"/>
  <c r="C39" i="13"/>
  <c r="D39" i="13"/>
  <c r="E39" i="13"/>
  <c r="AC38" i="13" l="1"/>
  <c r="V39" i="13"/>
  <c r="AA39" i="13"/>
  <c r="AB39" i="13"/>
  <c r="F41" i="13"/>
  <c r="C40" i="13"/>
  <c r="D40" i="13"/>
  <c r="E40" i="13"/>
  <c r="AC39" i="13" l="1"/>
  <c r="AA40" i="13"/>
  <c r="AB40" i="13"/>
  <c r="F42" i="13"/>
  <c r="C41" i="13"/>
  <c r="D41" i="13"/>
  <c r="E41" i="13"/>
  <c r="V40" i="13"/>
  <c r="AC40" i="13" l="1"/>
  <c r="V41" i="13"/>
  <c r="AB41" i="13"/>
  <c r="AA41" i="13"/>
  <c r="F43" i="13"/>
  <c r="C42" i="13"/>
  <c r="D42" i="13"/>
  <c r="E42" i="13"/>
  <c r="AB42" i="13" l="1"/>
  <c r="AA42" i="13"/>
  <c r="AC41" i="13"/>
  <c r="V42" i="13"/>
  <c r="F44" i="13"/>
  <c r="C43" i="13"/>
  <c r="D43" i="13"/>
  <c r="E43" i="13"/>
  <c r="AA43" i="13" l="1"/>
  <c r="AC42" i="13"/>
  <c r="V43" i="13"/>
  <c r="AB43" i="13"/>
  <c r="AC43" i="13" s="1"/>
  <c r="F45" i="13"/>
  <c r="C44" i="13"/>
  <c r="D44" i="13"/>
  <c r="E44" i="13"/>
  <c r="V44" i="13" l="1"/>
  <c r="AA44" i="13"/>
  <c r="AB44" i="13"/>
  <c r="F46" i="13"/>
  <c r="C45" i="13"/>
  <c r="AB45" i="13" s="1"/>
  <c r="D45" i="13"/>
  <c r="E45" i="13"/>
  <c r="V45" i="13" l="1"/>
  <c r="AC44" i="13"/>
  <c r="AA45" i="13"/>
  <c r="AC45" i="13" s="1"/>
  <c r="F47" i="13"/>
  <c r="C46" i="13"/>
  <c r="D46" i="13"/>
  <c r="E46" i="13"/>
  <c r="V46" i="13" l="1"/>
  <c r="AA46" i="13"/>
  <c r="AB46" i="13"/>
  <c r="F48" i="13"/>
  <c r="C47" i="13"/>
  <c r="D47" i="13"/>
  <c r="E47" i="13"/>
  <c r="AC46" i="13" l="1"/>
  <c r="V47" i="13"/>
  <c r="AB47" i="13"/>
  <c r="AA47" i="13"/>
  <c r="F49" i="13"/>
  <c r="C48" i="13"/>
  <c r="D48" i="13"/>
  <c r="E48" i="13"/>
  <c r="AB48" i="13" l="1"/>
  <c r="AA48" i="13"/>
  <c r="F50" i="13"/>
  <c r="C49" i="13"/>
  <c r="D49" i="13"/>
  <c r="E49" i="13"/>
  <c r="I49" i="13"/>
  <c r="Y49" i="13"/>
  <c r="V48" i="13"/>
  <c r="AC47" i="13"/>
  <c r="AC48" i="13" l="1"/>
  <c r="AB49" i="13"/>
  <c r="AE49" i="13" s="1"/>
  <c r="J49" i="13"/>
  <c r="AA49" i="13"/>
  <c r="AD49" i="13" s="1"/>
  <c r="V49" i="13"/>
  <c r="F51" i="13"/>
  <c r="C50" i="13"/>
  <c r="D50" i="13"/>
  <c r="E50" i="13"/>
  <c r="AC49" i="13" l="1"/>
  <c r="AF49" i="13" s="1"/>
  <c r="AA50" i="13"/>
  <c r="AB50" i="13"/>
  <c r="F52" i="13"/>
  <c r="C51" i="13"/>
  <c r="D51" i="13"/>
  <c r="E51" i="13"/>
  <c r="V50" i="13"/>
  <c r="AB51" i="13" l="1"/>
  <c r="AC50" i="13"/>
  <c r="F53" i="13"/>
  <c r="C52" i="13"/>
  <c r="D52" i="13"/>
  <c r="E52" i="13"/>
  <c r="AA51" i="13"/>
  <c r="V51" i="13"/>
  <c r="AC51" i="13" l="1"/>
  <c r="V52" i="13"/>
  <c r="AA52" i="13"/>
  <c r="AB52" i="13"/>
  <c r="F54" i="13"/>
  <c r="C53" i="13"/>
  <c r="D53" i="13"/>
  <c r="E53" i="13"/>
  <c r="V53" i="13" l="1"/>
  <c r="AC52" i="13"/>
  <c r="AA53" i="13"/>
  <c r="AB53" i="13"/>
  <c r="F55" i="13"/>
  <c r="C54" i="13"/>
  <c r="D54" i="13"/>
  <c r="E54" i="13"/>
  <c r="AB54" i="13" l="1"/>
  <c r="AC53" i="13"/>
  <c r="AA54" i="13"/>
  <c r="V54" i="13"/>
  <c r="F56" i="13"/>
  <c r="C55" i="13"/>
  <c r="D55" i="13"/>
  <c r="E55" i="13"/>
  <c r="AC54" i="13" l="1"/>
  <c r="V55" i="13"/>
  <c r="AB55" i="13"/>
  <c r="AA55" i="13"/>
  <c r="F57" i="13"/>
  <c r="C56" i="13"/>
  <c r="D56" i="13"/>
  <c r="E56" i="13"/>
  <c r="AC55" i="13" l="1"/>
  <c r="V56" i="13"/>
  <c r="AA56" i="13"/>
  <c r="AB56" i="13"/>
  <c r="F58" i="13"/>
  <c r="C57" i="13"/>
  <c r="D57" i="13"/>
  <c r="E57" i="13"/>
  <c r="AC56" i="13" l="1"/>
  <c r="V57" i="13"/>
  <c r="AB57" i="13"/>
  <c r="AA57" i="13"/>
  <c r="F59" i="13"/>
  <c r="C58" i="13"/>
  <c r="AB58" i="13" s="1"/>
  <c r="D58" i="13"/>
  <c r="E58" i="13"/>
  <c r="AC57" i="13" l="1"/>
  <c r="AA58" i="13"/>
  <c r="AC58" i="13" s="1"/>
  <c r="V58" i="13"/>
  <c r="F60" i="13"/>
  <c r="C59" i="13"/>
  <c r="D59" i="13"/>
  <c r="E59" i="13"/>
  <c r="AB59" i="13" l="1"/>
  <c r="AA59" i="13"/>
  <c r="V59" i="13"/>
  <c r="F61" i="13"/>
  <c r="C60" i="13"/>
  <c r="D60" i="13"/>
  <c r="E60" i="13"/>
  <c r="AC59" i="13" l="1"/>
  <c r="AB60" i="13"/>
  <c r="AA60" i="13"/>
  <c r="V60" i="13"/>
  <c r="Y61" i="13"/>
  <c r="C61" i="13"/>
  <c r="J61" i="13" s="1"/>
  <c r="D61" i="13"/>
  <c r="E61" i="13"/>
  <c r="I61" i="13"/>
  <c r="AC60" i="13" l="1"/>
  <c r="AA61" i="13"/>
  <c r="AD61" i="13" s="1"/>
  <c r="V61" i="13"/>
  <c r="AB61" i="13"/>
  <c r="AC61" i="13" l="1"/>
  <c r="AF61" i="13" s="1"/>
  <c r="AE6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tc={4553D5FD-D79F-5C4A-B8CC-0B2D98691E4F}</author>
    <author>tc={78B767EB-52C5-0148-8B63-09CAB5062F5F}</author>
    <author>tc={403A1340-1329-6F41-8CE8-C7C8BE6199B9}</author>
  </authors>
  <commentList>
    <comment ref="F1" authorId="0" shapeId="0" xr:uid="{4553D5FD-D79F-5C4A-B8CC-0B2D98691E4F}">
      <text>
        <t>[Threaded comment]
Your version of Excel allows you to read this threaded comment; however, any edits to it will get removed if the file is opened in a newer version of Excel. Learn more: https://go.microsoft.com/fwlink/?linkid=870924
Comment:
    @Stilz, Vincent Die spalte sieht nicht ganz richtig aus</t>
      </text>
    </comment>
    <comment ref="Y13" authorId="1" shapeId="0" xr:uid="{78B767EB-52C5-0148-8B63-09CAB5062F5F}">
      <text>
        <t>[Threaded comment]
Your version of Excel allows you to read this threaded comment; however, any edits to it will get removed if the file is opened in a newer version of Excel. Learn more: https://go.microsoft.com/fwlink/?linkid=870924
Comment:
    @Stilz, Vincent genau um den Betrag geht die Summe nicht auf! Der wird entweder garnicht oder doppelt berücksichtigt</t>
      </text>
    </comment>
    <comment ref="X25" authorId="2" shapeId="0" xr:uid="{403A1340-1329-6F41-8CE8-C7C8BE6199B9}">
      <text>
        <t>[Threaded comment]
Your version of Excel allows you to read this threaded comment; however, any edits to it will get removed if the file is opened in a newer version of Excel. Learn more: https://go.microsoft.com/fwlink/?linkid=870924
Comment:
    Habe das von e17 zu e18 geändert</t>
      </text>
    </comment>
  </commentList>
</comments>
</file>

<file path=xl/sharedStrings.xml><?xml version="1.0" encoding="utf-8"?>
<sst xmlns="http://schemas.openxmlformats.org/spreadsheetml/2006/main" count="153" uniqueCount="138">
  <si>
    <t>Month</t>
  </si>
  <si>
    <t>Year 1</t>
  </si>
  <si>
    <t>Year 2</t>
  </si>
  <si>
    <t>Year 3</t>
  </si>
  <si>
    <t>Market Size</t>
  </si>
  <si>
    <t xml:space="preserve">Sales Forecast </t>
  </si>
  <si>
    <t>Logistical Cost</t>
  </si>
  <si>
    <t>SOM Size</t>
  </si>
  <si>
    <t>First Month Sales</t>
  </si>
  <si>
    <t>Cost per Unit</t>
  </si>
  <si>
    <t xml:space="preserve">Product Price </t>
  </si>
  <si>
    <t xml:space="preserve">Monthly Growth </t>
  </si>
  <si>
    <t>Cummulated Percentage of SOM that would buy at that price (based on survey)</t>
  </si>
  <si>
    <t>CAGR Smart Luggage</t>
  </si>
  <si>
    <t>Share of SOM captured in first 5 years</t>
  </si>
  <si>
    <t>Montly growth using CAGR</t>
  </si>
  <si>
    <t xml:space="preserve">Cummulated Sales to be achieved in first 5 years </t>
  </si>
  <si>
    <t>Growth with Seed Funding</t>
  </si>
  <si>
    <t>Costs</t>
  </si>
  <si>
    <t>Product Price</t>
  </si>
  <si>
    <t>Monthly Year 1</t>
  </si>
  <si>
    <t xml:space="preserve">Our total Cost </t>
  </si>
  <si>
    <t xml:space="preserve">Gross Product Margin </t>
  </si>
  <si>
    <t>Monthly Year 3</t>
  </si>
  <si>
    <t>Product Price excl. VAT</t>
  </si>
  <si>
    <t>Gross Product Margin %</t>
  </si>
  <si>
    <t>Data &amp; Subscription</t>
  </si>
  <si>
    <r>
      <rPr>
        <b/>
        <sz val="14"/>
        <color theme="1"/>
        <rFont val="Aptos Narrow (Body)"/>
      </rPr>
      <t>Private Subscription</t>
    </r>
    <r>
      <rPr>
        <sz val="10"/>
        <rFont val="Arial"/>
        <family val="2"/>
      </rPr>
      <t xml:space="preserve"> </t>
    </r>
  </si>
  <si>
    <t xml:space="preserve">Business Subscription </t>
  </si>
  <si>
    <t>Pay per Day</t>
  </si>
  <si>
    <t xml:space="preserve">Cost per SIM </t>
  </si>
  <si>
    <t>Subscription Price / Year (incl. VAT)</t>
  </si>
  <si>
    <t>Price per Activtaion (incl. VAT)</t>
  </si>
  <si>
    <t>Cost per MB</t>
  </si>
  <si>
    <t>Subscription Price / Month (incl. VAT)</t>
  </si>
  <si>
    <t>Price per Activation (excl. VAT)</t>
  </si>
  <si>
    <t>Data usage per Minute the Tag is activated (in MB)</t>
  </si>
  <si>
    <t>Subscription Price / Year (excl. VAT)</t>
  </si>
  <si>
    <t>Average Cost / Month / Tag</t>
  </si>
  <si>
    <t>Cost per Travel Day</t>
  </si>
  <si>
    <t>Subscription Price / Month (excl. VAT)</t>
  </si>
  <si>
    <t xml:space="preserve">Subscription Margin </t>
  </si>
  <si>
    <t xml:space="preserve">Active Days per Month </t>
  </si>
  <si>
    <t>Allowed Travel Days per Month</t>
  </si>
  <si>
    <t xml:space="preserve">Activation per Month </t>
  </si>
  <si>
    <t>Avergage Revenue per Month</t>
  </si>
  <si>
    <t>Average Cost per Month</t>
  </si>
  <si>
    <t>Warranty rate</t>
  </si>
  <si>
    <t>Subscriber Split</t>
  </si>
  <si>
    <t>Total Subscription Rate</t>
  </si>
  <si>
    <t>Private Subscription Rate (as Share of Total)</t>
  </si>
  <si>
    <t>Business Subscription Rate (as Share of Total)</t>
  </si>
  <si>
    <t>Pay per Day Rate (as Share of Total)</t>
  </si>
  <si>
    <t>Sales (Unit)</t>
  </si>
  <si>
    <t xml:space="preserve">Revenue </t>
  </si>
  <si>
    <t>COGS (€)</t>
  </si>
  <si>
    <t>Product Margin (€)</t>
  </si>
  <si>
    <t>EOM Stock (Units)</t>
  </si>
  <si>
    <t>Restocking Orders (Units)</t>
  </si>
  <si>
    <t>Cost per Order (€)</t>
  </si>
  <si>
    <t>Sales per year (Units)</t>
  </si>
  <si>
    <t>Product Revenue per Year</t>
  </si>
  <si>
    <t>Total Sim</t>
  </si>
  <si>
    <t>Active SIM</t>
  </si>
  <si>
    <t>Cost Privat</t>
  </si>
  <si>
    <t>Revenue Privat</t>
  </si>
  <si>
    <t xml:space="preserve">Cost Business </t>
  </si>
  <si>
    <t>Revenue Business</t>
  </si>
  <si>
    <t>Cost Pay per Day</t>
  </si>
  <si>
    <t>Revenue Pay per Day</t>
  </si>
  <si>
    <t xml:space="preserve">Total SIM cost </t>
  </si>
  <si>
    <t>Total Subscribtion Revenue</t>
  </si>
  <si>
    <t>Total Subsription Margin</t>
  </si>
  <si>
    <t>Active SIM per Year</t>
  </si>
  <si>
    <t>Subscription Revenue per Year</t>
  </si>
  <si>
    <t>Total SIM Cost per Year</t>
  </si>
  <si>
    <t xml:space="preserve">Total COGS </t>
  </si>
  <si>
    <t>Total Revenue</t>
  </si>
  <si>
    <t>Gross Margin</t>
  </si>
  <si>
    <t>Total COGS per Year</t>
  </si>
  <si>
    <t>Total Revenue per Year</t>
  </si>
  <si>
    <t>Gross Margin per Year</t>
  </si>
  <si>
    <t>Component</t>
  </si>
  <si>
    <t xml:space="preserve">Cost </t>
  </si>
  <si>
    <t>Link Source</t>
  </si>
  <si>
    <t>GPS Module</t>
  </si>
  <si>
    <t>Shenzhen hapchuang Technology Co.,Ltd</t>
  </si>
  <si>
    <t>Cellular Module</t>
  </si>
  <si>
    <t>Shenzhen Lorida Technology Co., Ltd.</t>
  </si>
  <si>
    <t>Antenna</t>
  </si>
  <si>
    <t>Guangzhou Huadu Datang Communication Antenna Factory</t>
  </si>
  <si>
    <t>CPU</t>
  </si>
  <si>
    <t>Shenzhen Chenpeng Trading Co., Ltd.</t>
  </si>
  <si>
    <t>Battery</t>
  </si>
  <si>
    <t>Shenzhen Enerforce Technology Co., Ltd.</t>
  </si>
  <si>
    <t>Screen</t>
  </si>
  <si>
    <t>Shenzhen Frida LCD Co., Ltd.</t>
  </si>
  <si>
    <t>NFC</t>
  </si>
  <si>
    <t>Guangzhou Youyue Electronic Technology Co., Ltd.</t>
  </si>
  <si>
    <t>Case</t>
  </si>
  <si>
    <t>Rommel Präzsisonsteile GmbH</t>
  </si>
  <si>
    <t>BTLE</t>
  </si>
  <si>
    <t>Shenzhen Minewsemi Co.,Ltd.</t>
  </si>
  <si>
    <t>Micro load cell sensor</t>
  </si>
  <si>
    <t>Changzhou Keling Power Technology Co., Ltd.</t>
  </si>
  <si>
    <t xml:space="preserve">SIM Card </t>
  </si>
  <si>
    <t>Onomondo Pro Plan</t>
  </si>
  <si>
    <t>SIM Card Slot</t>
  </si>
  <si>
    <t>ShenZhen XinNanTian Technology CO.,LTD</t>
  </si>
  <si>
    <t>Audio</t>
  </si>
  <si>
    <t>Guangzhou Yueneng Technology Co., Ltd.</t>
  </si>
  <si>
    <t>PCB</t>
  </si>
  <si>
    <t>Shenzhen Changkeshun Technology Co., Ltd.</t>
  </si>
  <si>
    <t>Lock Mechanism</t>
  </si>
  <si>
    <t>Misc</t>
  </si>
  <si>
    <t>Sling</t>
  </si>
  <si>
    <t>Dongguan Sovetl Special Rope &amp; Webbing Co., Ltd.</t>
  </si>
  <si>
    <t>Component Cost Total:</t>
  </si>
  <si>
    <t>Labour cost / hour:</t>
  </si>
  <si>
    <t>Statista. (2022). Manufacturing labor costs per hour: China, Vietnam, Mexico 2016-202. Available at: https://www.statista.com/statistics/744071/manufacturing-labor-costs-per-hour-china-vietnam-mexico/(Accessed: 12 October 2023).</t>
  </si>
  <si>
    <t>Hours per Product</t>
  </si>
  <si>
    <t>Syntegon Technology GmbH</t>
  </si>
  <si>
    <t xml:space="preserve">Labour Cost Total: </t>
  </si>
  <si>
    <t>Total OEM costbase</t>
  </si>
  <si>
    <t>OEM Margin: 3.5%</t>
  </si>
  <si>
    <t>Shipping cost:</t>
  </si>
  <si>
    <t>Not in the cost, goes seperatly into the P&amp;L</t>
  </si>
  <si>
    <t>Our Total Cost</t>
  </si>
  <si>
    <t>Our gross margin %</t>
  </si>
  <si>
    <t>Interim gross prodcut margin in €</t>
  </si>
  <si>
    <t>VAT 23%</t>
  </si>
  <si>
    <t>Price</t>
  </si>
  <si>
    <t>Final Price incl. VAT</t>
  </si>
  <si>
    <t>Final Price excl. VAT</t>
  </si>
  <si>
    <t>Final Gross Product Margin</t>
  </si>
  <si>
    <t>Final VAT</t>
  </si>
  <si>
    <t>Aggregated Tag Sales per Month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</si>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</sst>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(&quot;€&quot;* #,##0.00_);_(&quot;€&quot;* \(#,##0.00\);_(&quot;€&quot;* &quot;-&quot;??_);_(@_)"/>
    <numFmt numFmtId="172" formatCode="_-[$€-2]\ * #,##0.00_-;\-[$€-2]\ * #,##0.00_-;_-[$€-2]\ * &quot;-&quot;??_-;_-@_-"/>
    <numFmt numFmtId="173" formatCode="_-[$€-2]\ * #,##0.0000_-;\-[$€-2]\ * #,##0.0000_-;_-[$€-2]\ * &quot;-&quot;??_-;_-@_-"/>
    <numFmt numFmtId="174" formatCode="_-[$€-2]\ * #,##0.0000_-;\-[$€-2]\ * #,##0.0000_-;_-[$€-2]\ * &quot;-&quot;????_-;_-@_-"/>
    <numFmt numFmtId="175" formatCode="_-* #,##0_-;\-* #,##0_-;_-* &quot;-&quot;??_-;_-@_-"/>
    <numFmt numFmtId="176" formatCode="0.000"/>
    <numFmt numFmtId="177" formatCode="_(* #,##0_);_(* \(#,##0\);_(* &quot;-&quot;??_);_(@_)"/>
    <numFmt numFmtId="180" formatCode="_-[$€-2]\ * #,##0.00000_-;\-[$€-2]\ * #,##0.00000_-;_-[$€-2]\ * &quot;-&quot;??_-;_-@_-"/>
    <numFmt numFmtId="181" formatCode="_-* #,##0.00\ _€_-;\-* #,##0.00\ _€_-;_-* &quot;-&quot;??\ _€_-;_-@_-"/>
  </numFmts>
  <fonts count="17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ptos Narrow (Body)"/>
    </font>
    <font>
      <u/>
      <sz val="10"/>
      <color theme="10"/>
      <name val="Arial"/>
      <family val="2"/>
    </font>
    <font>
      <sz val="11"/>
      <color rgb="FF000000"/>
      <name val="Times New Roman"/>
      <family val="1"/>
    </font>
    <font>
      <sz val="12"/>
      <color rgb="FF000000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164" fontId="5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2"/>
    <xf numFmtId="0" fontId="0" fillId="0" borderId="3" xfId="2" applyFont="1" applyBorder="1"/>
    <xf numFmtId="4" fontId="2" fillId="0" borderId="4" xfId="2" applyNumberFormat="1" applyBorder="1"/>
    <xf numFmtId="0" fontId="2" fillId="0" borderId="3" xfId="2" applyBorder="1"/>
    <xf numFmtId="0" fontId="2" fillId="0" borderId="4" xfId="2" applyBorder="1"/>
    <xf numFmtId="172" fontId="0" fillId="0" borderId="4" xfId="3" applyNumberFormat="1" applyFont="1" applyBorder="1"/>
    <xf numFmtId="0" fontId="2" fillId="0" borderId="5" xfId="2" applyBorder="1"/>
    <xf numFmtId="0" fontId="2" fillId="0" borderId="3" xfId="2" applyBorder="1" applyAlignment="1">
      <alignment horizontal="left" vertical="top" wrapText="1"/>
    </xf>
    <xf numFmtId="9" fontId="0" fillId="0" borderId="4" xfId="4" applyFont="1" applyBorder="1"/>
    <xf numFmtId="0" fontId="2" fillId="0" borderId="3" xfId="2" applyBorder="1" applyAlignment="1">
      <alignment wrapText="1"/>
    </xf>
    <xf numFmtId="0" fontId="2" fillId="0" borderId="5" xfId="2" applyBorder="1" applyAlignment="1">
      <alignment wrapText="1"/>
    </xf>
    <xf numFmtId="164" fontId="0" fillId="0" borderId="6" xfId="5" applyFont="1" applyBorder="1"/>
    <xf numFmtId="172" fontId="2" fillId="0" borderId="4" xfId="2" applyNumberFormat="1" applyBorder="1"/>
    <xf numFmtId="10" fontId="0" fillId="0" borderId="6" xfId="4" applyNumberFormat="1" applyFont="1" applyBorder="1"/>
    <xf numFmtId="174" fontId="2" fillId="0" borderId="6" xfId="2" applyNumberFormat="1" applyBorder="1"/>
    <xf numFmtId="172" fontId="2" fillId="0" borderId="0" xfId="2" applyNumberFormat="1"/>
    <xf numFmtId="3" fontId="2" fillId="0" borderId="0" xfId="2" applyNumberFormat="1"/>
    <xf numFmtId="165" fontId="0" fillId="0" borderId="0" xfId="3" applyFont="1"/>
    <xf numFmtId="165" fontId="2" fillId="0" borderId="0" xfId="2" applyNumberFormat="1"/>
    <xf numFmtId="1" fontId="2" fillId="0" borderId="0" xfId="2" applyNumberFormat="1"/>
    <xf numFmtId="0" fontId="0" fillId="0" borderId="0" xfId="6" applyFont="1"/>
    <xf numFmtId="0" fontId="6" fillId="0" borderId="0" xfId="6" applyFont="1"/>
    <xf numFmtId="0" fontId="3" fillId="0" borderId="0" xfId="6" applyFont="1"/>
    <xf numFmtId="2" fontId="0" fillId="0" borderId="0" xfId="6" applyNumberFormat="1" applyFont="1"/>
    <xf numFmtId="0" fontId="9" fillId="0" borderId="0" xfId="7"/>
    <xf numFmtId="2" fontId="6" fillId="0" borderId="0" xfId="6" applyNumberFormat="1" applyFont="1"/>
    <xf numFmtId="0" fontId="0" fillId="2" borderId="0" xfId="6" applyFont="1" applyFill="1"/>
    <xf numFmtId="2" fontId="0" fillId="2" borderId="0" xfId="6" applyNumberFormat="1" applyFont="1" applyFill="1"/>
    <xf numFmtId="10" fontId="0" fillId="0" borderId="0" xfId="8" applyNumberFormat="1" applyFont="1"/>
    <xf numFmtId="0" fontId="6" fillId="0" borderId="0" xfId="2" applyFont="1" applyAlignment="1">
      <alignment horizontal="center"/>
    </xf>
    <xf numFmtId="176" fontId="11" fillId="0" borderId="6" xfId="0" applyNumberFormat="1" applyFont="1" applyBorder="1"/>
    <xf numFmtId="176" fontId="2" fillId="0" borderId="4" xfId="2" applyNumberFormat="1" applyBorder="1"/>
    <xf numFmtId="176" fontId="11" fillId="0" borderId="4" xfId="0" applyNumberFormat="1" applyFont="1" applyBorder="1"/>
    <xf numFmtId="0" fontId="2" fillId="0" borderId="6" xfId="2" applyBorder="1"/>
    <xf numFmtId="173" fontId="2" fillId="0" borderId="6" xfId="2" applyNumberFormat="1" applyBorder="1"/>
    <xf numFmtId="0" fontId="6" fillId="0" borderId="1" xfId="2" applyFont="1" applyBorder="1" applyAlignment="1">
      <alignment wrapText="1"/>
    </xf>
    <xf numFmtId="174" fontId="2" fillId="0" borderId="4" xfId="2" applyNumberFormat="1" applyBorder="1"/>
    <xf numFmtId="0" fontId="2" fillId="0" borderId="1" xfId="2" applyBorder="1"/>
    <xf numFmtId="0" fontId="2" fillId="0" borderId="2" xfId="2" applyBorder="1"/>
    <xf numFmtId="0" fontId="1" fillId="0" borderId="5" xfId="2" applyFont="1" applyBorder="1"/>
    <xf numFmtId="165" fontId="2" fillId="0" borderId="6" xfId="2" applyNumberFormat="1" applyBorder="1"/>
    <xf numFmtId="180" fontId="2" fillId="0" borderId="0" xfId="2" applyNumberFormat="1"/>
    <xf numFmtId="0" fontId="1" fillId="0" borderId="0" xfId="2" applyFont="1"/>
    <xf numFmtId="9" fontId="2" fillId="0" borderId="0" xfId="2" applyNumberFormat="1"/>
    <xf numFmtId="9" fontId="2" fillId="0" borderId="4" xfId="2" applyNumberFormat="1" applyBorder="1"/>
    <xf numFmtId="9" fontId="2" fillId="0" borderId="8" xfId="2" applyNumberFormat="1" applyBorder="1"/>
    <xf numFmtId="9" fontId="2" fillId="0" borderId="6" xfId="2" applyNumberFormat="1" applyBorder="1"/>
    <xf numFmtId="0" fontId="1" fillId="0" borderId="4" xfId="2" applyFont="1" applyBorder="1"/>
    <xf numFmtId="0" fontId="1" fillId="0" borderId="3" xfId="2" applyFont="1" applyBorder="1" applyAlignment="1">
      <alignment wrapText="1"/>
    </xf>
    <xf numFmtId="172" fontId="1" fillId="0" borderId="4" xfId="2" applyNumberFormat="1" applyFont="1" applyBorder="1"/>
    <xf numFmtId="0" fontId="1" fillId="0" borderId="3" xfId="2" applyFont="1" applyBorder="1"/>
    <xf numFmtId="9" fontId="1" fillId="0" borderId="4" xfId="9" applyFont="1" applyBorder="1"/>
    <xf numFmtId="0" fontId="1" fillId="0" borderId="5" xfId="2" applyFont="1" applyBorder="1" applyAlignment="1">
      <alignment wrapText="1"/>
    </xf>
    <xf numFmtId="174" fontId="1" fillId="0" borderId="6" xfId="2" applyNumberFormat="1" applyFont="1" applyBorder="1"/>
    <xf numFmtId="10" fontId="1" fillId="0" borderId="4" xfId="9" applyNumberFormat="1" applyFont="1" applyBorder="1"/>
    <xf numFmtId="0" fontId="1" fillId="0" borderId="7" xfId="2" applyFont="1" applyBorder="1" applyAlignment="1">
      <alignment wrapText="1"/>
    </xf>
    <xf numFmtId="0" fontId="1" fillId="0" borderId="7" xfId="2" applyFont="1" applyBorder="1"/>
    <xf numFmtId="0" fontId="1" fillId="0" borderId="2" xfId="2" applyFont="1" applyBorder="1"/>
    <xf numFmtId="164" fontId="1" fillId="0" borderId="0" xfId="1" applyFont="1"/>
    <xf numFmtId="181" fontId="2" fillId="0" borderId="0" xfId="2" applyNumberFormat="1"/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13" fillId="0" borderId="1" xfId="2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8" fillId="0" borderId="1" xfId="2" applyFont="1" applyBorder="1" applyAlignment="1">
      <alignment horizontal="center" vertical="top" wrapText="1"/>
    </xf>
    <xf numFmtId="0" fontId="8" fillId="0" borderId="2" xfId="2" applyFont="1" applyBorder="1" applyAlignment="1">
      <alignment horizontal="center" vertical="top" wrapText="1"/>
    </xf>
    <xf numFmtId="0" fontId="10" fillId="0" borderId="0" xfId="6" applyFont="1" applyAlignment="1">
      <alignment horizontal="left" vertical="center" wrapText="1" readingOrder="1"/>
    </xf>
    <xf numFmtId="0" fontId="15" fillId="3" borderId="0" xfId="2" applyFont="1" applyFill="1" applyAlignment="1">
      <alignment horizontal="center"/>
    </xf>
    <xf numFmtId="0" fontId="15" fillId="3" borderId="0" xfId="2" applyFont="1" applyFill="1"/>
    <xf numFmtId="0" fontId="14" fillId="3" borderId="0" xfId="2" applyFont="1" applyFill="1"/>
    <xf numFmtId="0" fontId="6" fillId="4" borderId="9" xfId="2" applyFont="1" applyFill="1" applyBorder="1" applyAlignment="1">
      <alignment horizontal="center"/>
    </xf>
    <xf numFmtId="3" fontId="2" fillId="4" borderId="9" xfId="2" applyNumberFormat="1" applyFill="1" applyBorder="1"/>
    <xf numFmtId="165" fontId="0" fillId="4" borderId="9" xfId="3" applyFont="1" applyFill="1" applyBorder="1"/>
    <xf numFmtId="165" fontId="2" fillId="4" borderId="9" xfId="2" applyNumberFormat="1" applyFill="1" applyBorder="1"/>
    <xf numFmtId="1" fontId="2" fillId="4" borderId="9" xfId="2" applyNumberFormat="1" applyFill="1" applyBorder="1"/>
    <xf numFmtId="0" fontId="2" fillId="4" borderId="9" xfId="2" applyFill="1" applyBorder="1"/>
    <xf numFmtId="175" fontId="6" fillId="4" borderId="9" xfId="5" applyNumberFormat="1" applyFont="1" applyFill="1" applyBorder="1"/>
    <xf numFmtId="0" fontId="1" fillId="4" borderId="9" xfId="2" applyFont="1" applyFill="1" applyBorder="1"/>
    <xf numFmtId="175" fontId="0" fillId="4" borderId="9" xfId="5" applyNumberFormat="1" applyFont="1" applyFill="1" applyBorder="1"/>
    <xf numFmtId="175" fontId="2" fillId="4" borderId="9" xfId="2" applyNumberFormat="1" applyFill="1" applyBorder="1"/>
    <xf numFmtId="172" fontId="2" fillId="4" borderId="9" xfId="2" applyNumberFormat="1" applyFill="1" applyBorder="1"/>
    <xf numFmtId="177" fontId="6" fillId="4" borderId="9" xfId="1" applyNumberFormat="1" applyFont="1" applyFill="1" applyBorder="1"/>
    <xf numFmtId="172" fontId="6" fillId="4" borderId="9" xfId="2" applyNumberFormat="1" applyFont="1" applyFill="1" applyBorder="1"/>
    <xf numFmtId="1" fontId="1" fillId="4" borderId="9" xfId="2" applyNumberFormat="1" applyFont="1" applyFill="1" applyBorder="1"/>
    <xf numFmtId="172" fontId="1" fillId="4" borderId="9" xfId="2" applyNumberFormat="1" applyFont="1" applyFill="1" applyBorder="1"/>
    <xf numFmtId="0" fontId="6" fillId="5" borderId="0" xfId="2" applyFont="1" applyFill="1" applyAlignment="1">
      <alignment horizontal="center"/>
    </xf>
    <xf numFmtId="0" fontId="2" fillId="5" borderId="0" xfId="2" applyFill="1"/>
    <xf numFmtId="175" fontId="0" fillId="5" borderId="0" xfId="5" applyNumberFormat="1" applyFont="1" applyFill="1"/>
    <xf numFmtId="175" fontId="2" fillId="5" borderId="0" xfId="2" applyNumberFormat="1" applyFill="1"/>
    <xf numFmtId="172" fontId="2" fillId="5" borderId="0" xfId="2" applyNumberFormat="1" applyFill="1"/>
    <xf numFmtId="172" fontId="6" fillId="5" borderId="0" xfId="2" applyNumberFormat="1" applyFont="1" applyFill="1"/>
    <xf numFmtId="1" fontId="2" fillId="5" borderId="0" xfId="2" applyNumberFormat="1" applyFill="1"/>
    <xf numFmtId="165" fontId="0" fillId="5" borderId="0" xfId="3" applyFont="1" applyFill="1"/>
    <xf numFmtId="3" fontId="2" fillId="5" borderId="0" xfId="2" applyNumberFormat="1" applyFill="1"/>
    <xf numFmtId="165" fontId="2" fillId="5" borderId="0" xfId="2" applyNumberFormat="1" applyFill="1"/>
    <xf numFmtId="1" fontId="1" fillId="5" borderId="0" xfId="2" applyNumberFormat="1" applyFont="1" applyFill="1"/>
    <xf numFmtId="172" fontId="1" fillId="5" borderId="0" xfId="2" applyNumberFormat="1" applyFont="1" applyFill="1"/>
    <xf numFmtId="177" fontId="6" fillId="5" borderId="0" xfId="1" applyNumberFormat="1" applyFont="1" applyFill="1"/>
    <xf numFmtId="0" fontId="2" fillId="0" borderId="0" xfId="2" applyFill="1" applyBorder="1"/>
    <xf numFmtId="0" fontId="16" fillId="3" borderId="0" xfId="2" applyFont="1" applyFill="1"/>
  </cellXfs>
  <cellStyles count="10">
    <cellStyle name="Comma" xfId="1" builtinId="3"/>
    <cellStyle name="Comma 2" xfId="5" xr:uid="{7A2CB482-E569-234C-A3A2-425BB6A63E95}"/>
    <cellStyle name="Currency 2" xfId="3" xr:uid="{C537AEB4-5A72-F84E-8799-7929A138DA76}"/>
    <cellStyle name="Hyperlink 2" xfId="7" xr:uid="{C0D1C09B-CC51-C74D-B26E-C72AA1B77672}"/>
    <cellStyle name="Normal" xfId="0" builtinId="0"/>
    <cellStyle name="Normal 2" xfId="2" xr:uid="{50B95B3E-2D56-6647-B0A7-5357BE114A82}"/>
    <cellStyle name="Normal 2 2" xfId="6" xr:uid="{4B8B8387-953B-2746-BB54-4451714F8F9E}"/>
    <cellStyle name="Percent" xfId="9" builtinId="5"/>
    <cellStyle name="Percent 2" xfId="4" xr:uid="{E5756113-26D3-044E-A555-14694D7669D1}"/>
    <cellStyle name="Percent 2 2" xfId="8" xr:uid="{92DE4024-0399-6B4E-83B5-7F0795D15FF8}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7" formatCode="_(* #,##0_);_(* \(#,##0\);_(* &quot;-&quot;??_);_(@_)"/>
      <fill>
        <patternFill patternType="none">
          <fgColor indexed="64"/>
          <bgColor indexed="65"/>
        </patternFill>
      </fill>
    </dxf>
    <dxf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numFmt numFmtId="172" formatCode="_-[$€-2]\ * #,##0.00_-;\-[$€-2]\ * #,##0.00_-;_-[$€-2]\ * &quot;-&quot;??_-;_-@_-"/>
      <fill>
        <patternFill patternType="none">
          <fgColor indexed="64"/>
          <bgColor indexed="65"/>
        </patternFill>
      </fill>
    </dxf>
    <dxf>
      <numFmt numFmtId="175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_-* #,##0_-;\-* #,##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numFmt numFmtId="165" formatCode="_(&quot;€&quot;* #,##0.00_);_(&quot;€&quot;* \(#,##0.00\);_(&quot;€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DD9C5"/>
      <color rgb="FF91D150"/>
      <color rgb="FFB1E29F"/>
      <color rgb="FF2E7D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ilz, Vincent" id="{1DB7E270-604A-A64E-B3D7-B8035EE77F9E}" userId="Vincent.Stilz@Student.Reutlingen-University.DE" providerId="PeoplePicker"/>
  <person displayName="Lehr, Linus Caspar" id="{543FA299-F54A-CC4E-B4E9-99B75B69DB8A}" userId="S::linus_caspar.lehr@student.reutlingen-university.de::53576e29-02d4-4d0a-81f8-38c61b68bb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5B848A-F5BF-3548-B145-26D246C1DC4A}" name="Table2" displayName="Table2" ref="A1:AF61" totalsRowShown="0" headerRowDxfId="0" dataDxfId="1" headerRowCellStyle="Normal 2" dataCellStyle="Normal 2">
  <autoFilter ref="A1:AF61" xr:uid="{375B848A-F5BF-3548-B145-26D246C1DC4A}"/>
  <tableColumns count="32">
    <tableColumn id="1" xr3:uid="{418FE68E-2FC8-5040-B0B1-F2DA4DED0BF6}" name="Month" dataDxfId="33" dataCellStyle="Normal 2"/>
    <tableColumn id="2" xr3:uid="{E3D46BE7-2EC2-DD4B-8F44-FB51F86F96F1}" name="Sales (Unit)" dataDxfId="32" dataCellStyle="Normal 2">
      <calculatedColumnFormula>ROUNDDOWN(B1*(1+'Assumption Sheet'!E$5), 0)</calculatedColumnFormula>
    </tableColumn>
    <tableColumn id="3" xr3:uid="{F97C189E-32C1-9247-B51C-B168B2B48784}" name="Revenue " dataDxfId="31" dataCellStyle="Currency 2">
      <calculatedColumnFormula>'Assumption Sheet'!B$12*B2</calculatedColumnFormula>
    </tableColumn>
    <tableColumn id="4" xr3:uid="{A318036C-CBC8-A64E-8330-FD6198447FD1}" name="COGS (€)" dataDxfId="30" dataCellStyle="Currency 2">
      <calculatedColumnFormula>'Assumption Sheet'!B$10*B2</calculatedColumnFormula>
    </tableColumn>
    <tableColumn id="5" xr3:uid="{BBF8EA2C-5947-E242-9A3F-8B201D138F9D}" name="Product Margin (€)" dataDxfId="29" dataCellStyle="Normal 2">
      <calculatedColumnFormula>'Assumption Sheet'!B$11*B2</calculatedColumnFormula>
    </tableColumn>
    <tableColumn id="6" xr3:uid="{6130101C-D304-F44C-ABFC-FC4F8E2C2859}" name="EOM Stock (Units)" dataDxfId="28" dataCellStyle="Normal 2">
      <calculatedColumnFormula>F1-ROUNDDOWN(B2, 0)+G1</calculatedColumnFormula>
    </tableColumn>
    <tableColumn id="7" xr3:uid="{54B12C1A-5BE2-9A46-B08C-2FB1F39984C1}" name="Restocking Orders (Units)" dataDxfId="27" dataCellStyle="Normal 2"/>
    <tableColumn id="8" xr3:uid="{3541AE2A-D4B2-BB47-9886-BE375E9287DF}" name="Cost per Order (€)" dataDxfId="26" dataCellStyle="Currency 2"/>
    <tableColumn id="9" xr3:uid="{8D396AA6-1AC4-9744-8D61-1D635660A31A}" name="Sales per year (Units)" dataDxfId="25" dataCellStyle="Comma 2"/>
    <tableColumn id="10" xr3:uid="{12137DC6-CE35-1947-8775-F540192F8B4A}" name="Product Revenue per Year" dataDxfId="24" dataCellStyle="Comma 2"/>
    <tableColumn id="11" xr3:uid="{50895198-628A-0A4D-A752-9C6ACB6B4D93}" name="Aggregated Tag Sales per Month" dataDxfId="23" dataCellStyle="Normal 2">
      <calculatedColumnFormula>SUM(B$2:B2)</calculatedColumnFormula>
    </tableColumn>
    <tableColumn id="12" xr3:uid="{3651C896-3761-EF44-97C9-5BBB728C49DD}" name="Total Sim" dataDxfId="22" dataCellStyle="Comma 2">
      <calculatedColumnFormula>SUM(B$2:B2)</calculatedColumnFormula>
    </tableColumn>
    <tableColumn id="13" xr3:uid="{6DABF6B7-20E1-4344-9464-0F7FD319C473}" name="Active SIM" dataDxfId="21" dataCellStyle="Normal 2">
      <calculatedColumnFormula>ROUNDDOWN(L2*'Assumption Sheet'!D$28, 0)</calculatedColumnFormula>
    </tableColumn>
    <tableColumn id="14" xr3:uid="{7EF60D6D-3E29-3048-AA8B-D166D163BA5D}" name="Cost Privat" dataDxfId="20" dataCellStyle="Normal 2">
      <calculatedColumnFormula>(M2*'Assumption Sheet'!D$29)*'Assumption Sheet'!E$22</calculatedColumnFormula>
    </tableColumn>
    <tableColumn id="15" xr3:uid="{5EF5238C-2A6D-4C44-8693-C9FB9A16258C}" name="Revenue Privat" dataDxfId="19" dataCellStyle="Normal 2">
      <calculatedColumnFormula>(M2*'Assumption Sheet'!C$29)*'Assumption Sheet'!E$19</calculatedColumnFormula>
    </tableColumn>
    <tableColumn id="16" xr3:uid="{260FE3F9-FC0B-EB4B-A530-5FC6FCE684C1}" name="Cost Business " dataDxfId="18" dataCellStyle="Normal 2">
      <calculatedColumnFormula>M2*'Assumption Sheet'!$D$30*'Assumption Sheet'!$H$22</calculatedColumnFormula>
    </tableColumn>
    <tableColumn id="17" xr3:uid="{289CD299-11AA-AE47-A6A9-3B2F791767F9}" name="Revenue Business" dataDxfId="17" dataCellStyle="Normal 2">
      <calculatedColumnFormula>M2*'Assumption Sheet'!$D$30*'Assumption Sheet'!$H$19</calculatedColumnFormula>
    </tableColumn>
    <tableColumn id="18" xr3:uid="{84FD0B11-6D23-9841-A86D-F016F709B58A}" name="Cost Pay per Day" dataDxfId="16" dataCellStyle="Normal 2">
      <calculatedColumnFormula>(M2*'Assumption Sheet'!B$31)*'Assumption Sheet'!K$23</calculatedColumnFormula>
    </tableColumn>
    <tableColumn id="19" xr3:uid="{2D530C45-4DBE-9D4B-BFC2-8BB63E27C5D6}" name="Revenue Pay per Day" dataDxfId="15" dataCellStyle="Normal 2">
      <calculatedColumnFormula>(M2*'Assumption Sheet'!B$31)*'Assumption Sheet'!K$22</calculatedColumnFormula>
    </tableColumn>
    <tableColumn id="20" xr3:uid="{BA4F7FAA-B6A7-BC40-B289-335C50775912}" name="Total SIM cost " dataDxfId="14" dataCellStyle="Normal 2">
      <calculatedColumnFormula>N2+P2+R2</calculatedColumnFormula>
    </tableColumn>
    <tableColumn id="21" xr3:uid="{644BDA48-4DC3-EE41-B180-6BCDB5063C06}" name="Total Subscribtion Revenue" dataDxfId="13" dataCellStyle="Normal 2">
      <calculatedColumnFormula>O2+Q2+S2</calculatedColumnFormula>
    </tableColumn>
    <tableColumn id="22" xr3:uid="{42372EB8-702F-A942-9373-8274EA729A72}" name="Total Subsription Margin" dataDxfId="12" dataCellStyle="Normal 2">
      <calculatedColumnFormula>U2-T2</calculatedColumnFormula>
    </tableColumn>
    <tableColumn id="23" xr3:uid="{4ED4A33B-CC44-9A4A-B564-1FBDD42C608C}" name="Active SIM per Year" dataDxfId="11" dataCellStyle="Comma"/>
    <tableColumn id="24" xr3:uid="{606AD797-96E0-3E48-B603-BE94D6E19C8F}" name="Subscription Revenue per Year" dataDxfId="10" dataCellStyle="Normal 2"/>
    <tableColumn id="25" xr3:uid="{FA86D6FC-ECA9-C54F-A2A2-A917CD9FA5E9}" name="Total SIM Cost per Year" dataDxfId="9" dataCellStyle="Normal 2"/>
    <tableColumn id="26" xr3:uid="{AD75A5AA-C38C-CB4D-83BC-1D795748AE0B}" name="-" dataDxfId="8" dataCellStyle="Normal 2"/>
    <tableColumn id="27" xr3:uid="{A81349D9-116F-0640-A50D-3FAC65DB85B2}" name="Total COGS " dataDxfId="7" dataCellStyle="Normal 2">
      <calculatedColumnFormula>D2+T2</calculatedColumnFormula>
    </tableColumn>
    <tableColumn id="28" xr3:uid="{3136487A-E527-2D46-85E1-4349BF42DB35}" name="Total Revenue" dataDxfId="6" dataCellStyle="Normal 2">
      <calculatedColumnFormula>C2+U2</calculatedColumnFormula>
    </tableColumn>
    <tableColumn id="29" xr3:uid="{6C9F5D0C-28B2-E047-B5ED-09FBA7927B2B}" name="Gross Margin" dataDxfId="5" dataCellStyle="Normal 2">
      <calculatedColumnFormula>AB2-AA2</calculatedColumnFormula>
    </tableColumn>
    <tableColumn id="30" xr3:uid="{D70D87F7-02D4-E94F-BBCC-F3E31437F328}" name="Total COGS per Year" dataDxfId="4" dataCellStyle="Normal 2"/>
    <tableColumn id="31" xr3:uid="{3CAB0E74-E886-C945-887D-93290D7B9E7F}" name="Total Revenue per Year" dataDxfId="3" dataCellStyle="Normal 2"/>
    <tableColumn id="32" xr3:uid="{3F5BCC32-391B-174E-8DA9-C50A633269D2}" name="Gross Margin per Year" dataDxfId="2" data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ED812-4239-3347-95FD-50E884FD9835}" name="Table1" displayName="Table1" ref="A1:C37" totalsRowShown="0">
  <autoFilter ref="A1:C37" xr:uid="{E98ED812-4239-3347-95FD-50E884FD9835}"/>
  <tableColumns count="3">
    <tableColumn id="1" xr3:uid="{282C52CD-482D-E543-8D15-8E5E8D3B6093}" name="Component" dataDxfId="36" dataCellStyle="Normal 2 2"/>
    <tableColumn id="2" xr3:uid="{E7ADDE31-F663-BA40-811C-78F375F833F3}" name="Cost " dataDxfId="35" dataCellStyle="Normal 2 2"/>
    <tableColumn id="3" xr3:uid="{203DEFCE-D058-E545-A6A5-575A1AAB2673}" name="Link Source" dataDxfId="34" dataCellStyle="Normal 2 2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3-18T19:53:12.28" personId="{543FA299-F54A-CC4E-B4E9-99B75B69DB8A}" id="{4553D5FD-D79F-5C4A-B8CC-0B2D98691E4F}">
    <text>@Stilz, Vincent Die spalte sieht nicht ganz richtig aus</text>
    <mentions>
      <mention mentionpersonId="{1DB7E270-604A-A64E-B3D7-B8035EE77F9E}" mentionId="{ECD6D2D0-3B42-F74E-90A2-5513BCBA59F6}" startIndex="0" length="15"/>
    </mentions>
  </threadedComment>
  <threadedComment ref="Y13" dT="2024-03-20T00:53:28.86" personId="{543FA299-F54A-CC4E-B4E9-99B75B69DB8A}" id="{78B767EB-52C5-0148-8B63-09CAB5062F5F}">
    <text>@Stilz, Vincent genau um den Betrag geht die Summe nicht auf! Der wird entweder garnicht oder doppelt berücksichtigt</text>
    <mentions>
      <mention mentionpersonId="{1DB7E270-604A-A64E-B3D7-B8035EE77F9E}" mentionId="{236956F0-8D68-AC4A-9930-CD84BE7DB8DB}" startIndex="0" length="15"/>
    </mentions>
  </threadedComment>
  <threadedComment ref="X25" dT="2024-03-21T11:22:11.10" personId="{543FA299-F54A-CC4E-B4E9-99B75B69DB8A}" id="{403A1340-1329-6F41-8CE8-C7C8BE6199B9}">
    <text>Habe das von e17 zu e18 geändert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baba.com/product-detail/PCB-Mounted-SMT-Push-Pull-Tray_1600806434725.html?s=p" TargetMode="External"/><Relationship Id="rId13" Type="http://schemas.openxmlformats.org/officeDocument/2006/relationships/hyperlink" Target="https://www.alibaba.com/product-detail/Aramid-Webbing-Black-High-Strength-Temperature_1600974509427.html?spm=a27aq.27095423.1978240560.13.7a1931c8NLabj0" TargetMode="External"/><Relationship Id="rId3" Type="http://schemas.openxmlformats.org/officeDocument/2006/relationships/hyperlink" Target="https://czkeling.en.alibaba.com/minisiteentrance.html?from=detail&amp;productId=1600931976361" TargetMode="External"/><Relationship Id="rId7" Type="http://schemas.openxmlformats.org/officeDocument/2006/relationships/hyperlink" Target="https://www.alibaba.com/product-detail/3-7V-7-4V-11-1V_1600791127945.html?spm=a2700.galleryofferlist.p_offer.d_title.8892747b1d3gKJ&amp;s=p" TargetMode="External"/><Relationship Id="rId12" Type="http://schemas.openxmlformats.org/officeDocument/2006/relationships/hyperlink" Target="https://www.alibaba.com/product-detail/23mm-90dB-DC-5V-12V-24V_1600284210703.html?spm=a2700.galleryofferlist.p_offer.d_title.4d033672FBiWTA&amp;s=p" TargetMode="External"/><Relationship Id="rId2" Type="http://schemas.openxmlformats.org/officeDocument/2006/relationships/hyperlink" Target="https://www.alibaba.com/product-detail/Low-Power-SMD-compon-GSM-GPRS_1600145550450.html?s=p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minewsemi.en.alibaba.com/minisiteentrance.html?from=detail&amp;productId=1600821627963" TargetMode="External"/><Relationship Id="rId6" Type="http://schemas.openxmlformats.org/officeDocument/2006/relationships/hyperlink" Target="https://www.alibaba.com/product-detail/Professional-6Dbi-High-Gain-GSM-GPRS_1600087162933.html" TargetMode="External"/><Relationship Id="rId11" Type="http://schemas.openxmlformats.org/officeDocument/2006/relationships/hyperlink" Target="https://www.alibaba.com/product-detail/High-Temperature-Resistance-ISO18000-6C-Chip_1600696770725.html?s=p" TargetMode="External"/><Relationship Id="rId5" Type="http://schemas.openxmlformats.org/officeDocument/2006/relationships/hyperlink" Target="https://www.alibaba.com/product-detail/STM32F031K6U6-IC-Chip-Microcontroller-IC-32_1600580606564.html?spm=a2700.galleryofferlist.p_offer.d_image.6cb06144IT4ger&amp;s=p" TargetMode="External"/><Relationship Id="rId15" Type="http://schemas.openxmlformats.org/officeDocument/2006/relationships/hyperlink" Target="https://rommel-net.com/de/" TargetMode="External"/><Relationship Id="rId10" Type="http://schemas.openxmlformats.org/officeDocument/2006/relationships/hyperlink" Target="https://rommel-net.com/de/" TargetMode="External"/><Relationship Id="rId4" Type="http://schemas.openxmlformats.org/officeDocument/2006/relationships/hyperlink" Target="https://www.alibaba.com/product-detail/Lorida-simcom-4G-LTE-CAT-1_1600904076090.html" TargetMode="External"/><Relationship Id="rId9" Type="http://schemas.openxmlformats.org/officeDocument/2006/relationships/hyperlink" Target="https://www.alibaba.com/product-detail/Shenzhen-14-Years-custom-pcba-assembly_1600341296173.html?spm=a2700.galleryofferlist.p_offer.d_title.13271c23YJBmSi&amp;s=p" TargetMode="External"/><Relationship Id="rId14" Type="http://schemas.openxmlformats.org/officeDocument/2006/relationships/hyperlink" Target="https://www.alibaba.com/product-detail/Custom-2-3-5-4-3_1600765295369.html?spm=a2700.galleryofferlist.p_offer.d_title.1db55d4fhsOfWK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A83D-E1B1-E441-AFE8-FC25BD13EBE2}">
  <dimension ref="A1:N34"/>
  <sheetViews>
    <sheetView tabSelected="1" zoomScale="75" workbookViewId="0">
      <selection sqref="A1:B1"/>
    </sheetView>
  </sheetViews>
  <sheetFormatPr baseColWidth="10" defaultColWidth="10.83203125" defaultRowHeight="16" x14ac:dyDescent="0.2"/>
  <cols>
    <col min="1" max="1" width="25.5" style="1" bestFit="1" customWidth="1"/>
    <col min="2" max="2" width="12.83203125" style="1" bestFit="1" customWidth="1"/>
    <col min="3" max="3" width="10.83203125" style="1" bestFit="1"/>
    <col min="4" max="4" width="15.6640625" style="1" customWidth="1"/>
    <col min="5" max="5" width="12.1640625" style="1" bestFit="1" customWidth="1"/>
    <col min="6" max="6" width="10.83203125" style="1"/>
    <col min="7" max="7" width="19.5" style="1" bestFit="1" customWidth="1"/>
    <col min="8" max="8" width="11.5" style="1" bestFit="1" customWidth="1"/>
    <col min="9" max="9" width="10.83203125" style="1"/>
    <col min="10" max="10" width="25.5" style="1" bestFit="1" customWidth="1"/>
    <col min="11" max="11" width="12" style="1" bestFit="1" customWidth="1"/>
    <col min="12" max="12" width="23.83203125" style="1" customWidth="1"/>
    <col min="13" max="16384" width="10.83203125" style="1"/>
  </cols>
  <sheetData>
    <row r="1" spans="1:12" ht="19" x14ac:dyDescent="0.25">
      <c r="A1" s="63" t="s">
        <v>4</v>
      </c>
      <c r="B1" s="64"/>
      <c r="D1" s="61" t="s">
        <v>5</v>
      </c>
      <c r="E1" s="62"/>
      <c r="G1" s="61" t="s">
        <v>6</v>
      </c>
      <c r="H1" s="62"/>
      <c r="J1" s="43"/>
    </row>
    <row r="2" spans="1:12" ht="17" thickBot="1" x14ac:dyDescent="0.25">
      <c r="A2" s="2" t="s">
        <v>7</v>
      </c>
      <c r="B2" s="3">
        <v>3152782</v>
      </c>
      <c r="D2" s="4" t="s">
        <v>8</v>
      </c>
      <c r="E2" s="5">
        <v>275</v>
      </c>
      <c r="G2" s="40" t="s">
        <v>9</v>
      </c>
      <c r="H2" s="41" t="e">
        <f>#REF!/3000</f>
        <v>#REF!</v>
      </c>
      <c r="J2" s="43"/>
    </row>
    <row r="3" spans="1:12" x14ac:dyDescent="0.2">
      <c r="A3" s="4" t="s">
        <v>10</v>
      </c>
      <c r="B3" s="6">
        <v>44.99</v>
      </c>
      <c r="D3" s="4" t="s">
        <v>11</v>
      </c>
      <c r="E3" s="5">
        <v>7.0000000000000007E-2</v>
      </c>
    </row>
    <row r="4" spans="1:12" ht="51" x14ac:dyDescent="0.2">
      <c r="A4" s="8" t="s">
        <v>12</v>
      </c>
      <c r="B4" s="9">
        <v>0.54</v>
      </c>
      <c r="D4" s="10" t="s">
        <v>13</v>
      </c>
      <c r="E4" s="5">
        <v>0.19800000000000001</v>
      </c>
      <c r="L4" s="60"/>
    </row>
    <row r="5" spans="1:12" ht="35" thickBot="1" x14ac:dyDescent="0.25">
      <c r="A5" s="10" t="s">
        <v>14</v>
      </c>
      <c r="B5" s="9">
        <v>0.1</v>
      </c>
      <c r="D5" s="10" t="s">
        <v>15</v>
      </c>
      <c r="E5" s="32">
        <f>POWER(1+E4, 1/12)-1</f>
        <v>1.5168347460706055E-2</v>
      </c>
    </row>
    <row r="6" spans="1:12" ht="35" thickBot="1" x14ac:dyDescent="0.25">
      <c r="A6" s="11" t="s">
        <v>16</v>
      </c>
      <c r="B6" s="12">
        <f>(B2*B4)*B5</f>
        <v>170250.228</v>
      </c>
      <c r="D6" s="4" t="s">
        <v>1</v>
      </c>
      <c r="E6" s="48">
        <v>1.2033</v>
      </c>
      <c r="G6" s="61" t="s">
        <v>17</v>
      </c>
      <c r="H6" s="62"/>
    </row>
    <row r="7" spans="1:12" ht="17" thickBot="1" x14ac:dyDescent="0.25">
      <c r="D7" s="4" t="s">
        <v>2</v>
      </c>
      <c r="E7" s="5">
        <v>0.82830000000000004</v>
      </c>
      <c r="G7" s="40" t="s">
        <v>2</v>
      </c>
      <c r="H7" s="34">
        <v>0.2</v>
      </c>
    </row>
    <row r="8" spans="1:12" ht="19" x14ac:dyDescent="0.25">
      <c r="A8" s="63" t="s">
        <v>18</v>
      </c>
      <c r="B8" s="64"/>
      <c r="D8" s="4" t="s">
        <v>3</v>
      </c>
      <c r="E8" s="5">
        <v>0.6</v>
      </c>
    </row>
    <row r="9" spans="1:12" x14ac:dyDescent="0.2">
      <c r="A9" s="4" t="s">
        <v>19</v>
      </c>
      <c r="B9" s="13">
        <f>B3</f>
        <v>44.99</v>
      </c>
      <c r="D9" s="4" t="s">
        <v>20</v>
      </c>
      <c r="E9" s="33">
        <f>POWER(1+E6, 1/12)-1</f>
        <v>6.8044799092406238E-2</v>
      </c>
    </row>
    <row r="10" spans="1:12" x14ac:dyDescent="0.2">
      <c r="A10" s="4" t="s">
        <v>21</v>
      </c>
      <c r="B10" s="13">
        <f>Cost_calc!B29</f>
        <v>30.755025000000003</v>
      </c>
      <c r="D10" s="4" t="s">
        <v>20</v>
      </c>
      <c r="E10" s="33">
        <f>POWER(1+E7, 1/12)-1</f>
        <v>5.156782213429012E-2</v>
      </c>
    </row>
    <row r="11" spans="1:12" ht="18" thickBot="1" x14ac:dyDescent="0.25">
      <c r="A11" s="10" t="s">
        <v>22</v>
      </c>
      <c r="B11" s="13">
        <f>Cost_calc!B36</f>
        <v>6.6352189024390213</v>
      </c>
      <c r="D11" s="7" t="s">
        <v>23</v>
      </c>
      <c r="E11" s="31">
        <f>POWER(1+E8, 1/12)-1</f>
        <v>3.9944107690504271E-2</v>
      </c>
      <c r="K11" s="16"/>
    </row>
    <row r="12" spans="1:12" ht="17" x14ac:dyDescent="0.2">
      <c r="A12" s="10" t="s">
        <v>24</v>
      </c>
      <c r="B12" s="13">
        <f>B9*100/123</f>
        <v>36.577235772357724</v>
      </c>
      <c r="K12" s="16"/>
    </row>
    <row r="13" spans="1:12" ht="18" thickBot="1" x14ac:dyDescent="0.25">
      <c r="A13" s="11" t="s">
        <v>25</v>
      </c>
      <c r="B13" s="14">
        <f>B11/B12</f>
        <v>0.18140296176928197</v>
      </c>
    </row>
    <row r="14" spans="1:12" ht="17" thickBot="1" x14ac:dyDescent="0.25"/>
    <row r="15" spans="1:12" ht="19" customHeight="1" x14ac:dyDescent="0.25">
      <c r="A15" s="67" t="s">
        <v>26</v>
      </c>
      <c r="B15" s="68"/>
      <c r="D15" s="65" t="s">
        <v>27</v>
      </c>
      <c r="E15" s="66"/>
      <c r="G15" s="61" t="s">
        <v>28</v>
      </c>
      <c r="H15" s="62"/>
      <c r="J15" s="61" t="s">
        <v>29</v>
      </c>
      <c r="K15" s="62"/>
    </row>
    <row r="16" spans="1:12" ht="51" x14ac:dyDescent="0.2">
      <c r="A16" s="10" t="s">
        <v>30</v>
      </c>
      <c r="B16" s="5">
        <v>0.3</v>
      </c>
      <c r="D16" s="49" t="s">
        <v>31</v>
      </c>
      <c r="E16" s="13">
        <v>12</v>
      </c>
      <c r="G16" s="49" t="s">
        <v>31</v>
      </c>
      <c r="H16" s="50">
        <v>24</v>
      </c>
      <c r="J16" s="49" t="s">
        <v>32</v>
      </c>
      <c r="K16" s="5">
        <v>2</v>
      </c>
    </row>
    <row r="17" spans="1:14" ht="51" x14ac:dyDescent="0.2">
      <c r="A17" s="10" t="s">
        <v>33</v>
      </c>
      <c r="B17" s="5">
        <v>5.0000000000000001E-3</v>
      </c>
      <c r="D17" s="49" t="s">
        <v>34</v>
      </c>
      <c r="E17" s="13">
        <f>E16/12</f>
        <v>1</v>
      </c>
      <c r="G17" s="49" t="s">
        <v>34</v>
      </c>
      <c r="H17" s="13">
        <f>H16/12</f>
        <v>2</v>
      </c>
      <c r="J17" s="49" t="s">
        <v>35</v>
      </c>
      <c r="K17" s="5">
        <f>(K16/123)*100</f>
        <v>1.6260162601626018</v>
      </c>
      <c r="N17" s="42"/>
    </row>
    <row r="18" spans="1:14" ht="51" x14ac:dyDescent="0.2">
      <c r="A18" s="10" t="s">
        <v>36</v>
      </c>
      <c r="B18" s="5">
        <v>2E-3</v>
      </c>
      <c r="D18" s="49" t="s">
        <v>37</v>
      </c>
      <c r="E18" s="13">
        <f>(E16/123)*100</f>
        <v>9.7560975609756095</v>
      </c>
      <c r="G18" s="49" t="s">
        <v>37</v>
      </c>
      <c r="H18" s="13">
        <f>(H16/123)*100</f>
        <v>19.512195121951219</v>
      </c>
      <c r="J18" s="51" t="s">
        <v>38</v>
      </c>
      <c r="K18" s="37">
        <f>B16+(B19*K20)</f>
        <v>0.32879999999999998</v>
      </c>
      <c r="M18" s="16"/>
    </row>
    <row r="19" spans="1:14" ht="52" thickBot="1" x14ac:dyDescent="0.25">
      <c r="A19" s="11" t="s">
        <v>39</v>
      </c>
      <c r="B19" s="35">
        <f>(24*60)*B18*B17</f>
        <v>1.44E-2</v>
      </c>
      <c r="D19" s="49" t="s">
        <v>40</v>
      </c>
      <c r="E19" s="13">
        <f>E18/12</f>
        <v>0.81300813008130079</v>
      </c>
      <c r="G19" s="49" t="s">
        <v>40</v>
      </c>
      <c r="H19" s="13">
        <f>H18/12</f>
        <v>1.6260162601626016</v>
      </c>
      <c r="J19" s="51" t="s">
        <v>41</v>
      </c>
      <c r="K19" s="52">
        <f>(K17-K18)/K17</f>
        <v>0.79778800000000005</v>
      </c>
    </row>
    <row r="20" spans="1:14" ht="34" x14ac:dyDescent="0.2">
      <c r="D20" s="10" t="s">
        <v>41</v>
      </c>
      <c r="E20" s="9">
        <f>(E19-E22)/E19</f>
        <v>0.52472800000000008</v>
      </c>
      <c r="G20" s="49" t="s">
        <v>41</v>
      </c>
      <c r="H20" s="52">
        <f>(H19-H22)/H19</f>
        <v>0.63837999999999995</v>
      </c>
      <c r="J20" s="51" t="s">
        <v>42</v>
      </c>
      <c r="K20" s="5">
        <v>2</v>
      </c>
    </row>
    <row r="21" spans="1:14" ht="34" x14ac:dyDescent="0.2">
      <c r="D21" s="49" t="s">
        <v>43</v>
      </c>
      <c r="E21" s="5">
        <v>6</v>
      </c>
      <c r="G21" s="49" t="s">
        <v>43</v>
      </c>
      <c r="H21" s="5">
        <v>20</v>
      </c>
      <c r="J21" s="51" t="s">
        <v>44</v>
      </c>
      <c r="K21" s="5">
        <v>0.4</v>
      </c>
    </row>
    <row r="22" spans="1:14" ht="35" thickBot="1" x14ac:dyDescent="0.25">
      <c r="D22" s="53" t="s">
        <v>38</v>
      </c>
      <c r="E22" s="15">
        <f>E21*B19+B16</f>
        <v>0.38639999999999997</v>
      </c>
      <c r="G22" s="53" t="s">
        <v>38</v>
      </c>
      <c r="H22" s="54">
        <f>H21*B19+B16</f>
        <v>0.58799999999999997</v>
      </c>
      <c r="J22" s="51" t="s">
        <v>45</v>
      </c>
      <c r="K22" s="5">
        <f>K17*K21</f>
        <v>0.65040650406504075</v>
      </c>
    </row>
    <row r="23" spans="1:14" ht="17" thickBot="1" x14ac:dyDescent="0.25">
      <c r="J23" s="40" t="s">
        <v>46</v>
      </c>
      <c r="K23" s="15">
        <f>K18*K21</f>
        <v>0.13152</v>
      </c>
    </row>
    <row r="24" spans="1:14" ht="17" thickBot="1" x14ac:dyDescent="0.25"/>
    <row r="25" spans="1:14" x14ac:dyDescent="0.2">
      <c r="G25" s="38"/>
      <c r="H25" s="39"/>
    </row>
    <row r="26" spans="1:14" ht="17" thickBot="1" x14ac:dyDescent="0.25">
      <c r="G26" s="51" t="s">
        <v>47</v>
      </c>
      <c r="H26" s="55">
        <v>1E-3</v>
      </c>
    </row>
    <row r="27" spans="1:14" ht="16" customHeight="1" thickBot="1" x14ac:dyDescent="0.25">
      <c r="A27" s="36" t="s">
        <v>48</v>
      </c>
      <c r="B27" s="56" t="s">
        <v>1</v>
      </c>
      <c r="C27" s="57" t="s">
        <v>2</v>
      </c>
      <c r="D27" s="58" t="s">
        <v>3</v>
      </c>
      <c r="G27" s="7"/>
      <c r="H27" s="34"/>
    </row>
    <row r="28" spans="1:14" x14ac:dyDescent="0.2">
      <c r="A28" s="51" t="s">
        <v>49</v>
      </c>
      <c r="B28" s="44">
        <v>0.85</v>
      </c>
      <c r="C28" s="44">
        <v>0.85</v>
      </c>
      <c r="D28" s="45">
        <v>0.85</v>
      </c>
    </row>
    <row r="29" spans="1:14" ht="34" x14ac:dyDescent="0.2">
      <c r="A29" s="49" t="s">
        <v>50</v>
      </c>
      <c r="B29" s="44">
        <v>0.74</v>
      </c>
      <c r="C29" s="44">
        <v>0.55000000000000004</v>
      </c>
      <c r="D29" s="45">
        <v>0.56000000000000005</v>
      </c>
    </row>
    <row r="30" spans="1:14" ht="34" x14ac:dyDescent="0.2">
      <c r="A30" s="49" t="s">
        <v>51</v>
      </c>
      <c r="B30" s="44">
        <v>0.18</v>
      </c>
      <c r="C30" s="44">
        <v>0.33</v>
      </c>
      <c r="D30" s="45">
        <v>0.38</v>
      </c>
    </row>
    <row r="31" spans="1:14" ht="35" thickBot="1" x14ac:dyDescent="0.25">
      <c r="A31" s="53" t="s">
        <v>52</v>
      </c>
      <c r="B31" s="46">
        <v>0.08</v>
      </c>
      <c r="C31" s="46">
        <v>0.12</v>
      </c>
      <c r="D31" s="47">
        <v>0.06</v>
      </c>
    </row>
    <row r="32" spans="1:14" x14ac:dyDescent="0.2">
      <c r="A32" s="43"/>
    </row>
    <row r="33" spans="1:1" x14ac:dyDescent="0.2">
      <c r="A33" s="43"/>
    </row>
    <row r="34" spans="1:1" x14ac:dyDescent="0.2">
      <c r="A34" s="43"/>
    </row>
  </sheetData>
  <mergeCells count="9">
    <mergeCell ref="G6:H6"/>
    <mergeCell ref="G15:H15"/>
    <mergeCell ref="J15:K15"/>
    <mergeCell ref="A1:B1"/>
    <mergeCell ref="D1:E1"/>
    <mergeCell ref="D15:E15"/>
    <mergeCell ref="A8:B8"/>
    <mergeCell ref="A15:B15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FEA1-25B7-274F-8D8D-21CEA1F5EDB1}">
  <dimension ref="A1:AF66"/>
  <sheetViews>
    <sheetView zoomScale="65" workbookViewId="0">
      <pane ySplit="1" topLeftCell="A2" activePane="bottomLeft" state="frozen"/>
      <selection pane="bottomLeft" activeCell="A54" sqref="A54"/>
    </sheetView>
  </sheetViews>
  <sheetFormatPr baseColWidth="10" defaultColWidth="10.83203125" defaultRowHeight="16" x14ac:dyDescent="0.2"/>
  <cols>
    <col min="1" max="1" width="9" style="30" customWidth="1"/>
    <col min="2" max="2" width="22.33203125" style="1" bestFit="1" customWidth="1"/>
    <col min="3" max="3" width="31" style="1" bestFit="1" customWidth="1"/>
    <col min="4" max="4" width="15.1640625" style="1" customWidth="1"/>
    <col min="5" max="5" width="19" style="1" customWidth="1"/>
    <col min="6" max="6" width="18.6640625" style="1" customWidth="1"/>
    <col min="7" max="7" width="25.1640625" style="1" customWidth="1"/>
    <col min="8" max="8" width="18" style="1" customWidth="1"/>
    <col min="9" max="9" width="20.6640625" style="1" customWidth="1"/>
    <col min="10" max="10" width="24.5" style="1" customWidth="1"/>
    <col min="11" max="11" width="30.1640625" style="1" customWidth="1"/>
    <col min="12" max="12" width="11.33203125" style="1" customWidth="1"/>
    <col min="13" max="13" width="12.5" style="1" customWidth="1"/>
    <col min="14" max="14" width="14.1640625" style="1" customWidth="1"/>
    <col min="15" max="15" width="16.33203125" style="1" customWidth="1"/>
    <col min="16" max="16" width="16.1640625" style="1" customWidth="1"/>
    <col min="17" max="17" width="19.5" style="1" customWidth="1"/>
    <col min="18" max="18" width="17.5" style="1" customWidth="1"/>
    <col min="19" max="19" width="21.5" style="1" customWidth="1"/>
    <col min="20" max="20" width="15.83203125" style="1" customWidth="1"/>
    <col min="21" max="21" width="26.83203125" style="1" customWidth="1"/>
    <col min="22" max="22" width="24" style="1" customWidth="1"/>
    <col min="23" max="23" width="20" style="1" customWidth="1"/>
    <col min="24" max="24" width="30" style="1" customWidth="1"/>
    <col min="25" max="25" width="26.6640625" style="1" customWidth="1"/>
    <col min="26" max="26" width="11.5" style="1" customWidth="1"/>
    <col min="27" max="27" width="15.1640625" style="1" customWidth="1"/>
    <col min="28" max="28" width="16.6640625" style="1" customWidth="1"/>
    <col min="29" max="29" width="17" style="1" customWidth="1"/>
    <col min="30" max="30" width="20.33203125" style="1" customWidth="1"/>
    <col min="31" max="31" width="23.5" style="1" customWidth="1"/>
    <col min="32" max="32" width="22" style="1" customWidth="1"/>
    <col min="33" max="16384" width="10.83203125" style="101"/>
  </cols>
  <sheetData>
    <row r="1" spans="1:32" x14ac:dyDescent="0.2">
      <c r="A1" s="70" t="s">
        <v>0</v>
      </c>
      <c r="B1" s="71" t="s">
        <v>53</v>
      </c>
      <c r="C1" s="71" t="s">
        <v>54</v>
      </c>
      <c r="D1" s="70" t="s">
        <v>55</v>
      </c>
      <c r="E1" s="71" t="s">
        <v>56</v>
      </c>
      <c r="F1" s="72" t="s">
        <v>57</v>
      </c>
      <c r="G1" s="72" t="s">
        <v>58</v>
      </c>
      <c r="H1" s="71" t="s">
        <v>59</v>
      </c>
      <c r="I1" s="71" t="s">
        <v>60</v>
      </c>
      <c r="J1" s="71" t="s">
        <v>61</v>
      </c>
      <c r="K1" s="72" t="s">
        <v>136</v>
      </c>
      <c r="L1" s="72" t="s">
        <v>62</v>
      </c>
      <c r="M1" s="72" t="s">
        <v>63</v>
      </c>
      <c r="N1" s="72" t="s">
        <v>64</v>
      </c>
      <c r="O1" s="72" t="s">
        <v>65</v>
      </c>
      <c r="P1" s="72" t="s">
        <v>66</v>
      </c>
      <c r="Q1" s="72" t="s">
        <v>67</v>
      </c>
      <c r="R1" s="72" t="s">
        <v>68</v>
      </c>
      <c r="S1" s="72" t="s">
        <v>69</v>
      </c>
      <c r="T1" s="72" t="s">
        <v>70</v>
      </c>
      <c r="U1" s="72" t="s">
        <v>71</v>
      </c>
      <c r="V1" s="72" t="s">
        <v>72</v>
      </c>
      <c r="W1" s="72" t="s">
        <v>73</v>
      </c>
      <c r="X1" s="72" t="s">
        <v>74</v>
      </c>
      <c r="Y1" s="72" t="s">
        <v>75</v>
      </c>
      <c r="Z1" s="102" t="s">
        <v>137</v>
      </c>
      <c r="AA1" s="72" t="s">
        <v>76</v>
      </c>
      <c r="AB1" s="72" t="s">
        <v>77</v>
      </c>
      <c r="AC1" s="72" t="s">
        <v>78</v>
      </c>
      <c r="AD1" s="72" t="s">
        <v>79</v>
      </c>
      <c r="AE1" s="72" t="s">
        <v>80</v>
      </c>
      <c r="AF1" s="72" t="s">
        <v>81</v>
      </c>
    </row>
    <row r="2" spans="1:32" x14ac:dyDescent="0.2">
      <c r="A2" s="88">
        <v>1</v>
      </c>
      <c r="B2" s="89">
        <v>0</v>
      </c>
      <c r="C2" s="89">
        <v>0</v>
      </c>
      <c r="D2" s="89">
        <v>0</v>
      </c>
      <c r="E2" s="89">
        <v>0</v>
      </c>
      <c r="F2" s="89">
        <v>0</v>
      </c>
      <c r="G2" s="89"/>
      <c r="H2" s="89"/>
      <c r="I2" s="90"/>
      <c r="J2" s="90"/>
      <c r="K2" s="89">
        <f>SUM(B$2:B2)</f>
        <v>0</v>
      </c>
      <c r="L2" s="90">
        <f>SUM(B$1:B1)</f>
        <v>0</v>
      </c>
      <c r="M2" s="91">
        <f>ROUNDDOWN(L2*'Assumption Sheet'!B28, 0)</f>
        <v>0</v>
      </c>
      <c r="N2" s="92">
        <f>(M2*'Assumption Sheet'!B$29)*'Assumption Sheet'!E$22</f>
        <v>0</v>
      </c>
      <c r="O2" s="92">
        <f>(M2*'Assumption Sheet'!B$29)*'Assumption Sheet'!E$19</f>
        <v>0</v>
      </c>
      <c r="P2" s="92">
        <f>M2*'Assumption Sheet'!$B$30*'Assumption Sheet'!$H$22</f>
        <v>0</v>
      </c>
      <c r="Q2" s="92">
        <f>M2*'Assumption Sheet'!$B$30*'Assumption Sheet'!$H$19</f>
        <v>0</v>
      </c>
      <c r="R2" s="92">
        <f>(M2*'Assumption Sheet'!B$31)*'Assumption Sheet'!K$23</f>
        <v>0</v>
      </c>
      <c r="S2" s="92">
        <f>(M2*'Assumption Sheet'!B$31)*'Assumption Sheet'!K$22</f>
        <v>0</v>
      </c>
      <c r="T2" s="92">
        <f>N2+P2+R2</f>
        <v>0</v>
      </c>
      <c r="U2" s="92">
        <f>O2+Q2+S2</f>
        <v>0</v>
      </c>
      <c r="V2" s="92">
        <f t="shared" ref="V2:V33" si="0">U2-T2</f>
        <v>0</v>
      </c>
      <c r="W2" s="92"/>
      <c r="X2" s="92"/>
      <c r="Y2" s="92"/>
      <c r="Z2" s="89"/>
      <c r="AA2" s="92">
        <f t="shared" ref="AA2:AA33" si="1">D2+T2</f>
        <v>0</v>
      </c>
      <c r="AB2" s="92">
        <f t="shared" ref="AB2:AB33" si="2">C2+U2</f>
        <v>0</v>
      </c>
      <c r="AC2" s="92">
        <f t="shared" ref="AC2:AC33" si="3">AB2-AA2</f>
        <v>0</v>
      </c>
      <c r="AD2" s="93"/>
      <c r="AE2" s="93"/>
      <c r="AF2" s="93"/>
    </row>
    <row r="3" spans="1:32" x14ac:dyDescent="0.2">
      <c r="A3" s="88">
        <v>2</v>
      </c>
      <c r="B3" s="89">
        <v>0</v>
      </c>
      <c r="C3" s="89">
        <v>0</v>
      </c>
      <c r="D3" s="89">
        <v>0</v>
      </c>
      <c r="E3" s="89">
        <v>0</v>
      </c>
      <c r="F3" s="89">
        <v>0</v>
      </c>
      <c r="G3" s="89"/>
      <c r="H3" s="89"/>
      <c r="I3" s="90"/>
      <c r="J3" s="90"/>
      <c r="K3" s="89">
        <f>SUM(B$2:B3)</f>
        <v>0</v>
      </c>
      <c r="L3" s="90">
        <f>SUM(B$1:B2)</f>
        <v>0</v>
      </c>
      <c r="M3" s="91">
        <f>ROUNDDOWN(L3*'Assumption Sheet'!B29, 0)</f>
        <v>0</v>
      </c>
      <c r="N3" s="92">
        <f>(M3*'Assumption Sheet'!B$29)*'Assumption Sheet'!E$22</f>
        <v>0</v>
      </c>
      <c r="O3" s="92">
        <f>(M3*'Assumption Sheet'!B$29)*'Assumption Sheet'!E$19</f>
        <v>0</v>
      </c>
      <c r="P3" s="92">
        <f>M3*'Assumption Sheet'!$B$30*'Assumption Sheet'!$H$22</f>
        <v>0</v>
      </c>
      <c r="Q3" s="92">
        <f>M3*'Assumption Sheet'!$B$30*'Assumption Sheet'!$H$19</f>
        <v>0</v>
      </c>
      <c r="R3" s="92">
        <f>(M3*'Assumption Sheet'!B$31)*'Assumption Sheet'!K$23</f>
        <v>0</v>
      </c>
      <c r="S3" s="92">
        <f>(M3*'Assumption Sheet'!B$31)*'Assumption Sheet'!K$22</f>
        <v>0</v>
      </c>
      <c r="T3" s="92">
        <f t="shared" ref="T3:T61" si="4">N3+P3+R3</f>
        <v>0</v>
      </c>
      <c r="U3" s="92">
        <f t="shared" ref="U3:U34" si="5">O3+Q3+S3</f>
        <v>0</v>
      </c>
      <c r="V3" s="92">
        <f t="shared" si="0"/>
        <v>0</v>
      </c>
      <c r="W3" s="92"/>
      <c r="X3" s="92"/>
      <c r="Y3" s="92"/>
      <c r="Z3" s="89"/>
      <c r="AA3" s="92">
        <f t="shared" si="1"/>
        <v>0</v>
      </c>
      <c r="AB3" s="92">
        <f t="shared" si="2"/>
        <v>0</v>
      </c>
      <c r="AC3" s="92">
        <f t="shared" si="3"/>
        <v>0</v>
      </c>
      <c r="AD3" s="93"/>
      <c r="AE3" s="93"/>
      <c r="AF3" s="93"/>
    </row>
    <row r="4" spans="1:32" x14ac:dyDescent="0.2">
      <c r="A4" s="88">
        <v>3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/>
      <c r="H4" s="89"/>
      <c r="I4" s="90"/>
      <c r="J4" s="90"/>
      <c r="K4" s="89">
        <f>SUM(B$2:B4)</f>
        <v>0</v>
      </c>
      <c r="L4" s="90">
        <f>SUM(B$1:B3)</f>
        <v>0</v>
      </c>
      <c r="M4" s="91">
        <f>ROUNDDOWN(L4*'Assumption Sheet'!B30, 0)</f>
        <v>0</v>
      </c>
      <c r="N4" s="92">
        <f>(M4*'Assumption Sheet'!B$29)*'Assumption Sheet'!E$22</f>
        <v>0</v>
      </c>
      <c r="O4" s="92">
        <f>(M4*'Assumption Sheet'!B$29)*'Assumption Sheet'!E$19</f>
        <v>0</v>
      </c>
      <c r="P4" s="92">
        <f>M4*'Assumption Sheet'!$B$30*'Assumption Sheet'!$H$22</f>
        <v>0</v>
      </c>
      <c r="Q4" s="92">
        <f>M4*'Assumption Sheet'!$B$30*'Assumption Sheet'!$H$19</f>
        <v>0</v>
      </c>
      <c r="R4" s="92">
        <f>(M4*'Assumption Sheet'!B$31)*'Assumption Sheet'!K$23</f>
        <v>0</v>
      </c>
      <c r="S4" s="92">
        <f>(M4*'Assumption Sheet'!B$31)*'Assumption Sheet'!K$22</f>
        <v>0</v>
      </c>
      <c r="T4" s="92">
        <f t="shared" si="4"/>
        <v>0</v>
      </c>
      <c r="U4" s="92">
        <f t="shared" si="5"/>
        <v>0</v>
      </c>
      <c r="V4" s="92">
        <f t="shared" si="0"/>
        <v>0</v>
      </c>
      <c r="W4" s="92"/>
      <c r="X4" s="92"/>
      <c r="Y4" s="92"/>
      <c r="Z4" s="89"/>
      <c r="AA4" s="92">
        <f t="shared" si="1"/>
        <v>0</v>
      </c>
      <c r="AB4" s="92">
        <f t="shared" si="2"/>
        <v>0</v>
      </c>
      <c r="AC4" s="92">
        <f t="shared" si="3"/>
        <v>0</v>
      </c>
      <c r="AD4" s="93"/>
      <c r="AE4" s="93"/>
      <c r="AF4" s="93"/>
    </row>
    <row r="5" spans="1:32" x14ac:dyDescent="0.2">
      <c r="A5" s="88">
        <v>4</v>
      </c>
      <c r="B5" s="89">
        <v>0</v>
      </c>
      <c r="C5" s="89">
        <v>0</v>
      </c>
      <c r="D5" s="89">
        <v>0</v>
      </c>
      <c r="E5" s="89">
        <v>0</v>
      </c>
      <c r="F5" s="89">
        <v>0</v>
      </c>
      <c r="G5" s="89"/>
      <c r="H5" s="89"/>
      <c r="I5" s="90"/>
      <c r="J5" s="90"/>
      <c r="K5" s="89">
        <f>SUM(B$2:B5)</f>
        <v>0</v>
      </c>
      <c r="L5" s="90">
        <f>SUM(B$1:B4)</f>
        <v>0</v>
      </c>
      <c r="M5" s="91">
        <f>ROUNDDOWN(L5*'Assumption Sheet'!B31, 0)</f>
        <v>0</v>
      </c>
      <c r="N5" s="92">
        <f>(M5*'Assumption Sheet'!B$29)*'Assumption Sheet'!E$22</f>
        <v>0</v>
      </c>
      <c r="O5" s="92">
        <f>(M5*'Assumption Sheet'!B$29)*'Assumption Sheet'!E$19</f>
        <v>0</v>
      </c>
      <c r="P5" s="92">
        <f>M5*'Assumption Sheet'!$B$30*'Assumption Sheet'!$H$22</f>
        <v>0</v>
      </c>
      <c r="Q5" s="92">
        <f>M5*'Assumption Sheet'!$B$30*'Assumption Sheet'!$H$19</f>
        <v>0</v>
      </c>
      <c r="R5" s="92">
        <f>(M5*'Assumption Sheet'!B$31)*'Assumption Sheet'!K$23</f>
        <v>0</v>
      </c>
      <c r="S5" s="92">
        <f>(M5*'Assumption Sheet'!B$31)*'Assumption Sheet'!K$22</f>
        <v>0</v>
      </c>
      <c r="T5" s="92">
        <f t="shared" si="4"/>
        <v>0</v>
      </c>
      <c r="U5" s="92">
        <f t="shared" si="5"/>
        <v>0</v>
      </c>
      <c r="V5" s="92">
        <f t="shared" si="0"/>
        <v>0</v>
      </c>
      <c r="W5" s="92"/>
      <c r="X5" s="92"/>
      <c r="Y5" s="92"/>
      <c r="Z5" s="92"/>
      <c r="AA5" s="92">
        <f t="shared" si="1"/>
        <v>0</v>
      </c>
      <c r="AB5" s="92">
        <f t="shared" si="2"/>
        <v>0</v>
      </c>
      <c r="AC5" s="92">
        <f t="shared" si="3"/>
        <v>0</v>
      </c>
      <c r="AD5" s="93"/>
      <c r="AE5" s="93"/>
      <c r="AF5" s="93"/>
    </row>
    <row r="6" spans="1:32" x14ac:dyDescent="0.2">
      <c r="A6" s="88">
        <v>5</v>
      </c>
      <c r="B6" s="89">
        <v>0</v>
      </c>
      <c r="C6" s="89">
        <v>0</v>
      </c>
      <c r="D6" s="89">
        <v>0</v>
      </c>
      <c r="E6" s="89">
        <v>0</v>
      </c>
      <c r="F6" s="94">
        <v>3000</v>
      </c>
      <c r="G6" s="94">
        <v>3000</v>
      </c>
      <c r="H6" s="95">
        <f>G6*'Assumption Sheet'!B$10</f>
        <v>92265.075000000012</v>
      </c>
      <c r="I6" s="90"/>
      <c r="J6" s="90"/>
      <c r="K6" s="89">
        <f>SUM(B$2:B6)</f>
        <v>0</v>
      </c>
      <c r="L6" s="90">
        <f>SUM(B$1:B5)</f>
        <v>0</v>
      </c>
      <c r="M6" s="91">
        <f>ROUNDDOWN(L6*'Assumption Sheet'!B32, 0)</f>
        <v>0</v>
      </c>
      <c r="N6" s="92">
        <f>(M6*'Assumption Sheet'!B$29)*'Assumption Sheet'!E$22</f>
        <v>0</v>
      </c>
      <c r="O6" s="92">
        <f>(M6*'Assumption Sheet'!B$29)*'Assumption Sheet'!E$19</f>
        <v>0</v>
      </c>
      <c r="P6" s="92">
        <f>M6*'Assumption Sheet'!$B$30*'Assumption Sheet'!$H$22</f>
        <v>0</v>
      </c>
      <c r="Q6" s="92">
        <f>M6*'Assumption Sheet'!$B$30*'Assumption Sheet'!$H$19</f>
        <v>0</v>
      </c>
      <c r="R6" s="92">
        <f>(M6*'Assumption Sheet'!B$31)*'Assumption Sheet'!K$23</f>
        <v>0</v>
      </c>
      <c r="S6" s="92">
        <f>(M6*'Assumption Sheet'!B$31)*'Assumption Sheet'!K$22</f>
        <v>0</v>
      </c>
      <c r="T6" s="92">
        <f t="shared" si="4"/>
        <v>0</v>
      </c>
      <c r="U6" s="92">
        <f t="shared" si="5"/>
        <v>0</v>
      </c>
      <c r="V6" s="92">
        <f t="shared" si="0"/>
        <v>0</v>
      </c>
      <c r="W6" s="92"/>
      <c r="X6" s="92"/>
      <c r="Y6" s="92"/>
      <c r="Z6" s="89"/>
      <c r="AA6" s="92">
        <f t="shared" si="1"/>
        <v>0</v>
      </c>
      <c r="AB6" s="92">
        <f t="shared" si="2"/>
        <v>0</v>
      </c>
      <c r="AC6" s="92">
        <f t="shared" si="3"/>
        <v>0</v>
      </c>
      <c r="AD6" s="93"/>
      <c r="AE6" s="93"/>
      <c r="AF6" s="93"/>
    </row>
    <row r="7" spans="1:32" x14ac:dyDescent="0.2">
      <c r="A7" s="88">
        <v>6</v>
      </c>
      <c r="B7" s="96">
        <f>ROUNDDOWN('Assumption Sheet'!E2, 0)</f>
        <v>275</v>
      </c>
      <c r="C7" s="95">
        <f>'Assumption Sheet'!B$12*B7</f>
        <v>10058.739837398374</v>
      </c>
      <c r="D7" s="95">
        <f>'Assumption Sheet'!B$10*B7</f>
        <v>8457.6318750000009</v>
      </c>
      <c r="E7" s="97">
        <f>'Assumption Sheet'!B$11*B7</f>
        <v>1824.6851981707309</v>
      </c>
      <c r="F7" s="94">
        <f>F6-ROUNDDOWN(B7, 0)</f>
        <v>2725</v>
      </c>
      <c r="G7" s="89"/>
      <c r="H7" s="95"/>
      <c r="I7" s="90"/>
      <c r="J7" s="90"/>
      <c r="K7" s="89">
        <f>SUM(B$2:B7)</f>
        <v>275</v>
      </c>
      <c r="L7" s="90">
        <f>SUM(B$1:B7)</f>
        <v>275</v>
      </c>
      <c r="M7" s="91">
        <f>ROUNDDOWN(L7*'Assumption Sheet'!B$28, 0)</f>
        <v>233</v>
      </c>
      <c r="N7" s="92">
        <f>(M7*'Assumption Sheet'!B$29)*'Assumption Sheet'!E$22</f>
        <v>66.623087999999996</v>
      </c>
      <c r="O7" s="92">
        <f>(M7*'Assumption Sheet'!B$29)*'Assumption Sheet'!E$19</f>
        <v>140.17886178861787</v>
      </c>
      <c r="P7" s="92">
        <f>M7*'Assumption Sheet'!$B$30*'Assumption Sheet'!$H$22</f>
        <v>24.660719999999998</v>
      </c>
      <c r="Q7" s="92">
        <f>M7*'Assumption Sheet'!$B$30*'Assumption Sheet'!$H$19</f>
        <v>68.195121951219505</v>
      </c>
      <c r="R7" s="92">
        <f>(M7*'Assumption Sheet'!B$31)*'Assumption Sheet'!K$23</f>
        <v>2.4515327999999998</v>
      </c>
      <c r="S7" s="92">
        <f>(M7*'Assumption Sheet'!B$31)*'Assumption Sheet'!K$22</f>
        <v>12.123577235772359</v>
      </c>
      <c r="T7" s="92">
        <f t="shared" si="4"/>
        <v>93.735340799999989</v>
      </c>
      <c r="U7" s="92">
        <f t="shared" si="5"/>
        <v>220.49756097560973</v>
      </c>
      <c r="V7" s="92">
        <f t="shared" si="0"/>
        <v>126.76222017560974</v>
      </c>
      <c r="W7" s="92"/>
      <c r="X7" s="92"/>
      <c r="Y7" s="92"/>
      <c r="Z7" s="89"/>
      <c r="AA7" s="92">
        <f t="shared" si="1"/>
        <v>8551.3672158000008</v>
      </c>
      <c r="AB7" s="92">
        <f t="shared" si="2"/>
        <v>10279.237398373984</v>
      </c>
      <c r="AC7" s="92">
        <f t="shared" si="3"/>
        <v>1727.8701825739827</v>
      </c>
      <c r="AD7" s="93"/>
      <c r="AE7" s="93"/>
      <c r="AF7" s="93"/>
    </row>
    <row r="8" spans="1:32" x14ac:dyDescent="0.2">
      <c r="A8" s="88">
        <v>7</v>
      </c>
      <c r="B8" s="96">
        <f>ROUNDDOWN(B7*(1+'Assumption Sheet'!E$9), 0)</f>
        <v>293</v>
      </c>
      <c r="C8" s="95">
        <f>'Assumption Sheet'!B$12*B8</f>
        <v>10717.130081300813</v>
      </c>
      <c r="D8" s="95">
        <f>'Assumption Sheet'!B$10*B8</f>
        <v>9011.2223250000006</v>
      </c>
      <c r="E8" s="97">
        <f>'Assumption Sheet'!B$11*B8</f>
        <v>1944.1191384146332</v>
      </c>
      <c r="F8" s="94">
        <f t="shared" ref="F8:F39" si="6">F7-ROUNDDOWN(B8, 0)+G7</f>
        <v>2432</v>
      </c>
      <c r="G8" s="89"/>
      <c r="H8" s="95"/>
      <c r="I8" s="90"/>
      <c r="J8" s="90"/>
      <c r="K8" s="89">
        <f>SUM(B$2:B8)</f>
        <v>568</v>
      </c>
      <c r="L8" s="90">
        <f>SUM(B$2:B8)</f>
        <v>568</v>
      </c>
      <c r="M8" s="91">
        <f>ROUNDDOWN(L8*'Assumption Sheet'!B$28, 0)</f>
        <v>482</v>
      </c>
      <c r="N8" s="92">
        <f>(M8*'Assumption Sheet'!B$29)*'Assumption Sheet'!E$22</f>
        <v>137.82115199999998</v>
      </c>
      <c r="O8" s="92">
        <f>(M8*'Assumption Sheet'!B$29)*'Assumption Sheet'!E$19</f>
        <v>289.98373983739839</v>
      </c>
      <c r="P8" s="92">
        <f>M8*'Assumption Sheet'!$B$30*'Assumption Sheet'!$H$22</f>
        <v>51.014879999999991</v>
      </c>
      <c r="Q8" s="92">
        <f>M8*'Assumption Sheet'!$B$30*'Assumption Sheet'!$H$19</f>
        <v>141.07317073170731</v>
      </c>
      <c r="R8" s="92">
        <f>(M8*'Assumption Sheet'!B$31)*'Assumption Sheet'!K$23</f>
        <v>5.0714112</v>
      </c>
      <c r="S8" s="92">
        <f>(M8*'Assumption Sheet'!B$31)*'Assumption Sheet'!K$22</f>
        <v>25.079674796747973</v>
      </c>
      <c r="T8" s="92">
        <f t="shared" si="4"/>
        <v>193.90744319999999</v>
      </c>
      <c r="U8" s="92">
        <f t="shared" si="5"/>
        <v>456.13658536585365</v>
      </c>
      <c r="V8" s="92">
        <f t="shared" si="0"/>
        <v>262.22914216585366</v>
      </c>
      <c r="W8" s="92"/>
      <c r="X8" s="92"/>
      <c r="Y8" s="92"/>
      <c r="Z8" s="89"/>
      <c r="AA8" s="92">
        <f t="shared" si="1"/>
        <v>9205.1297682000004</v>
      </c>
      <c r="AB8" s="92">
        <f t="shared" si="2"/>
        <v>11173.266666666666</v>
      </c>
      <c r="AC8" s="92">
        <f t="shared" si="3"/>
        <v>1968.136898466666</v>
      </c>
      <c r="AD8" s="93"/>
      <c r="AE8" s="93"/>
      <c r="AF8" s="93"/>
    </row>
    <row r="9" spans="1:32" x14ac:dyDescent="0.2">
      <c r="A9" s="88">
        <v>8</v>
      </c>
      <c r="B9" s="96">
        <f>ROUNDDOWN(B8*(1+'Assumption Sheet'!E$9), 0)</f>
        <v>312</v>
      </c>
      <c r="C9" s="95">
        <f>'Assumption Sheet'!B$12*B9</f>
        <v>11412.09756097561</v>
      </c>
      <c r="D9" s="95">
        <f>'Assumption Sheet'!B$10*B9</f>
        <v>9595.5678000000007</v>
      </c>
      <c r="E9" s="97">
        <f>'Assumption Sheet'!B$11*B9</f>
        <v>2070.1882975609747</v>
      </c>
      <c r="F9" s="94">
        <f t="shared" si="6"/>
        <v>2120</v>
      </c>
      <c r="G9" s="89"/>
      <c r="H9" s="95"/>
      <c r="I9" s="90"/>
      <c r="J9" s="90"/>
      <c r="K9" s="89">
        <f>SUM(B$2:B9)</f>
        <v>880</v>
      </c>
      <c r="L9" s="90">
        <f>SUM(B$2:B9)</f>
        <v>880</v>
      </c>
      <c r="M9" s="91">
        <f>ROUNDDOWN(L9*'Assumption Sheet'!B$28, 0)</f>
        <v>748</v>
      </c>
      <c r="N9" s="92">
        <f>(M9*'Assumption Sheet'!B$29)*'Assumption Sheet'!E$22</f>
        <v>213.88012799999998</v>
      </c>
      <c r="O9" s="92">
        <f>(M9*'Assumption Sheet'!B$29)*'Assumption Sheet'!E$19</f>
        <v>450.01626016260161</v>
      </c>
      <c r="P9" s="92">
        <f>M9*'Assumption Sheet'!$B$30*'Assumption Sheet'!$H$22</f>
        <v>79.168319999999994</v>
      </c>
      <c r="Q9" s="92">
        <f>M9*'Assumption Sheet'!$B$30*'Assumption Sheet'!$H$19</f>
        <v>218.92682926829266</v>
      </c>
      <c r="R9" s="92">
        <f>(M9*'Assumption Sheet'!B$31)*'Assumption Sheet'!K$23</f>
        <v>7.8701568000000002</v>
      </c>
      <c r="S9" s="92">
        <f>(M9*'Assumption Sheet'!B$31)*'Assumption Sheet'!K$22</f>
        <v>38.920325203252041</v>
      </c>
      <c r="T9" s="92">
        <f t="shared" si="4"/>
        <v>300.91860480000003</v>
      </c>
      <c r="U9" s="92">
        <f t="shared" si="5"/>
        <v>707.86341463414624</v>
      </c>
      <c r="V9" s="92">
        <f t="shared" si="0"/>
        <v>406.94480983414621</v>
      </c>
      <c r="W9" s="92"/>
      <c r="X9" s="92"/>
      <c r="Y9" s="92"/>
      <c r="Z9" s="89"/>
      <c r="AA9" s="92">
        <f t="shared" si="1"/>
        <v>9896.4864047999999</v>
      </c>
      <c r="AB9" s="92">
        <f t="shared" si="2"/>
        <v>12119.960975609756</v>
      </c>
      <c r="AC9" s="92">
        <f t="shared" si="3"/>
        <v>2223.4745708097562</v>
      </c>
      <c r="AD9" s="93"/>
      <c r="AE9" s="93"/>
      <c r="AF9" s="93"/>
    </row>
    <row r="10" spans="1:32" x14ac:dyDescent="0.2">
      <c r="A10" s="88">
        <v>9</v>
      </c>
      <c r="B10" s="96">
        <f>ROUNDDOWN(B9*(1+'Assumption Sheet'!E$9), 0)</f>
        <v>333</v>
      </c>
      <c r="C10" s="95">
        <f>'Assumption Sheet'!B$12*B10</f>
        <v>12180.219512195123</v>
      </c>
      <c r="D10" s="95">
        <f>'Assumption Sheet'!B$10*B10</f>
        <v>10241.423325000002</v>
      </c>
      <c r="E10" s="97">
        <f>'Assumption Sheet'!B$11*B10</f>
        <v>2209.5278945121941</v>
      </c>
      <c r="F10" s="94">
        <f t="shared" si="6"/>
        <v>1787</v>
      </c>
      <c r="G10" s="89"/>
      <c r="H10" s="95"/>
      <c r="I10" s="90"/>
      <c r="J10" s="90"/>
      <c r="K10" s="89">
        <f>SUM(B$2:B10)</f>
        <v>1213</v>
      </c>
      <c r="L10" s="90">
        <f>SUM(B$2:B10)</f>
        <v>1213</v>
      </c>
      <c r="M10" s="91">
        <f>ROUNDDOWN(L10*'Assumption Sheet'!B$28, 0)</f>
        <v>1031</v>
      </c>
      <c r="N10" s="92">
        <f>(M10*'Assumption Sheet'!B$29)*'Assumption Sheet'!E$22</f>
        <v>294.80001599999997</v>
      </c>
      <c r="O10" s="92">
        <f>(M10*'Assumption Sheet'!B$29)*'Assumption Sheet'!E$19</f>
        <v>620.27642276422762</v>
      </c>
      <c r="P10" s="92">
        <f>M10*'Assumption Sheet'!$B$30*'Assumption Sheet'!$H$22</f>
        <v>109.12103999999998</v>
      </c>
      <c r="Q10" s="92">
        <f>M10*'Assumption Sheet'!$B$30*'Assumption Sheet'!$H$19</f>
        <v>301.7560975609756</v>
      </c>
      <c r="R10" s="92">
        <f>(M10*'Assumption Sheet'!B$31)*'Assumption Sheet'!K$23</f>
        <v>10.847769600000001</v>
      </c>
      <c r="S10" s="92">
        <f>(M10*'Assumption Sheet'!B$31)*'Assumption Sheet'!K$22</f>
        <v>53.645528455284563</v>
      </c>
      <c r="T10" s="92">
        <f t="shared" si="4"/>
        <v>414.76882559999996</v>
      </c>
      <c r="U10" s="92">
        <f t="shared" si="5"/>
        <v>975.67804878048776</v>
      </c>
      <c r="V10" s="92">
        <f t="shared" si="0"/>
        <v>560.90922318048774</v>
      </c>
      <c r="W10" s="92"/>
      <c r="X10" s="92"/>
      <c r="Y10" s="92"/>
      <c r="Z10" s="89"/>
      <c r="AA10" s="92">
        <f t="shared" si="1"/>
        <v>10656.192150600002</v>
      </c>
      <c r="AB10" s="92">
        <f t="shared" si="2"/>
        <v>13155.897560975611</v>
      </c>
      <c r="AC10" s="92">
        <f t="shared" si="3"/>
        <v>2499.7054103756091</v>
      </c>
      <c r="AD10" s="93"/>
      <c r="AE10" s="93"/>
      <c r="AF10" s="93"/>
    </row>
    <row r="11" spans="1:32" x14ac:dyDescent="0.2">
      <c r="A11" s="88">
        <v>10</v>
      </c>
      <c r="B11" s="96">
        <f>ROUNDDOWN(B10*(1+'Assumption Sheet'!E$9), 0)</f>
        <v>355</v>
      </c>
      <c r="C11" s="95">
        <f>'Assumption Sheet'!B$12*B11</f>
        <v>12984.918699186992</v>
      </c>
      <c r="D11" s="95">
        <f>'Assumption Sheet'!B$10*B11</f>
        <v>10918.033875000001</v>
      </c>
      <c r="E11" s="97">
        <f>'Assumption Sheet'!B$11*B11</f>
        <v>2355.5027103658526</v>
      </c>
      <c r="F11" s="94">
        <f t="shared" si="6"/>
        <v>1432</v>
      </c>
      <c r="G11" s="89"/>
      <c r="H11" s="95"/>
      <c r="I11" s="90"/>
      <c r="J11" s="90"/>
      <c r="K11" s="89">
        <f>SUM(B$2:B11)</f>
        <v>1568</v>
      </c>
      <c r="L11" s="90">
        <f>SUM(B$2:B11)</f>
        <v>1568</v>
      </c>
      <c r="M11" s="91">
        <f>ROUNDDOWN(L11*'Assumption Sheet'!B$28, 0)</f>
        <v>1332</v>
      </c>
      <c r="N11" s="92">
        <f>(M11*'Assumption Sheet'!B$29)*'Assumption Sheet'!E$22</f>
        <v>380.86675199999996</v>
      </c>
      <c r="O11" s="92">
        <f>(M11*'Assumption Sheet'!B$29)*'Assumption Sheet'!E$19</f>
        <v>801.36585365853648</v>
      </c>
      <c r="P11" s="92">
        <f>M11*'Assumption Sheet'!$B$30*'Assumption Sheet'!$H$22</f>
        <v>140.97887999999998</v>
      </c>
      <c r="Q11" s="92">
        <f>M11*'Assumption Sheet'!$B$30*'Assumption Sheet'!$H$19</f>
        <v>389.85365853658533</v>
      </c>
      <c r="R11" s="92">
        <f>(M11*'Assumption Sheet'!B$31)*'Assumption Sheet'!K$23</f>
        <v>14.0147712</v>
      </c>
      <c r="S11" s="92">
        <f>(M11*'Assumption Sheet'!B$31)*'Assumption Sheet'!K$22</f>
        <v>69.307317073170736</v>
      </c>
      <c r="T11" s="92">
        <f t="shared" si="4"/>
        <v>535.86040319999995</v>
      </c>
      <c r="U11" s="92">
        <f t="shared" si="5"/>
        <v>1260.5268292682924</v>
      </c>
      <c r="V11" s="92">
        <f t="shared" si="0"/>
        <v>724.66642606829248</v>
      </c>
      <c r="W11" s="92"/>
      <c r="X11" s="92"/>
      <c r="Y11" s="92"/>
      <c r="Z11" s="89"/>
      <c r="AA11" s="92">
        <f t="shared" si="1"/>
        <v>11453.894278200001</v>
      </c>
      <c r="AB11" s="92">
        <f t="shared" si="2"/>
        <v>14245.445528455284</v>
      </c>
      <c r="AC11" s="92">
        <f t="shared" si="3"/>
        <v>2791.5512502552829</v>
      </c>
      <c r="AD11" s="93"/>
      <c r="AE11" s="93"/>
      <c r="AF11" s="93"/>
    </row>
    <row r="12" spans="1:32" x14ac:dyDescent="0.2">
      <c r="A12" s="88">
        <v>11</v>
      </c>
      <c r="B12" s="96">
        <f>ROUNDDOWN(B11*(1+'Assumption Sheet'!E$9), 0)</f>
        <v>379</v>
      </c>
      <c r="C12" s="95">
        <f>'Assumption Sheet'!B$12*B12</f>
        <v>13862.772357723577</v>
      </c>
      <c r="D12" s="95">
        <f>'Assumption Sheet'!B$10*B12</f>
        <v>11656.154475000001</v>
      </c>
      <c r="E12" s="97">
        <f>'Assumption Sheet'!B$11*B12</f>
        <v>2514.7479640243891</v>
      </c>
      <c r="F12" s="94">
        <f t="shared" si="6"/>
        <v>1053</v>
      </c>
      <c r="G12" s="89"/>
      <c r="H12" s="95"/>
      <c r="I12" s="90"/>
      <c r="J12" s="90"/>
      <c r="K12" s="89">
        <f>SUM(B$2:B12)</f>
        <v>1947</v>
      </c>
      <c r="L12" s="90">
        <f>SUM(B$2:B12)</f>
        <v>1947</v>
      </c>
      <c r="M12" s="91">
        <f>ROUNDDOWN(L12*'Assumption Sheet'!B$28, 0)</f>
        <v>1654</v>
      </c>
      <c r="N12" s="92">
        <f>(M12*'Assumption Sheet'!B$29)*'Assumption Sheet'!E$22</f>
        <v>472.93814399999997</v>
      </c>
      <c r="O12" s="92">
        <f>(M12*'Assumption Sheet'!B$29)*'Assumption Sheet'!E$19</f>
        <v>995.08943089430898</v>
      </c>
      <c r="P12" s="92">
        <f>M12*'Assumption Sheet'!$B$30*'Assumption Sheet'!$H$22</f>
        <v>175.05935999999997</v>
      </c>
      <c r="Q12" s="92">
        <f>M12*'Assumption Sheet'!$B$30*'Assumption Sheet'!$H$19</f>
        <v>484.09756097560972</v>
      </c>
      <c r="R12" s="92">
        <f>(M12*'Assumption Sheet'!B$31)*'Assumption Sheet'!K$23</f>
        <v>17.402726399999999</v>
      </c>
      <c r="S12" s="92">
        <f>(M12*'Assumption Sheet'!B$31)*'Assumption Sheet'!K$22</f>
        <v>86.061788617886194</v>
      </c>
      <c r="T12" s="92">
        <f t="shared" si="4"/>
        <v>665.40023039999994</v>
      </c>
      <c r="U12" s="92">
        <f t="shared" si="5"/>
        <v>1565.2487804878049</v>
      </c>
      <c r="V12" s="92">
        <f t="shared" si="0"/>
        <v>899.84855008780494</v>
      </c>
      <c r="W12" s="92"/>
      <c r="X12" s="92"/>
      <c r="Y12" s="92"/>
      <c r="Z12" s="89"/>
      <c r="AA12" s="92">
        <f t="shared" si="1"/>
        <v>12321.554705400002</v>
      </c>
      <c r="AB12" s="92">
        <f t="shared" si="2"/>
        <v>15428.021138211383</v>
      </c>
      <c r="AC12" s="92">
        <f t="shared" si="3"/>
        <v>3106.4664328113813</v>
      </c>
      <c r="AD12" s="93"/>
      <c r="AE12" s="93"/>
      <c r="AF12" s="93"/>
    </row>
    <row r="13" spans="1:32" ht="17" thickBot="1" x14ac:dyDescent="0.25">
      <c r="A13" s="73">
        <v>12</v>
      </c>
      <c r="B13" s="74">
        <f>ROUNDDOWN(B12*(1+'Assumption Sheet'!E$9), 0)</f>
        <v>404</v>
      </c>
      <c r="C13" s="75">
        <f>'Assumption Sheet'!B$12*B13</f>
        <v>14777.203252032521</v>
      </c>
      <c r="D13" s="75">
        <f>'Assumption Sheet'!B$10*B13</f>
        <v>12425.030100000002</v>
      </c>
      <c r="E13" s="76">
        <f>'Assumption Sheet'!B$11*B13</f>
        <v>2680.6284365853644</v>
      </c>
      <c r="F13" s="77">
        <f t="shared" si="6"/>
        <v>649</v>
      </c>
      <c r="G13" s="78"/>
      <c r="H13" s="75"/>
      <c r="I13" s="79">
        <f>SUM(B2:B13)</f>
        <v>2351</v>
      </c>
      <c r="J13" s="79">
        <f>SUM(C2:C13)</f>
        <v>85993.081300813006</v>
      </c>
      <c r="K13" s="80">
        <f>SUM(B$2:B13)</f>
        <v>2351</v>
      </c>
      <c r="L13" s="81">
        <f>SUM(B$2:B13)</f>
        <v>2351</v>
      </c>
      <c r="M13" s="82">
        <f>ROUNDDOWN(L13*'Assumption Sheet'!B$28, 0)</f>
        <v>1998</v>
      </c>
      <c r="N13" s="83">
        <f>(M13*'Assumption Sheet'!B$29)*'Assumption Sheet'!E$22</f>
        <v>571.30012799999997</v>
      </c>
      <c r="O13" s="83">
        <f>(M13*'Assumption Sheet'!B$29)*'Assumption Sheet'!E$19</f>
        <v>1202.0487804878048</v>
      </c>
      <c r="P13" s="83">
        <f>M13*'Assumption Sheet'!$B$30*'Assumption Sheet'!$H$22</f>
        <v>211.46831999999998</v>
      </c>
      <c r="Q13" s="83">
        <f>M13*'Assumption Sheet'!$B$30*'Assumption Sheet'!$H$19</f>
        <v>584.78048780487802</v>
      </c>
      <c r="R13" s="83">
        <f>(M13*'Assumption Sheet'!B$31)*'Assumption Sheet'!K$23</f>
        <v>21.022156800000001</v>
      </c>
      <c r="S13" s="83">
        <f>(M13*'Assumption Sheet'!B$31)*'Assumption Sheet'!K$22</f>
        <v>103.96097560975612</v>
      </c>
      <c r="T13" s="83">
        <f t="shared" si="4"/>
        <v>803.79060479999987</v>
      </c>
      <c r="U13" s="83">
        <f t="shared" si="5"/>
        <v>1890.790243902439</v>
      </c>
      <c r="V13" s="83">
        <f t="shared" si="0"/>
        <v>1086.9996391024392</v>
      </c>
      <c r="W13" s="84">
        <f>L13</f>
        <v>2351</v>
      </c>
      <c r="X13" s="85">
        <f>SUM(U2:U13)</f>
        <v>7076.7414634146335</v>
      </c>
      <c r="Y13" s="85">
        <f>SUM(T2:T13)</f>
        <v>3008.3814527999998</v>
      </c>
      <c r="Z13" s="78"/>
      <c r="AA13" s="83">
        <f t="shared" si="1"/>
        <v>13228.820704800002</v>
      </c>
      <c r="AB13" s="83">
        <f t="shared" si="2"/>
        <v>16667.993495934959</v>
      </c>
      <c r="AC13" s="83">
        <f t="shared" si="3"/>
        <v>3439.1727911349572</v>
      </c>
      <c r="AD13" s="85">
        <f>SUM(AA2:AA13)</f>
        <v>75313.44522780001</v>
      </c>
      <c r="AE13" s="85">
        <f>SUM(AB2:AB13)</f>
        <v>93069.822764227647</v>
      </c>
      <c r="AF13" s="85">
        <f>SUM(AC2:AC13)</f>
        <v>17756.377536427637</v>
      </c>
    </row>
    <row r="14" spans="1:32" ht="17" thickTop="1" x14ac:dyDescent="0.2">
      <c r="A14" s="88">
        <v>13</v>
      </c>
      <c r="B14" s="96">
        <f>ROUNDDOWN(B13*(1+'Assumption Sheet'!H$7), 0)</f>
        <v>484</v>
      </c>
      <c r="C14" s="95">
        <f>'Assumption Sheet'!B$12*B14</f>
        <v>17703.382113821139</v>
      </c>
      <c r="D14" s="95">
        <f>'Assumption Sheet'!B$10*B14</f>
        <v>14885.432100000002</v>
      </c>
      <c r="E14" s="97">
        <f>'Assumption Sheet'!B$11*B14</f>
        <v>3211.4459487804861</v>
      </c>
      <c r="F14" s="98">
        <f t="shared" si="6"/>
        <v>165</v>
      </c>
      <c r="G14" s="89">
        <v>20000</v>
      </c>
      <c r="H14" s="95">
        <f>G14*'Assumption Sheet'!B$10</f>
        <v>615100.50000000012</v>
      </c>
      <c r="I14" s="90"/>
      <c r="J14" s="90"/>
      <c r="K14" s="89">
        <f>SUM(B$2:B14)</f>
        <v>2835</v>
      </c>
      <c r="L14" s="90">
        <f>SUM(B$2:B14)</f>
        <v>2835</v>
      </c>
      <c r="M14" s="91">
        <f>ROUNDDOWN(L14*'Assumption Sheet'!C$28, 0)</f>
        <v>2409</v>
      </c>
      <c r="N14" s="92">
        <f>(M14*'Assumption Sheet'!C$29)*'Assumption Sheet'!E$22</f>
        <v>511.96067999999997</v>
      </c>
      <c r="O14" s="92">
        <f>(M14*'Assumption Sheet'!C$29)*'Assumption Sheet'!E$19</f>
        <v>1077.1951219512196</v>
      </c>
      <c r="P14" s="99">
        <f>M14*'Assumption Sheet'!$C$30*'Assumption Sheet'!$H$22</f>
        <v>467.44236000000001</v>
      </c>
      <c r="Q14" s="92">
        <f>M14*'Assumption Sheet'!$C$30*'Assumption Sheet'!$H$19</f>
        <v>1292.6341463414635</v>
      </c>
      <c r="R14" s="99">
        <f>(M14*'Assumption Sheet'!B$31)*'Assumption Sheet'!K$23</f>
        <v>25.346534399999999</v>
      </c>
      <c r="S14" s="99">
        <f>(M14*'Assumption Sheet'!B$31)*'Assumption Sheet'!K$22</f>
        <v>125.34634146341465</v>
      </c>
      <c r="T14" s="92">
        <f t="shared" si="4"/>
        <v>1004.7495743999999</v>
      </c>
      <c r="U14" s="99">
        <f t="shared" si="5"/>
        <v>2495.1756097560979</v>
      </c>
      <c r="V14" s="92">
        <f t="shared" si="0"/>
        <v>1490.4260353560981</v>
      </c>
      <c r="W14" s="100"/>
      <c r="X14" s="93"/>
      <c r="Y14" s="93"/>
      <c r="Z14" s="92"/>
      <c r="AA14" s="92">
        <f t="shared" si="1"/>
        <v>15890.181674400003</v>
      </c>
      <c r="AB14" s="92">
        <f t="shared" si="2"/>
        <v>20198.557723577236</v>
      </c>
      <c r="AC14" s="92">
        <f t="shared" si="3"/>
        <v>4308.3760491772337</v>
      </c>
      <c r="AD14" s="93"/>
      <c r="AE14" s="93"/>
      <c r="AF14" s="93"/>
    </row>
    <row r="15" spans="1:32" x14ac:dyDescent="0.2">
      <c r="A15" s="88">
        <v>14</v>
      </c>
      <c r="B15" s="96">
        <f>ROUNDDOWN(B14*(1+'Assumption Sheet'!H$7), 0)</f>
        <v>580</v>
      </c>
      <c r="C15" s="95">
        <f>'Assumption Sheet'!B$12*B15</f>
        <v>21214.796747967481</v>
      </c>
      <c r="D15" s="95">
        <f>'Assumption Sheet'!B$10*B15</f>
        <v>17837.914500000003</v>
      </c>
      <c r="E15" s="97">
        <f>'Assumption Sheet'!B$11*B15</f>
        <v>3848.4269634146322</v>
      </c>
      <c r="F15" s="98">
        <f t="shared" si="6"/>
        <v>19585</v>
      </c>
      <c r="G15" s="89"/>
      <c r="H15" s="95"/>
      <c r="I15" s="90"/>
      <c r="J15" s="90"/>
      <c r="K15" s="89">
        <f>SUM(B$2:B15)</f>
        <v>3415</v>
      </c>
      <c r="L15" s="90">
        <f>SUM(B$2:B15)</f>
        <v>3415</v>
      </c>
      <c r="M15" s="91">
        <f>ROUNDDOWN(L15*'Assumption Sheet'!C$28, 0)</f>
        <v>2902</v>
      </c>
      <c r="N15" s="92">
        <f>(M15*'Assumption Sheet'!C$29)*'Assumption Sheet'!E$22</f>
        <v>616.73303999999996</v>
      </c>
      <c r="O15" s="92">
        <f>(M15*'Assumption Sheet'!C$29)*'Assumption Sheet'!E$19</f>
        <v>1297.6422764227643</v>
      </c>
      <c r="P15" s="99">
        <f>M15*'Assumption Sheet'!$C$30*'Assumption Sheet'!$H$22</f>
        <v>563.10408000000007</v>
      </c>
      <c r="Q15" s="92">
        <f>M15*'Assumption Sheet'!$C$30*'Assumption Sheet'!$H$19</f>
        <v>1557.1707317073171</v>
      </c>
      <c r="R15" s="99">
        <f>(M15*'Assumption Sheet'!B$31)*'Assumption Sheet'!K$23</f>
        <v>30.533683199999999</v>
      </c>
      <c r="S15" s="99">
        <f>(M15*'Assumption Sheet'!B$31)*'Assumption Sheet'!K$22</f>
        <v>150.99837398373987</v>
      </c>
      <c r="T15" s="92">
        <f t="shared" si="4"/>
        <v>1210.3708032000002</v>
      </c>
      <c r="U15" s="99">
        <f t="shared" si="5"/>
        <v>3005.8113821138213</v>
      </c>
      <c r="V15" s="92">
        <f t="shared" si="0"/>
        <v>1795.4405789138211</v>
      </c>
      <c r="W15" s="100"/>
      <c r="X15" s="93"/>
      <c r="Y15" s="93"/>
      <c r="Z15" s="89"/>
      <c r="AA15" s="92">
        <f t="shared" si="1"/>
        <v>19048.285303200002</v>
      </c>
      <c r="AB15" s="92">
        <f t="shared" si="2"/>
        <v>24220.608130081302</v>
      </c>
      <c r="AC15" s="92">
        <f t="shared" si="3"/>
        <v>5172.3228268813</v>
      </c>
      <c r="AD15" s="93"/>
      <c r="AE15" s="93"/>
      <c r="AF15" s="93"/>
    </row>
    <row r="16" spans="1:32" x14ac:dyDescent="0.2">
      <c r="A16" s="88">
        <v>15</v>
      </c>
      <c r="B16" s="96">
        <f>ROUNDDOWN(B15*(1+'Assumption Sheet'!H$7), 0)</f>
        <v>696</v>
      </c>
      <c r="C16" s="95">
        <f>'Assumption Sheet'!B$12*B16</f>
        <v>25457.756097560978</v>
      </c>
      <c r="D16" s="95">
        <f>'Assumption Sheet'!B$10*B16</f>
        <v>21405.497400000004</v>
      </c>
      <c r="E16" s="97">
        <f>'Assumption Sheet'!B$11*B16</f>
        <v>4618.1123560975593</v>
      </c>
      <c r="F16" s="98">
        <f t="shared" si="6"/>
        <v>18889</v>
      </c>
      <c r="G16" s="89"/>
      <c r="H16" s="95"/>
      <c r="I16" s="90"/>
      <c r="J16" s="90"/>
      <c r="K16" s="89">
        <f>SUM(B$2:B16)</f>
        <v>4111</v>
      </c>
      <c r="L16" s="90">
        <f>SUM(B$2:B16)</f>
        <v>4111</v>
      </c>
      <c r="M16" s="91">
        <f>ROUNDDOWN(L16*'Assumption Sheet'!C$28, 0)</f>
        <v>3494</v>
      </c>
      <c r="N16" s="92">
        <f>(M16*'Assumption Sheet'!C$29)*'Assumption Sheet'!E$22</f>
        <v>742.54487999999992</v>
      </c>
      <c r="O16" s="92">
        <f>(M16*'Assumption Sheet'!C$29)*'Assumption Sheet'!E$19</f>
        <v>1562.3577235772357</v>
      </c>
      <c r="P16" s="99">
        <f>M16*'Assumption Sheet'!$C$30*'Assumption Sheet'!$H$22</f>
        <v>677.97575999999992</v>
      </c>
      <c r="Q16" s="92">
        <f>M16*'Assumption Sheet'!$C$30*'Assumption Sheet'!$H$19</f>
        <v>1874.8292682926829</v>
      </c>
      <c r="R16" s="99">
        <f>(M16*'Assumption Sheet'!B$31)*'Assumption Sheet'!K$23</f>
        <v>36.762470399999998</v>
      </c>
      <c r="S16" s="99">
        <f>(M16*'Assumption Sheet'!B$31)*'Assumption Sheet'!K$22</f>
        <v>181.80162601626017</v>
      </c>
      <c r="T16" s="92">
        <f t="shared" si="4"/>
        <v>1457.2831103999997</v>
      </c>
      <c r="U16" s="99">
        <f t="shared" si="5"/>
        <v>3618.9886178861789</v>
      </c>
      <c r="V16" s="92">
        <f t="shared" si="0"/>
        <v>2161.7055074861792</v>
      </c>
      <c r="W16" s="100"/>
      <c r="X16" s="93"/>
      <c r="Y16" s="93"/>
      <c r="Z16" s="89"/>
      <c r="AA16" s="92">
        <f t="shared" si="1"/>
        <v>22862.780510400004</v>
      </c>
      <c r="AB16" s="92">
        <f t="shared" si="2"/>
        <v>29076.744715447156</v>
      </c>
      <c r="AC16" s="92">
        <f t="shared" si="3"/>
        <v>6213.9642050471521</v>
      </c>
      <c r="AD16" s="93"/>
      <c r="AE16" s="93"/>
      <c r="AF16" s="93"/>
    </row>
    <row r="17" spans="1:32" x14ac:dyDescent="0.2">
      <c r="A17" s="88">
        <v>16</v>
      </c>
      <c r="B17" s="96">
        <f>ROUNDDOWN(B16*(1+'Assumption Sheet'!H$7), 0)</f>
        <v>835</v>
      </c>
      <c r="C17" s="95">
        <f>'Assumption Sheet'!B$12*B17</f>
        <v>30541.9918699187</v>
      </c>
      <c r="D17" s="95">
        <f>'Assumption Sheet'!B$10*B17</f>
        <v>25680.445875000001</v>
      </c>
      <c r="E17" s="97">
        <f>'Assumption Sheet'!B$11*B17</f>
        <v>5540.4077835365824</v>
      </c>
      <c r="F17" s="98">
        <f t="shared" si="6"/>
        <v>18054</v>
      </c>
      <c r="G17" s="89"/>
      <c r="H17" s="95"/>
      <c r="I17" s="90"/>
      <c r="J17" s="90"/>
      <c r="K17" s="89">
        <f>SUM(B$2:B17)</f>
        <v>4946</v>
      </c>
      <c r="L17" s="90">
        <f>SUM(B$2:B17)</f>
        <v>4946</v>
      </c>
      <c r="M17" s="91">
        <f>ROUNDDOWN(L17*'Assumption Sheet'!C$28, 0)</f>
        <v>4204</v>
      </c>
      <c r="N17" s="92">
        <f>(M17*'Assumption Sheet'!C$29)*'Assumption Sheet'!E$22</f>
        <v>893.43407999999999</v>
      </c>
      <c r="O17" s="92">
        <f>(M17*'Assumption Sheet'!C$29)*'Assumption Sheet'!E$19</f>
        <v>1879.8373983739839</v>
      </c>
      <c r="P17" s="99">
        <f>M17*'Assumption Sheet'!$C$30*'Assumption Sheet'!$H$22</f>
        <v>815.74416000000008</v>
      </c>
      <c r="Q17" s="92">
        <f>M17*'Assumption Sheet'!$C$30*'Assumption Sheet'!$H$19</f>
        <v>2255.8048780487807</v>
      </c>
      <c r="R17" s="99">
        <f>(M17*'Assumption Sheet'!B$31)*'Assumption Sheet'!K$23</f>
        <v>44.232806400000001</v>
      </c>
      <c r="S17" s="99">
        <f>(M17*'Assumption Sheet'!B$31)*'Assumption Sheet'!K$22</f>
        <v>218.7447154471545</v>
      </c>
      <c r="T17" s="92">
        <f t="shared" si="4"/>
        <v>1753.4110464000003</v>
      </c>
      <c r="U17" s="99">
        <f t="shared" si="5"/>
        <v>4354.3869918699193</v>
      </c>
      <c r="V17" s="92">
        <f t="shared" si="0"/>
        <v>2600.9759454699188</v>
      </c>
      <c r="W17" s="100"/>
      <c r="X17" s="93"/>
      <c r="Y17" s="93"/>
      <c r="Z17" s="89"/>
      <c r="AA17" s="92">
        <f t="shared" si="1"/>
        <v>27433.856921400002</v>
      </c>
      <c r="AB17" s="92">
        <f t="shared" si="2"/>
        <v>34896.378861788617</v>
      </c>
      <c r="AC17" s="92">
        <f t="shared" si="3"/>
        <v>7462.5219403886149</v>
      </c>
      <c r="AD17" s="93"/>
      <c r="AE17" s="93"/>
      <c r="AF17" s="93"/>
    </row>
    <row r="18" spans="1:32" x14ac:dyDescent="0.2">
      <c r="A18" s="88">
        <v>17</v>
      </c>
      <c r="B18" s="96">
        <f>ROUNDDOWN(B17*(1+'Assumption Sheet'!H$7), 0)</f>
        <v>1002</v>
      </c>
      <c r="C18" s="95">
        <f>'Assumption Sheet'!B$12*B18</f>
        <v>36650.390243902439</v>
      </c>
      <c r="D18" s="95">
        <f>'Assumption Sheet'!B$10*B18</f>
        <v>30816.535050000002</v>
      </c>
      <c r="E18" s="97">
        <f>'Assumption Sheet'!B$11*B18</f>
        <v>6648.4893402438993</v>
      </c>
      <c r="F18" s="98">
        <f t="shared" si="6"/>
        <v>17052</v>
      </c>
      <c r="G18" s="89"/>
      <c r="H18" s="95"/>
      <c r="I18" s="90"/>
      <c r="J18" s="90"/>
      <c r="K18" s="89">
        <f>SUM(B$2:B18)</f>
        <v>5948</v>
      </c>
      <c r="L18" s="90">
        <f>SUM(B$2:B18)</f>
        <v>5948</v>
      </c>
      <c r="M18" s="91">
        <f>ROUNDDOWN(L18*'Assumption Sheet'!C$28, 0)</f>
        <v>5055</v>
      </c>
      <c r="N18" s="92">
        <f>(M18*'Assumption Sheet'!C$29)*'Assumption Sheet'!E$22</f>
        <v>1074.2885999999999</v>
      </c>
      <c r="O18" s="92">
        <f>(M18*'Assumption Sheet'!C$29)*'Assumption Sheet'!E$19</f>
        <v>2260.3658536585367</v>
      </c>
      <c r="P18" s="99">
        <f>M18*'Assumption Sheet'!$C$30*'Assumption Sheet'!$H$22</f>
        <v>980.87220000000002</v>
      </c>
      <c r="Q18" s="92">
        <f>M18*'Assumption Sheet'!$C$30*'Assumption Sheet'!$H$19</f>
        <v>2712.439024390244</v>
      </c>
      <c r="R18" s="99">
        <f>(M18*'Assumption Sheet'!B$31)*'Assumption Sheet'!K$23</f>
        <v>53.186688000000004</v>
      </c>
      <c r="S18" s="99">
        <f>(M18*'Assumption Sheet'!B$31)*'Assumption Sheet'!K$22</f>
        <v>263.02439024390247</v>
      </c>
      <c r="T18" s="92">
        <f t="shared" si="4"/>
        <v>2108.3474879999994</v>
      </c>
      <c r="U18" s="99">
        <f t="shared" si="5"/>
        <v>5235.8292682926831</v>
      </c>
      <c r="V18" s="92">
        <f t="shared" si="0"/>
        <v>3127.4817802926837</v>
      </c>
      <c r="W18" s="100"/>
      <c r="X18" s="93"/>
      <c r="Y18" s="93"/>
      <c r="Z18" s="89"/>
      <c r="AA18" s="92">
        <f t="shared" si="1"/>
        <v>32924.882538000005</v>
      </c>
      <c r="AB18" s="92">
        <f t="shared" si="2"/>
        <v>41886.219512195123</v>
      </c>
      <c r="AC18" s="92">
        <f t="shared" si="3"/>
        <v>8961.3369741951174</v>
      </c>
      <c r="AD18" s="93"/>
      <c r="AE18" s="93"/>
      <c r="AF18" s="93"/>
    </row>
    <row r="19" spans="1:32" x14ac:dyDescent="0.2">
      <c r="A19" s="88">
        <v>18</v>
      </c>
      <c r="B19" s="96">
        <f>ROUNDDOWN(B18*(1+'Assumption Sheet'!H$7), 0)</f>
        <v>1202</v>
      </c>
      <c r="C19" s="95">
        <f>'Assumption Sheet'!B$12*B19</f>
        <v>43965.837398373988</v>
      </c>
      <c r="D19" s="95">
        <f>'Assumption Sheet'!B$10*B19</f>
        <v>36967.540050000003</v>
      </c>
      <c r="E19" s="97">
        <f>'Assumption Sheet'!B$11*B19</f>
        <v>7975.533120731704</v>
      </c>
      <c r="F19" s="98">
        <f t="shared" si="6"/>
        <v>15850</v>
      </c>
      <c r="G19" s="89"/>
      <c r="H19" s="95"/>
      <c r="I19" s="90"/>
      <c r="J19" s="90"/>
      <c r="K19" s="89">
        <f>SUM(B$2:B19)</f>
        <v>7150</v>
      </c>
      <c r="L19" s="90">
        <f>SUM(B$2:B19)</f>
        <v>7150</v>
      </c>
      <c r="M19" s="91">
        <f>ROUNDDOWN(L19*'Assumption Sheet'!C$28, 0)</f>
        <v>6077</v>
      </c>
      <c r="N19" s="92">
        <f>(M19*'Assumption Sheet'!C$29)*'Assumption Sheet'!E$22</f>
        <v>1291.48404</v>
      </c>
      <c r="O19" s="92">
        <f>(M19*'Assumption Sheet'!C$29)*'Assumption Sheet'!E$19</f>
        <v>2717.3577235772359</v>
      </c>
      <c r="P19" s="99">
        <f>M19*'Assumption Sheet'!$C$30*'Assumption Sheet'!$H$22</f>
        <v>1179.1810800000001</v>
      </c>
      <c r="Q19" s="92">
        <f>M19*'Assumption Sheet'!$C$30*'Assumption Sheet'!$H$19</f>
        <v>3260.8292682926831</v>
      </c>
      <c r="R19" s="99">
        <f>(M19*'Assumption Sheet'!B$31)*'Assumption Sheet'!K$23</f>
        <v>63.939763200000002</v>
      </c>
      <c r="S19" s="99">
        <f>(M19*'Assumption Sheet'!B$31)*'Assumption Sheet'!K$22</f>
        <v>316.20162601626021</v>
      </c>
      <c r="T19" s="92">
        <f t="shared" si="4"/>
        <v>2534.6048832000001</v>
      </c>
      <c r="U19" s="99">
        <f t="shared" si="5"/>
        <v>6294.3886178861794</v>
      </c>
      <c r="V19" s="92">
        <f t="shared" si="0"/>
        <v>3759.7837346861793</v>
      </c>
      <c r="W19" s="100"/>
      <c r="X19" s="93"/>
      <c r="Y19" s="93"/>
      <c r="Z19" s="89"/>
      <c r="AA19" s="92">
        <f t="shared" si="1"/>
        <v>39502.144933200005</v>
      </c>
      <c r="AB19" s="92">
        <f t="shared" si="2"/>
        <v>50260.226016260167</v>
      </c>
      <c r="AC19" s="92">
        <f t="shared" si="3"/>
        <v>10758.081083060162</v>
      </c>
      <c r="AD19" s="93"/>
      <c r="AE19" s="93"/>
      <c r="AF19" s="93"/>
    </row>
    <row r="20" spans="1:32" x14ac:dyDescent="0.2">
      <c r="A20" s="88">
        <v>19</v>
      </c>
      <c r="B20" s="96">
        <f>ROUNDDOWN(B19*(1+'Assumption Sheet'!H$7), 0)</f>
        <v>1442</v>
      </c>
      <c r="C20" s="95">
        <f>'Assumption Sheet'!B$12*B20</f>
        <v>52744.373983739839</v>
      </c>
      <c r="D20" s="95">
        <f>'Assumption Sheet'!B$10*B20</f>
        <v>44348.746050000002</v>
      </c>
      <c r="E20" s="97">
        <f>'Assumption Sheet'!B$11*B20</f>
        <v>9567.9856573170691</v>
      </c>
      <c r="F20" s="98">
        <f t="shared" si="6"/>
        <v>14408</v>
      </c>
      <c r="G20" s="89"/>
      <c r="H20" s="95"/>
      <c r="I20" s="90"/>
      <c r="J20" s="90"/>
      <c r="K20" s="89">
        <f>SUM(B$2:B20)</f>
        <v>8592</v>
      </c>
      <c r="L20" s="90">
        <f>SUM(B$2:B20)</f>
        <v>8592</v>
      </c>
      <c r="M20" s="91">
        <f>ROUNDDOWN(L20*'Assumption Sheet'!C$28, 0)</f>
        <v>7303</v>
      </c>
      <c r="N20" s="92">
        <f>(M20*'Assumption Sheet'!C$29)*'Assumption Sheet'!E$22</f>
        <v>1552.0335600000001</v>
      </c>
      <c r="O20" s="92">
        <f>(M20*'Assumption Sheet'!C$29)*'Assumption Sheet'!E$19</f>
        <v>3265.5691056910573</v>
      </c>
      <c r="P20" s="99">
        <f>M20*'Assumption Sheet'!$C$30*'Assumption Sheet'!$H$22</f>
        <v>1417.07412</v>
      </c>
      <c r="Q20" s="92">
        <f>M20*'Assumption Sheet'!$C$30*'Assumption Sheet'!$H$19</f>
        <v>3918.6829268292686</v>
      </c>
      <c r="R20" s="99">
        <f>(M20*'Assumption Sheet'!B$31)*'Assumption Sheet'!K$23</f>
        <v>76.839244800000003</v>
      </c>
      <c r="S20" s="99">
        <f>(M20*'Assumption Sheet'!B$31)*'Assumption Sheet'!K$22</f>
        <v>379.99349593495941</v>
      </c>
      <c r="T20" s="92">
        <f t="shared" si="4"/>
        <v>3045.9469248</v>
      </c>
      <c r="U20" s="99">
        <f t="shared" si="5"/>
        <v>7564.2455284552852</v>
      </c>
      <c r="V20" s="92">
        <f t="shared" si="0"/>
        <v>4518.2986036552848</v>
      </c>
      <c r="W20" s="100"/>
      <c r="X20" s="93"/>
      <c r="Y20" s="93"/>
      <c r="Z20" s="89"/>
      <c r="AA20" s="92">
        <f t="shared" si="1"/>
        <v>47394.692974800004</v>
      </c>
      <c r="AB20" s="92">
        <f t="shared" si="2"/>
        <v>60308.619512195124</v>
      </c>
      <c r="AC20" s="92">
        <f t="shared" si="3"/>
        <v>12913.92653739512</v>
      </c>
      <c r="AD20" s="93"/>
      <c r="AE20" s="93"/>
      <c r="AF20" s="93"/>
    </row>
    <row r="21" spans="1:32" x14ac:dyDescent="0.2">
      <c r="A21" s="88">
        <v>20</v>
      </c>
      <c r="B21" s="96">
        <f>ROUNDDOWN(B20*(1+'Assumption Sheet'!H$7), 0)</f>
        <v>1730</v>
      </c>
      <c r="C21" s="95">
        <f>'Assumption Sheet'!B$12*B21</f>
        <v>63278.617886178865</v>
      </c>
      <c r="D21" s="95">
        <f>'Assumption Sheet'!B$10*B21</f>
        <v>53206.193250000004</v>
      </c>
      <c r="E21" s="97">
        <f>'Assumption Sheet'!B$11*B21</f>
        <v>11478.928701219507</v>
      </c>
      <c r="F21" s="98">
        <f t="shared" si="6"/>
        <v>12678</v>
      </c>
      <c r="G21" s="89"/>
      <c r="H21" s="95"/>
      <c r="I21" s="90"/>
      <c r="J21" s="90"/>
      <c r="K21" s="89">
        <f>SUM(B$2:B21)</f>
        <v>10322</v>
      </c>
      <c r="L21" s="90">
        <f>SUM(B$2:B21)</f>
        <v>10322</v>
      </c>
      <c r="M21" s="91">
        <f>ROUNDDOWN(L21*'Assumption Sheet'!C$28, 0)</f>
        <v>8773</v>
      </c>
      <c r="N21" s="92">
        <f>(M21*'Assumption Sheet'!C$29)*'Assumption Sheet'!E$22</f>
        <v>1864.43796</v>
      </c>
      <c r="O21" s="92">
        <f>(M21*'Assumption Sheet'!C$29)*'Assumption Sheet'!E$19</f>
        <v>3922.8861788617892</v>
      </c>
      <c r="P21" s="99">
        <f>M21*'Assumption Sheet'!$C$30*'Assumption Sheet'!$H$22</f>
        <v>1702.3129200000001</v>
      </c>
      <c r="Q21" s="92">
        <f>M21*'Assumption Sheet'!$C$30*'Assumption Sheet'!$H$19</f>
        <v>4707.4634146341468</v>
      </c>
      <c r="R21" s="99">
        <f>(M21*'Assumption Sheet'!B$31)*'Assumption Sheet'!K$23</f>
        <v>92.305996800000003</v>
      </c>
      <c r="S21" s="99">
        <f>(M21*'Assumption Sheet'!B$31)*'Assumption Sheet'!K$22</f>
        <v>456.4813008130082</v>
      </c>
      <c r="T21" s="92">
        <f t="shared" si="4"/>
        <v>3659.0568768000003</v>
      </c>
      <c r="U21" s="99">
        <f t="shared" si="5"/>
        <v>9086.8308943089432</v>
      </c>
      <c r="V21" s="92">
        <f t="shared" si="0"/>
        <v>5427.774017508943</v>
      </c>
      <c r="W21" s="100"/>
      <c r="X21" s="93"/>
      <c r="Y21" s="93"/>
      <c r="Z21" s="89"/>
      <c r="AA21" s="92">
        <f t="shared" si="1"/>
        <v>56865.250126800005</v>
      </c>
      <c r="AB21" s="92">
        <f t="shared" si="2"/>
        <v>72365.448780487815</v>
      </c>
      <c r="AC21" s="92">
        <f t="shared" si="3"/>
        <v>15500.19865368781</v>
      </c>
      <c r="AD21" s="93"/>
      <c r="AE21" s="93"/>
      <c r="AF21" s="93"/>
    </row>
    <row r="22" spans="1:32" x14ac:dyDescent="0.2">
      <c r="A22" s="88">
        <v>21</v>
      </c>
      <c r="B22" s="96">
        <f>ROUNDDOWN(B21*(1+'Assumption Sheet'!H$7), 0)</f>
        <v>2076</v>
      </c>
      <c r="C22" s="95">
        <f>'Assumption Sheet'!B$12*B22</f>
        <v>75934.341463414632</v>
      </c>
      <c r="D22" s="95">
        <f>'Assumption Sheet'!B$10*B22</f>
        <v>63847.431900000011</v>
      </c>
      <c r="E22" s="97">
        <f>'Assumption Sheet'!B$11*B22</f>
        <v>13774.714441463408</v>
      </c>
      <c r="F22" s="98">
        <f t="shared" si="6"/>
        <v>10602</v>
      </c>
      <c r="G22" s="89"/>
      <c r="H22" s="95"/>
      <c r="I22" s="90"/>
      <c r="J22" s="90"/>
      <c r="K22" s="89">
        <f>SUM(B$2:B22)</f>
        <v>12398</v>
      </c>
      <c r="L22" s="90">
        <f>SUM(B$2:B22)</f>
        <v>12398</v>
      </c>
      <c r="M22" s="91">
        <f>ROUNDDOWN(L22*'Assumption Sheet'!C$28, 0)</f>
        <v>10538</v>
      </c>
      <c r="N22" s="92">
        <f>(M22*'Assumption Sheet'!C$29)*'Assumption Sheet'!E$22</f>
        <v>2239.5357600000002</v>
      </c>
      <c r="O22" s="92">
        <f>(M22*'Assumption Sheet'!C$29)*'Assumption Sheet'!E$19</f>
        <v>4712.1138211382113</v>
      </c>
      <c r="P22" s="99">
        <f>M22*'Assumption Sheet'!$C$30*'Assumption Sheet'!$H$22</f>
        <v>2044.7935199999999</v>
      </c>
      <c r="Q22" s="92">
        <f>M22*'Assumption Sheet'!$C$30*'Assumption Sheet'!$H$19</f>
        <v>5654.5365853658532</v>
      </c>
      <c r="R22" s="99">
        <f>(M22*'Assumption Sheet'!B$31)*'Assumption Sheet'!K$23</f>
        <v>110.8766208</v>
      </c>
      <c r="S22" s="99">
        <f>(M22*'Assumption Sheet'!B$31)*'Assumption Sheet'!K$22</f>
        <v>548.31869918699192</v>
      </c>
      <c r="T22" s="92">
        <f t="shared" si="4"/>
        <v>4395.2059007999997</v>
      </c>
      <c r="U22" s="99">
        <f t="shared" si="5"/>
        <v>10914.969105691056</v>
      </c>
      <c r="V22" s="92">
        <f t="shared" si="0"/>
        <v>6519.7632048910564</v>
      </c>
      <c r="W22" s="100"/>
      <c r="X22" s="93"/>
      <c r="Y22" s="93"/>
      <c r="Z22" s="89"/>
      <c r="AA22" s="92">
        <f t="shared" si="1"/>
        <v>68242.637800800003</v>
      </c>
      <c r="AB22" s="92">
        <f t="shared" si="2"/>
        <v>86849.310569105684</v>
      </c>
      <c r="AC22" s="92">
        <f t="shared" si="3"/>
        <v>18606.672768305682</v>
      </c>
      <c r="AD22" s="93"/>
      <c r="AE22" s="93"/>
      <c r="AF22" s="93"/>
    </row>
    <row r="23" spans="1:32" x14ac:dyDescent="0.2">
      <c r="A23" s="88">
        <v>22</v>
      </c>
      <c r="B23" s="96">
        <f>ROUNDDOWN(B22*(1+'Assumption Sheet'!H$7), 0)</f>
        <v>2491</v>
      </c>
      <c r="C23" s="95">
        <f>'Assumption Sheet'!B$12*B23</f>
        <v>91113.894308943098</v>
      </c>
      <c r="D23" s="95">
        <f>'Assumption Sheet'!B$10*B23</f>
        <v>76610.767275000006</v>
      </c>
      <c r="E23" s="97">
        <f>'Assumption Sheet'!B$11*B23</f>
        <v>16528.3302859756</v>
      </c>
      <c r="F23" s="98">
        <f t="shared" si="6"/>
        <v>8111</v>
      </c>
      <c r="G23" s="89"/>
      <c r="H23" s="95"/>
      <c r="I23" s="90"/>
      <c r="J23" s="90"/>
      <c r="K23" s="89">
        <f>SUM(B$2:B23)</f>
        <v>14889</v>
      </c>
      <c r="L23" s="90">
        <f>SUM(B$2:B23)</f>
        <v>14889</v>
      </c>
      <c r="M23" s="91">
        <f>ROUNDDOWN(L23*'Assumption Sheet'!C$28, 0)</f>
        <v>12655</v>
      </c>
      <c r="N23" s="92">
        <f>(M23*'Assumption Sheet'!C$29)*'Assumption Sheet'!E$22</f>
        <v>2689.4405999999999</v>
      </c>
      <c r="O23" s="92">
        <f>(M23*'Assumption Sheet'!C$29)*'Assumption Sheet'!E$19</f>
        <v>5658.7398373983742</v>
      </c>
      <c r="P23" s="99">
        <f>M23*'Assumption Sheet'!$C$30*'Assumption Sheet'!$H$22</f>
        <v>2455.5762</v>
      </c>
      <c r="Q23" s="92">
        <f>M23*'Assumption Sheet'!$C$30*'Assumption Sheet'!$H$19</f>
        <v>6790.4878048780492</v>
      </c>
      <c r="R23" s="99">
        <f>(M23*'Assumption Sheet'!B$31)*'Assumption Sheet'!K$23</f>
        <v>133.150848</v>
      </c>
      <c r="S23" s="99">
        <f>(M23*'Assumption Sheet'!B$31)*'Assumption Sheet'!K$22</f>
        <v>658.47154471544729</v>
      </c>
      <c r="T23" s="92">
        <f t="shared" si="4"/>
        <v>5278.1676479999996</v>
      </c>
      <c r="U23" s="99">
        <f t="shared" si="5"/>
        <v>13107.699186991869</v>
      </c>
      <c r="V23" s="92">
        <f t="shared" si="0"/>
        <v>7829.5315389918696</v>
      </c>
      <c r="W23" s="100"/>
      <c r="X23" s="93"/>
      <c r="Y23" s="93"/>
      <c r="Z23" s="89"/>
      <c r="AA23" s="92">
        <f t="shared" si="1"/>
        <v>81888.934923000008</v>
      </c>
      <c r="AB23" s="92">
        <f t="shared" si="2"/>
        <v>104221.59349593497</v>
      </c>
      <c r="AC23" s="92">
        <f t="shared" si="3"/>
        <v>22332.658572934961</v>
      </c>
      <c r="AD23" s="93"/>
      <c r="AE23" s="93"/>
      <c r="AF23" s="93"/>
    </row>
    <row r="24" spans="1:32" x14ac:dyDescent="0.2">
      <c r="A24" s="88">
        <v>23</v>
      </c>
      <c r="B24" s="96">
        <f>ROUNDDOWN(B23*(1+'Assumption Sheet'!H$7), 0)</f>
        <v>2989</v>
      </c>
      <c r="C24" s="95">
        <f>'Assumption Sheet'!B$12*B24</f>
        <v>109329.35772357724</v>
      </c>
      <c r="D24" s="95">
        <f>'Assumption Sheet'!B$10*B24</f>
        <v>91926.769725000006</v>
      </c>
      <c r="E24" s="97">
        <f>'Assumption Sheet'!B$11*B24</f>
        <v>19832.669299390236</v>
      </c>
      <c r="F24" s="98">
        <f t="shared" si="6"/>
        <v>5122</v>
      </c>
      <c r="G24" s="89"/>
      <c r="H24" s="95"/>
      <c r="I24" s="90"/>
      <c r="J24" s="90"/>
      <c r="K24" s="89">
        <f>SUM(B$2:B24)</f>
        <v>17878</v>
      </c>
      <c r="L24" s="90">
        <f>SUM(B$2:B24)</f>
        <v>17878</v>
      </c>
      <c r="M24" s="91">
        <f>ROUNDDOWN(L24*'Assumption Sheet'!C$28, 0)</f>
        <v>15196</v>
      </c>
      <c r="N24" s="92">
        <f>(M24*'Assumption Sheet'!C$29)*'Assumption Sheet'!E$22</f>
        <v>3229.4539199999999</v>
      </c>
      <c r="O24" s="92">
        <f>(M24*'Assumption Sheet'!C$29)*'Assumption Sheet'!E$19</f>
        <v>6794.9593495934969</v>
      </c>
      <c r="P24" s="99">
        <f>M24*'Assumption Sheet'!$C$30*'Assumption Sheet'!$H$22</f>
        <v>2948.63184</v>
      </c>
      <c r="Q24" s="92">
        <f>M24*'Assumption Sheet'!$C$30*'Assumption Sheet'!$H$19</f>
        <v>8153.9512195121952</v>
      </c>
      <c r="R24" s="99">
        <f>(M24*'Assumption Sheet'!B$31)*'Assumption Sheet'!K$23</f>
        <v>159.8862336</v>
      </c>
      <c r="S24" s="99">
        <f>(M24*'Assumption Sheet'!B$31)*'Assumption Sheet'!K$22</f>
        <v>790.68617886178879</v>
      </c>
      <c r="T24" s="92">
        <f t="shared" si="4"/>
        <v>6337.9719936000001</v>
      </c>
      <c r="U24" s="99">
        <f t="shared" si="5"/>
        <v>15739.59674796748</v>
      </c>
      <c r="V24" s="92">
        <f t="shared" si="0"/>
        <v>9401.6247543674799</v>
      </c>
      <c r="W24" s="100"/>
      <c r="X24" s="93"/>
      <c r="Y24" s="93"/>
      <c r="Z24" s="89"/>
      <c r="AA24" s="92">
        <f t="shared" si="1"/>
        <v>98264.741718600009</v>
      </c>
      <c r="AB24" s="92">
        <f t="shared" si="2"/>
        <v>125068.95447154471</v>
      </c>
      <c r="AC24" s="92">
        <f t="shared" si="3"/>
        <v>26804.212752944703</v>
      </c>
      <c r="AD24" s="93"/>
      <c r="AE24" s="93"/>
      <c r="AF24" s="93"/>
    </row>
    <row r="25" spans="1:32" ht="17" thickBot="1" x14ac:dyDescent="0.25">
      <c r="A25" s="73">
        <v>24</v>
      </c>
      <c r="B25" s="74">
        <f>ROUNDDOWN(B24*(1+'Assumption Sheet'!H$7), 0)</f>
        <v>3586</v>
      </c>
      <c r="C25" s="75">
        <f>'Assumption Sheet'!B$12*B25</f>
        <v>131165.96747967479</v>
      </c>
      <c r="D25" s="75">
        <f>'Assumption Sheet'!B$10*B25</f>
        <v>110287.51965000002</v>
      </c>
      <c r="E25" s="76">
        <f>'Assumption Sheet'!B$11*B25</f>
        <v>23793.894984146329</v>
      </c>
      <c r="F25" s="86">
        <f t="shared" si="6"/>
        <v>1536</v>
      </c>
      <c r="G25" s="78">
        <v>20000</v>
      </c>
      <c r="H25" s="75">
        <f>G25*'Assumption Sheet'!B$10</f>
        <v>615100.50000000012</v>
      </c>
      <c r="I25" s="79">
        <f>SUM(B14:B25)</f>
        <v>19113</v>
      </c>
      <c r="J25" s="79">
        <f>SUM(C14:C25)</f>
        <v>699100.70731707313</v>
      </c>
      <c r="K25" s="80">
        <f>SUM(B$2:B25)</f>
        <v>21464</v>
      </c>
      <c r="L25" s="81">
        <f>SUM(B$2:B25)</f>
        <v>21464</v>
      </c>
      <c r="M25" s="82">
        <f>ROUNDDOWN(L25*'Assumption Sheet'!C$28, 0)</f>
        <v>18244</v>
      </c>
      <c r="N25" s="83">
        <f>(M25*'Assumption Sheet'!C$29)*'Assumption Sheet'!E$22</f>
        <v>3877.21488</v>
      </c>
      <c r="O25" s="83">
        <f>(M25*'Assumption Sheet'!C$29)*'Assumption Sheet'!E$19</f>
        <v>8157.8861788617887</v>
      </c>
      <c r="P25" s="87">
        <f>M25*'Assumption Sheet'!$C$30*'Assumption Sheet'!$H$22</f>
        <v>3540.06576</v>
      </c>
      <c r="Q25" s="83">
        <f>M25*'Assumption Sheet'!$C$30*'Assumption Sheet'!$H$19</f>
        <v>9789.4634146341468</v>
      </c>
      <c r="R25" s="87">
        <f>(M25*'Assumption Sheet'!B$31)*'Assumption Sheet'!K$23</f>
        <v>191.95607039999999</v>
      </c>
      <c r="S25" s="87">
        <f>(M25*'Assumption Sheet'!B$31)*'Assumption Sheet'!K$22</f>
        <v>949.28130081300822</v>
      </c>
      <c r="T25" s="83">
        <f t="shared" si="4"/>
        <v>7609.2367103999995</v>
      </c>
      <c r="U25" s="87">
        <f t="shared" si="5"/>
        <v>18896.630894308943</v>
      </c>
      <c r="V25" s="83">
        <f t="shared" si="0"/>
        <v>11287.394183908942</v>
      </c>
      <c r="W25" s="84">
        <f>L25</f>
        <v>21464</v>
      </c>
      <c r="X25" s="85">
        <f>SUM(U14:U25)</f>
        <v>100314.55284552847</v>
      </c>
      <c r="Y25" s="85">
        <f>SUM(T14:T25)</f>
        <v>40394.352960000004</v>
      </c>
      <c r="Z25" s="78"/>
      <c r="AA25" s="83">
        <f t="shared" si="1"/>
        <v>117896.75636040002</v>
      </c>
      <c r="AB25" s="83">
        <f t="shared" si="2"/>
        <v>150062.59837398372</v>
      </c>
      <c r="AC25" s="83">
        <f t="shared" si="3"/>
        <v>32165.842013583708</v>
      </c>
      <c r="AD25" s="85">
        <f>SUM(AA14:AA25)</f>
        <v>628215.14578500006</v>
      </c>
      <c r="AE25" s="85">
        <f>SUM(AB14:AB25)</f>
        <v>799415.2601626016</v>
      </c>
      <c r="AF25" s="85">
        <f>SUM(AC14:AC25)</f>
        <v>171200.11437760154</v>
      </c>
    </row>
    <row r="26" spans="1:32" ht="17" thickTop="1" x14ac:dyDescent="0.2">
      <c r="A26" s="88">
        <v>25</v>
      </c>
      <c r="B26" s="96">
        <f>ROUNDDOWN(B25*(1+'Assumption Sheet'!E$11), 0)</f>
        <v>3729</v>
      </c>
      <c r="C26" s="95">
        <f>'Assumption Sheet'!B$12*B26</f>
        <v>136396.51219512196</v>
      </c>
      <c r="D26" s="95">
        <f>'Assumption Sheet'!B$10*B26</f>
        <v>114685.48822500001</v>
      </c>
      <c r="E26" s="97">
        <f>'Assumption Sheet'!B$11*B26</f>
        <v>24742.731287195111</v>
      </c>
      <c r="F26" s="98">
        <f t="shared" si="6"/>
        <v>17807</v>
      </c>
      <c r="G26" s="89"/>
      <c r="H26" s="95"/>
      <c r="I26" s="90"/>
      <c r="J26" s="90"/>
      <c r="K26" s="89">
        <f>SUM(B$2:B26)</f>
        <v>25193</v>
      </c>
      <c r="L26" s="90">
        <f>SUM(B$2:B26)</f>
        <v>25193</v>
      </c>
      <c r="M26" s="91">
        <f>ROUNDDOWN(L26*'Assumption Sheet'!D$28, 0)</f>
        <v>21414</v>
      </c>
      <c r="N26" s="92">
        <f>(M26*'Assumption Sheet'!D$29)*'Assumption Sheet'!E$22</f>
        <v>4633.646976</v>
      </c>
      <c r="O26" s="92">
        <f>(M26*'Assumption Sheet'!C$29)*'Assumption Sheet'!E$19</f>
        <v>9575.3658536585372</v>
      </c>
      <c r="P26" s="99">
        <f>M26*'Assumption Sheet'!$D$30*'Assumption Sheet'!$H$22</f>
        <v>4784.7441599999993</v>
      </c>
      <c r="Q26" s="92">
        <f>M26*'Assumption Sheet'!$D$30*'Assumption Sheet'!$H$19</f>
        <v>13231.41463414634</v>
      </c>
      <c r="R26" s="99">
        <f>(M26*'Assumption Sheet'!B$31)*'Assumption Sheet'!K$23</f>
        <v>225.3095424</v>
      </c>
      <c r="S26" s="99">
        <f>(M26*'Assumption Sheet'!B$31)*'Assumption Sheet'!K$22</f>
        <v>1114.2243902439027</v>
      </c>
      <c r="T26" s="92">
        <f t="shared" si="4"/>
        <v>9643.7006783999987</v>
      </c>
      <c r="U26" s="99">
        <f t="shared" si="5"/>
        <v>23921.004878048781</v>
      </c>
      <c r="V26" s="92">
        <f t="shared" si="0"/>
        <v>14277.304199648783</v>
      </c>
      <c r="W26" s="100"/>
      <c r="X26" s="93"/>
      <c r="Y26" s="93"/>
      <c r="Z26" s="89"/>
      <c r="AA26" s="92">
        <f t="shared" si="1"/>
        <v>124329.18890340001</v>
      </c>
      <c r="AB26" s="92">
        <f t="shared" si="2"/>
        <v>160317.51707317075</v>
      </c>
      <c r="AC26" s="92">
        <f t="shared" si="3"/>
        <v>35988.328169770743</v>
      </c>
      <c r="AD26" s="93"/>
      <c r="AE26" s="93"/>
      <c r="AF26" s="93"/>
    </row>
    <row r="27" spans="1:32" x14ac:dyDescent="0.2">
      <c r="A27" s="88">
        <v>26</v>
      </c>
      <c r="B27" s="96">
        <f>ROUNDDOWN(B26*(1+'Assumption Sheet'!E$11), 0)</f>
        <v>3877</v>
      </c>
      <c r="C27" s="95">
        <f>'Assumption Sheet'!B$12*B27</f>
        <v>141809.94308943089</v>
      </c>
      <c r="D27" s="95">
        <f>'Assumption Sheet'!B$10*B27</f>
        <v>119237.23192500001</v>
      </c>
      <c r="E27" s="97">
        <f>'Assumption Sheet'!B$11*B27</f>
        <v>25724.743684756086</v>
      </c>
      <c r="F27" s="98">
        <f t="shared" si="6"/>
        <v>13930</v>
      </c>
      <c r="G27" s="89"/>
      <c r="H27" s="95"/>
      <c r="I27" s="90"/>
      <c r="J27" s="90"/>
      <c r="K27" s="89">
        <f>SUM(B$2:B27)</f>
        <v>29070</v>
      </c>
      <c r="L27" s="90">
        <f>SUM(B$2:B27)</f>
        <v>29070</v>
      </c>
      <c r="M27" s="91">
        <f>ROUNDDOWN(L27*'Assumption Sheet'!D$28, 0)</f>
        <v>24709</v>
      </c>
      <c r="N27" s="92">
        <f>(M27*'Assumption Sheet'!D$29)*'Assumption Sheet'!E$22</f>
        <v>5346.6322559999999</v>
      </c>
      <c r="O27" s="92">
        <f>(M27*'Assumption Sheet'!C$29)*'Assumption Sheet'!E$19</f>
        <v>11048.739837398374</v>
      </c>
      <c r="P27" s="99">
        <f>M27*'Assumption Sheet'!$D$30*'Assumption Sheet'!$H$22</f>
        <v>5520.9789599999995</v>
      </c>
      <c r="Q27" s="92">
        <f>M27*'Assumption Sheet'!$D$30*'Assumption Sheet'!$H$19</f>
        <v>15267.349593495936</v>
      </c>
      <c r="R27" s="99">
        <f>(M27*'Assumption Sheet'!B$31)*'Assumption Sheet'!K$23</f>
        <v>259.97821440000001</v>
      </c>
      <c r="S27" s="99">
        <f>(M27*'Assumption Sheet'!B$31)*'Assumption Sheet'!K$22</f>
        <v>1285.6715447154475</v>
      </c>
      <c r="T27" s="92">
        <f t="shared" si="4"/>
        <v>11127.589430399999</v>
      </c>
      <c r="U27" s="99">
        <f t="shared" si="5"/>
        <v>27601.760975609759</v>
      </c>
      <c r="V27" s="92">
        <f t="shared" si="0"/>
        <v>16474.17154520976</v>
      </c>
      <c r="W27" s="100"/>
      <c r="X27" s="93"/>
      <c r="Y27" s="93"/>
      <c r="Z27" s="89"/>
      <c r="AA27" s="92">
        <f t="shared" si="1"/>
        <v>130364.82135540001</v>
      </c>
      <c r="AB27" s="92">
        <f t="shared" si="2"/>
        <v>169411.70406504066</v>
      </c>
      <c r="AC27" s="92">
        <f t="shared" si="3"/>
        <v>39046.882709640646</v>
      </c>
      <c r="AD27" s="93"/>
      <c r="AE27" s="93"/>
      <c r="AF27" s="93"/>
    </row>
    <row r="28" spans="1:32" x14ac:dyDescent="0.2">
      <c r="A28" s="88">
        <v>27</v>
      </c>
      <c r="B28" s="96">
        <f>ROUNDDOWN(B27*(1+'Assumption Sheet'!E$11), 0)</f>
        <v>4031</v>
      </c>
      <c r="C28" s="95">
        <f>'Assumption Sheet'!B$12*B28</f>
        <v>147442.83739837399</v>
      </c>
      <c r="D28" s="95">
        <f>'Assumption Sheet'!B$10*B28</f>
        <v>123973.50577500001</v>
      </c>
      <c r="E28" s="97">
        <f>'Assumption Sheet'!B$11*B28</f>
        <v>26746.567395731694</v>
      </c>
      <c r="F28" s="98">
        <f t="shared" si="6"/>
        <v>9899</v>
      </c>
      <c r="G28" s="89"/>
      <c r="H28" s="95"/>
      <c r="I28" s="90"/>
      <c r="J28" s="90"/>
      <c r="K28" s="89">
        <f>SUM(B$2:B28)</f>
        <v>33101</v>
      </c>
      <c r="L28" s="90">
        <f>SUM(B$2:B28)</f>
        <v>33101</v>
      </c>
      <c r="M28" s="91">
        <f>ROUNDDOWN(L28*'Assumption Sheet'!D$28, 0)</f>
        <v>28135</v>
      </c>
      <c r="N28" s="92">
        <f>(M28*'Assumption Sheet'!D$29)*'Assumption Sheet'!E$22</f>
        <v>6087.9638400000003</v>
      </c>
      <c r="O28" s="92">
        <f>(M28*'Assumption Sheet'!C$29)*'Assumption Sheet'!E$19</f>
        <v>12580.691056910571</v>
      </c>
      <c r="P28" s="99">
        <f>M28*'Assumption Sheet'!$D$30*'Assumption Sheet'!$H$22</f>
        <v>6286.4843999999994</v>
      </c>
      <c r="Q28" s="92">
        <f>M28*'Assumption Sheet'!$D$30*'Assumption Sheet'!$H$19</f>
        <v>17384.227642276423</v>
      </c>
      <c r="R28" s="99">
        <f>(M28*'Assumption Sheet'!B$31)*'Assumption Sheet'!K$23</f>
        <v>296.025216</v>
      </c>
      <c r="S28" s="99">
        <f>(M28*'Assumption Sheet'!B$31)*'Assumption Sheet'!K$22</f>
        <v>1463.9349593495938</v>
      </c>
      <c r="T28" s="92">
        <f t="shared" si="4"/>
        <v>12670.473456</v>
      </c>
      <c r="U28" s="99">
        <f t="shared" si="5"/>
        <v>31428.853658536587</v>
      </c>
      <c r="V28" s="92">
        <f t="shared" si="0"/>
        <v>18758.380202536588</v>
      </c>
      <c r="W28" s="100"/>
      <c r="X28" s="93"/>
      <c r="Y28" s="93"/>
      <c r="Z28" s="89"/>
      <c r="AA28" s="92">
        <f t="shared" si="1"/>
        <v>136643.979231</v>
      </c>
      <c r="AB28" s="92">
        <f t="shared" si="2"/>
        <v>178871.69105691058</v>
      </c>
      <c r="AC28" s="92">
        <f t="shared" si="3"/>
        <v>42227.711825910577</v>
      </c>
      <c r="AD28" s="93"/>
      <c r="AE28" s="93"/>
      <c r="AF28" s="93"/>
    </row>
    <row r="29" spans="1:32" x14ac:dyDescent="0.2">
      <c r="A29" s="88">
        <v>28</v>
      </c>
      <c r="B29" s="96">
        <f>ROUNDDOWN(B28*(1+'Assumption Sheet'!E$11), 0)</f>
        <v>4192</v>
      </c>
      <c r="C29" s="95">
        <f>'Assumption Sheet'!B$12*B29</f>
        <v>153331.77235772359</v>
      </c>
      <c r="D29" s="95">
        <f>'Assumption Sheet'!B$10*B29</f>
        <v>128925.06480000001</v>
      </c>
      <c r="E29" s="97">
        <f>'Assumption Sheet'!B$11*B29</f>
        <v>27814.837639024379</v>
      </c>
      <c r="F29" s="98">
        <f t="shared" si="6"/>
        <v>5707</v>
      </c>
      <c r="G29" s="89"/>
      <c r="H29" s="95"/>
      <c r="I29" s="90"/>
      <c r="J29" s="90"/>
      <c r="K29" s="89">
        <f>SUM(B$2:B29)</f>
        <v>37293</v>
      </c>
      <c r="L29" s="90">
        <f>SUM(B$2:B29)</f>
        <v>37293</v>
      </c>
      <c r="M29" s="91">
        <f>ROUNDDOWN(L29*'Assumption Sheet'!D$28, 0)</f>
        <v>31699</v>
      </c>
      <c r="N29" s="92">
        <f>(M29*'Assumption Sheet'!D$29)*'Assumption Sheet'!E$22</f>
        <v>6859.1564160000007</v>
      </c>
      <c r="O29" s="92">
        <f>(M29*'Assumption Sheet'!C$29)*'Assumption Sheet'!E$19</f>
        <v>14174.349593495936</v>
      </c>
      <c r="P29" s="99">
        <f>M29*'Assumption Sheet'!$D$30*'Assumption Sheet'!$H$22</f>
        <v>7082.82456</v>
      </c>
      <c r="Q29" s="92">
        <f>M29*'Assumption Sheet'!$D$30*'Assumption Sheet'!$H$19</f>
        <v>19586.373983739839</v>
      </c>
      <c r="R29" s="99">
        <f>(M29*'Assumption Sheet'!B$31)*'Assumption Sheet'!K$23</f>
        <v>333.52419839999999</v>
      </c>
      <c r="S29" s="99">
        <f>(M29*'Assumption Sheet'!B$31)*'Assumption Sheet'!K$22</f>
        <v>1649.3788617886182</v>
      </c>
      <c r="T29" s="92">
        <f t="shared" si="4"/>
        <v>14275.505174400001</v>
      </c>
      <c r="U29" s="99">
        <f t="shared" si="5"/>
        <v>35410.102439024391</v>
      </c>
      <c r="V29" s="92">
        <f t="shared" si="0"/>
        <v>21134.59726462439</v>
      </c>
      <c r="W29" s="100"/>
      <c r="X29" s="93"/>
      <c r="Y29" s="93"/>
      <c r="Z29" s="89"/>
      <c r="AA29" s="92">
        <f t="shared" si="1"/>
        <v>143200.56997440002</v>
      </c>
      <c r="AB29" s="92">
        <f t="shared" si="2"/>
        <v>188741.87479674799</v>
      </c>
      <c r="AC29" s="92">
        <f t="shared" si="3"/>
        <v>45541.304822347971</v>
      </c>
      <c r="AD29" s="93"/>
      <c r="AE29" s="93"/>
      <c r="AF29" s="93"/>
    </row>
    <row r="30" spans="1:32" x14ac:dyDescent="0.2">
      <c r="A30" s="88">
        <v>29</v>
      </c>
      <c r="B30" s="96">
        <f>ROUNDDOWN(B29*(1+'Assumption Sheet'!E$11), 0)</f>
        <v>4359</v>
      </c>
      <c r="C30" s="95">
        <f>'Assumption Sheet'!B$12*B30</f>
        <v>159440.17073170733</v>
      </c>
      <c r="D30" s="95">
        <f>'Assumption Sheet'!B$10*B30</f>
        <v>134061.15397500002</v>
      </c>
      <c r="E30" s="97">
        <f>'Assumption Sheet'!B$11*B30</f>
        <v>28922.919195731694</v>
      </c>
      <c r="F30" s="98">
        <f t="shared" si="6"/>
        <v>1348</v>
      </c>
      <c r="G30" s="89">
        <v>30000</v>
      </c>
      <c r="H30" s="95">
        <f>G30*'Assumption Sheet'!B$10</f>
        <v>922650.75000000012</v>
      </c>
      <c r="I30" s="90"/>
      <c r="J30" s="90"/>
      <c r="K30" s="89">
        <f>SUM(B$2:B30)</f>
        <v>41652</v>
      </c>
      <c r="L30" s="90">
        <f>SUM(B$2:B30)</f>
        <v>41652</v>
      </c>
      <c r="M30" s="91">
        <f>ROUNDDOWN(L30*'Assumption Sheet'!D$28, 0)</f>
        <v>35404</v>
      </c>
      <c r="N30" s="92">
        <f>(M30*'Assumption Sheet'!D$29)*'Assumption Sheet'!E$22</f>
        <v>7660.859136</v>
      </c>
      <c r="O30" s="92">
        <f>(M30*'Assumption Sheet'!C$29)*'Assumption Sheet'!E$19</f>
        <v>15831.056910569107</v>
      </c>
      <c r="P30" s="99">
        <f>M30*'Assumption Sheet'!$D$30*'Assumption Sheet'!$H$22</f>
        <v>7910.6697599999998</v>
      </c>
      <c r="Q30" s="92">
        <f>M30*'Assumption Sheet'!$D$30*'Assumption Sheet'!$H$19</f>
        <v>21875.642276422765</v>
      </c>
      <c r="R30" s="99">
        <f>(M30*'Assumption Sheet'!B$31)*'Assumption Sheet'!K$23</f>
        <v>372.50672639999999</v>
      </c>
      <c r="S30" s="99">
        <f>(M30*'Assumption Sheet'!B$31)*'Assumption Sheet'!K$22</f>
        <v>1842.1593495934962</v>
      </c>
      <c r="T30" s="92">
        <f t="shared" si="4"/>
        <v>15944.035622400001</v>
      </c>
      <c r="U30" s="99">
        <f t="shared" si="5"/>
        <v>39548.858536585365</v>
      </c>
      <c r="V30" s="92">
        <f t="shared" si="0"/>
        <v>23604.822914185366</v>
      </c>
      <c r="W30" s="100"/>
      <c r="X30" s="93"/>
      <c r="Y30" s="93"/>
      <c r="Z30" s="89"/>
      <c r="AA30" s="92">
        <f t="shared" si="1"/>
        <v>150005.18959740002</v>
      </c>
      <c r="AB30" s="92">
        <f t="shared" si="2"/>
        <v>198989.02926829271</v>
      </c>
      <c r="AC30" s="92">
        <f t="shared" si="3"/>
        <v>48983.839670892688</v>
      </c>
      <c r="AD30" s="93"/>
      <c r="AE30" s="93"/>
      <c r="AF30" s="93"/>
    </row>
    <row r="31" spans="1:32" x14ac:dyDescent="0.2">
      <c r="A31" s="88">
        <v>30</v>
      </c>
      <c r="B31" s="96">
        <f>ROUNDDOWN(B30*(1+'Assumption Sheet'!E$11), 0)</f>
        <v>4533</v>
      </c>
      <c r="C31" s="95">
        <f>'Assumption Sheet'!B$12*B31</f>
        <v>165804.60975609758</v>
      </c>
      <c r="D31" s="95">
        <f>'Assumption Sheet'!B$10*B31</f>
        <v>139412.52832500002</v>
      </c>
      <c r="E31" s="97">
        <f>'Assumption Sheet'!B$11*B31</f>
        <v>30077.447284756083</v>
      </c>
      <c r="F31" s="98">
        <f t="shared" si="6"/>
        <v>26815</v>
      </c>
      <c r="G31" s="89"/>
      <c r="H31" s="95"/>
      <c r="I31" s="90"/>
      <c r="J31" s="90"/>
      <c r="K31" s="89">
        <f>SUM(B$2:B31)</f>
        <v>46185</v>
      </c>
      <c r="L31" s="90">
        <f>SUM(B$2:B31)</f>
        <v>46185</v>
      </c>
      <c r="M31" s="91">
        <f>ROUNDDOWN(L31*'Assumption Sheet'!D$28, 0)</f>
        <v>39257</v>
      </c>
      <c r="N31" s="92">
        <f>(M31*'Assumption Sheet'!D$29)*'Assumption Sheet'!E$22</f>
        <v>8494.5866879999994</v>
      </c>
      <c r="O31" s="92">
        <f>(M31*'Assumption Sheet'!C$29)*'Assumption Sheet'!E$19</f>
        <v>17553.943089430897</v>
      </c>
      <c r="P31" s="99">
        <f>M31*'Assumption Sheet'!$D$30*'Assumption Sheet'!$H$22</f>
        <v>8771.5840799999987</v>
      </c>
      <c r="Q31" s="92">
        <f>M31*'Assumption Sheet'!$D$30*'Assumption Sheet'!$H$19</f>
        <v>24256.357723577235</v>
      </c>
      <c r="R31" s="99">
        <f>(M31*'Assumption Sheet'!B$31)*'Assumption Sheet'!K$23</f>
        <v>413.04645119999998</v>
      </c>
      <c r="S31" s="99">
        <f>(M31*'Assumption Sheet'!B$31)*'Assumption Sheet'!K$22</f>
        <v>2042.6406504065044</v>
      </c>
      <c r="T31" s="92">
        <f t="shared" si="4"/>
        <v>17679.217219199996</v>
      </c>
      <c r="U31" s="99">
        <f t="shared" si="5"/>
        <v>43852.941463414631</v>
      </c>
      <c r="V31" s="92">
        <f t="shared" si="0"/>
        <v>26173.724244214634</v>
      </c>
      <c r="W31" s="100"/>
      <c r="X31" s="93"/>
      <c r="Y31" s="93"/>
      <c r="Z31" s="89"/>
      <c r="AA31" s="92">
        <f t="shared" si="1"/>
        <v>157091.74554420001</v>
      </c>
      <c r="AB31" s="92">
        <f t="shared" si="2"/>
        <v>209657.55121951221</v>
      </c>
      <c r="AC31" s="92">
        <f t="shared" si="3"/>
        <v>52565.805675312207</v>
      </c>
      <c r="AD31" s="93"/>
      <c r="AE31" s="93"/>
      <c r="AF31" s="93"/>
    </row>
    <row r="32" spans="1:32" x14ac:dyDescent="0.2">
      <c r="A32" s="88">
        <v>31</v>
      </c>
      <c r="B32" s="96">
        <f>ROUNDDOWN(B31*(1+'Assumption Sheet'!E$11), 0)</f>
        <v>4714</v>
      </c>
      <c r="C32" s="95">
        <f>'Assumption Sheet'!B$12*B32</f>
        <v>172425.08943089432</v>
      </c>
      <c r="D32" s="95">
        <f>'Assumption Sheet'!B$10*B32</f>
        <v>144979.18785000002</v>
      </c>
      <c r="E32" s="97">
        <f>'Assumption Sheet'!B$11*B32</f>
        <v>31278.421906097548</v>
      </c>
      <c r="F32" s="98">
        <f t="shared" si="6"/>
        <v>22101</v>
      </c>
      <c r="G32" s="89"/>
      <c r="H32" s="95"/>
      <c r="I32" s="90"/>
      <c r="J32" s="90"/>
      <c r="K32" s="89">
        <f>SUM(B$2:B32)</f>
        <v>50899</v>
      </c>
      <c r="L32" s="90">
        <f>SUM(B$2:B32)</f>
        <v>50899</v>
      </c>
      <c r="M32" s="91">
        <f>ROUNDDOWN(L32*'Assumption Sheet'!D$28, 0)</f>
        <v>43264</v>
      </c>
      <c r="N32" s="92">
        <f>(M32*'Assumption Sheet'!D$29)*'Assumption Sheet'!E$22</f>
        <v>9361.6373760000006</v>
      </c>
      <c r="O32" s="92">
        <f>(M32*'Assumption Sheet'!C$29)*'Assumption Sheet'!E$19</f>
        <v>19345.691056910568</v>
      </c>
      <c r="P32" s="99">
        <f>M32*'Assumption Sheet'!$D$30*'Assumption Sheet'!$H$22</f>
        <v>9666.908159999999</v>
      </c>
      <c r="Q32" s="92">
        <f>M32*'Assumption Sheet'!$D$30*'Assumption Sheet'!$H$19</f>
        <v>26732.227642276423</v>
      </c>
      <c r="R32" s="99">
        <f>(M32*'Assumption Sheet'!B$31)*'Assumption Sheet'!K$23</f>
        <v>455.20650239999998</v>
      </c>
      <c r="S32" s="99">
        <f>(M32*'Assumption Sheet'!B$31)*'Assumption Sheet'!K$22</f>
        <v>2251.1349593495938</v>
      </c>
      <c r="T32" s="92">
        <f t="shared" si="4"/>
        <v>19483.752038399998</v>
      </c>
      <c r="U32" s="99">
        <f t="shared" si="5"/>
        <v>48329.053658536584</v>
      </c>
      <c r="V32" s="92">
        <f t="shared" si="0"/>
        <v>28845.301620136586</v>
      </c>
      <c r="W32" s="100"/>
      <c r="X32" s="93"/>
      <c r="Y32" s="93"/>
      <c r="Z32" s="89"/>
      <c r="AA32" s="92">
        <f t="shared" si="1"/>
        <v>164462.93988840003</v>
      </c>
      <c r="AB32" s="92">
        <f t="shared" si="2"/>
        <v>220754.1430894309</v>
      </c>
      <c r="AC32" s="92">
        <f t="shared" si="3"/>
        <v>56291.203201030876</v>
      </c>
      <c r="AD32" s="93"/>
      <c r="AE32" s="93"/>
      <c r="AF32" s="93"/>
    </row>
    <row r="33" spans="1:32" x14ac:dyDescent="0.2">
      <c r="A33" s="88">
        <v>32</v>
      </c>
      <c r="B33" s="96">
        <f>ROUNDDOWN(B32*(1+'Assumption Sheet'!E$11), 0)</f>
        <v>4902</v>
      </c>
      <c r="C33" s="95">
        <f>'Assumption Sheet'!B$12*B33</f>
        <v>179301.60975609758</v>
      </c>
      <c r="D33" s="95">
        <f>'Assumption Sheet'!B$10*B33</f>
        <v>150761.13255000001</v>
      </c>
      <c r="E33" s="97">
        <f>'Assumption Sheet'!B$11*B33</f>
        <v>32525.843059756084</v>
      </c>
      <c r="F33" s="98">
        <f t="shared" si="6"/>
        <v>17199</v>
      </c>
      <c r="G33" s="89"/>
      <c r="H33" s="95"/>
      <c r="I33" s="90"/>
      <c r="J33" s="90"/>
      <c r="K33" s="89">
        <f>SUM(B$2:B33)</f>
        <v>55801</v>
      </c>
      <c r="L33" s="90">
        <f>SUM(B$2:B33)</f>
        <v>55801</v>
      </c>
      <c r="M33" s="91">
        <f>ROUNDDOWN(L33*'Assumption Sheet'!D$28, 0)</f>
        <v>47430</v>
      </c>
      <c r="N33" s="92">
        <f>(M33*'Assumption Sheet'!D$29)*'Assumption Sheet'!E$22</f>
        <v>10263.09312</v>
      </c>
      <c r="O33" s="92">
        <f>(M33*'Assumption Sheet'!C$29)*'Assumption Sheet'!E$19</f>
        <v>21208.536585365855</v>
      </c>
      <c r="P33" s="99">
        <f>M33*'Assumption Sheet'!$D$30*'Assumption Sheet'!$H$22</f>
        <v>10597.7592</v>
      </c>
      <c r="Q33" s="92">
        <f>M33*'Assumption Sheet'!$D$30*'Assumption Sheet'!$H$19</f>
        <v>29306.341463414636</v>
      </c>
      <c r="R33" s="99">
        <f>(M33*'Assumption Sheet'!B$31)*'Assumption Sheet'!K$23</f>
        <v>499.03948800000001</v>
      </c>
      <c r="S33" s="99">
        <f>(M33*'Assumption Sheet'!B$31)*'Assumption Sheet'!K$22</f>
        <v>2467.9024390243908</v>
      </c>
      <c r="T33" s="92">
        <f t="shared" si="4"/>
        <v>21359.891807999997</v>
      </c>
      <c r="U33" s="99">
        <f t="shared" si="5"/>
        <v>52982.780487804885</v>
      </c>
      <c r="V33" s="92">
        <f t="shared" si="0"/>
        <v>31622.888679804888</v>
      </c>
      <c r="W33" s="100"/>
      <c r="X33" s="93"/>
      <c r="Y33" s="93"/>
      <c r="Z33" s="89"/>
      <c r="AA33" s="92">
        <f t="shared" si="1"/>
        <v>172121.024358</v>
      </c>
      <c r="AB33" s="92">
        <f t="shared" si="2"/>
        <v>232284.39024390245</v>
      </c>
      <c r="AC33" s="92">
        <f t="shared" si="3"/>
        <v>60163.365885902458</v>
      </c>
      <c r="AD33" s="93"/>
      <c r="AE33" s="93"/>
      <c r="AF33" s="93"/>
    </row>
    <row r="34" spans="1:32" x14ac:dyDescent="0.2">
      <c r="A34" s="88">
        <v>33</v>
      </c>
      <c r="B34" s="96">
        <f>ROUNDDOWN(B33*(1+'Assumption Sheet'!E$11), 0)</f>
        <v>5097</v>
      </c>
      <c r="C34" s="95">
        <f>'Assumption Sheet'!B$12*B34</f>
        <v>186434.17073170733</v>
      </c>
      <c r="D34" s="95">
        <f>'Assumption Sheet'!B$10*B34</f>
        <v>156758.36242500003</v>
      </c>
      <c r="E34" s="97">
        <f>'Assumption Sheet'!B$11*B34</f>
        <v>33819.710745731689</v>
      </c>
      <c r="F34" s="98">
        <f t="shared" si="6"/>
        <v>12102</v>
      </c>
      <c r="G34" s="89"/>
      <c r="H34" s="95"/>
      <c r="I34" s="90"/>
      <c r="J34" s="90"/>
      <c r="K34" s="89">
        <f>SUM(B$2:B34)</f>
        <v>60898</v>
      </c>
      <c r="L34" s="90">
        <f>SUM(B$2:B34)</f>
        <v>60898</v>
      </c>
      <c r="M34" s="91">
        <f>ROUNDDOWN(L34*'Assumption Sheet'!D$28, 0)</f>
        <v>51763</v>
      </c>
      <c r="N34" s="92">
        <f>(M34*'Assumption Sheet'!D$29)*'Assumption Sheet'!E$22</f>
        <v>11200.684992</v>
      </c>
      <c r="O34" s="92">
        <f>(M34*'Assumption Sheet'!C$29)*'Assumption Sheet'!E$19</f>
        <v>23146.056910569107</v>
      </c>
      <c r="P34" s="99">
        <f>M34*'Assumption Sheet'!$D$30*'Assumption Sheet'!$H$22</f>
        <v>11565.924719999999</v>
      </c>
      <c r="Q34" s="92">
        <f>M34*'Assumption Sheet'!$D$30*'Assumption Sheet'!$H$19</f>
        <v>31983.642276422761</v>
      </c>
      <c r="R34" s="99">
        <f>(M34*'Assumption Sheet'!B$31)*'Assumption Sheet'!K$23</f>
        <v>544.62958079999999</v>
      </c>
      <c r="S34" s="99">
        <f>(M34*'Assumption Sheet'!B$31)*'Assumption Sheet'!K$22</f>
        <v>2693.3593495934965</v>
      </c>
      <c r="T34" s="92">
        <f t="shared" si="4"/>
        <v>23311.239292799997</v>
      </c>
      <c r="U34" s="99">
        <f t="shared" si="5"/>
        <v>57823.058536585369</v>
      </c>
      <c r="V34" s="92">
        <f t="shared" ref="V34:V61" si="7">U34-T34</f>
        <v>34511.819243785372</v>
      </c>
      <c r="W34" s="100"/>
      <c r="X34" s="93"/>
      <c r="Y34" s="93"/>
      <c r="Z34" s="89"/>
      <c r="AA34" s="92">
        <f t="shared" ref="AA34:AA61" si="8">D34+T34</f>
        <v>180069.60171780002</v>
      </c>
      <c r="AB34" s="92">
        <f t="shared" ref="AB34:AB61" si="9">C34+U34</f>
        <v>244257.22926829269</v>
      </c>
      <c r="AC34" s="92">
        <f t="shared" ref="AC34:AC61" si="10">AB34-AA34</f>
        <v>64187.627550492674</v>
      </c>
      <c r="AD34" s="93"/>
      <c r="AE34" s="93"/>
      <c r="AF34" s="93"/>
    </row>
    <row r="35" spans="1:32" x14ac:dyDescent="0.2">
      <c r="A35" s="88">
        <v>34</v>
      </c>
      <c r="B35" s="96">
        <f>ROUNDDOWN(B34*(1+'Assumption Sheet'!E$11), 0)</f>
        <v>5300</v>
      </c>
      <c r="C35" s="95">
        <f>'Assumption Sheet'!B$12*B35</f>
        <v>193859.34959349595</v>
      </c>
      <c r="D35" s="95">
        <f>'Assumption Sheet'!B$10*B35</f>
        <v>163001.63250000001</v>
      </c>
      <c r="E35" s="97">
        <f>'Assumption Sheet'!B$11*B35</f>
        <v>35166.660182926811</v>
      </c>
      <c r="F35" s="98">
        <f t="shared" si="6"/>
        <v>6802</v>
      </c>
      <c r="G35" s="89"/>
      <c r="H35" s="95"/>
      <c r="I35" s="90"/>
      <c r="J35" s="90"/>
      <c r="K35" s="89">
        <f>SUM(B$2:B35)</f>
        <v>66198</v>
      </c>
      <c r="L35" s="90">
        <f>SUM(B$2:B35)</f>
        <v>66198</v>
      </c>
      <c r="M35" s="91">
        <f>ROUNDDOWN(L35*'Assumption Sheet'!D$28, 0)</f>
        <v>56268</v>
      </c>
      <c r="N35" s="92">
        <f>(M35*'Assumption Sheet'!D$29)*'Assumption Sheet'!E$22</f>
        <v>12175.494912</v>
      </c>
      <c r="O35" s="92">
        <f>(M35*'Assumption Sheet'!C$29)*'Assumption Sheet'!E$19</f>
        <v>25160.487804878048</v>
      </c>
      <c r="P35" s="99">
        <f>M35*'Assumption Sheet'!$D$30*'Assumption Sheet'!$H$22</f>
        <v>12572.521919999999</v>
      </c>
      <c r="Q35" s="92">
        <f>M35*'Assumption Sheet'!$D$30*'Assumption Sheet'!$H$19</f>
        <v>34767.219512195123</v>
      </c>
      <c r="R35" s="99">
        <f>(M35*'Assumption Sheet'!B$31)*'Assumption Sheet'!K$23</f>
        <v>592.02938880000011</v>
      </c>
      <c r="S35" s="99">
        <f>(M35*'Assumption Sheet'!B$31)*'Assumption Sheet'!K$22</f>
        <v>2927.7658536585373</v>
      </c>
      <c r="T35" s="92">
        <f t="shared" si="4"/>
        <v>25340.046220800003</v>
      </c>
      <c r="U35" s="99">
        <f t="shared" ref="U35:U61" si="11">O35+Q35+S35</f>
        <v>62855.473170731711</v>
      </c>
      <c r="V35" s="92">
        <f t="shared" si="7"/>
        <v>37515.426949931709</v>
      </c>
      <c r="W35" s="100"/>
      <c r="X35" s="93"/>
      <c r="Y35" s="93"/>
      <c r="Z35" s="89"/>
      <c r="AA35" s="92">
        <f t="shared" si="8"/>
        <v>188341.6787208</v>
      </c>
      <c r="AB35" s="92">
        <f t="shared" si="9"/>
        <v>256714.82276422766</v>
      </c>
      <c r="AC35" s="92">
        <f t="shared" si="10"/>
        <v>68373.144043427659</v>
      </c>
      <c r="AD35" s="93"/>
      <c r="AE35" s="93"/>
      <c r="AF35" s="93"/>
    </row>
    <row r="36" spans="1:32" x14ac:dyDescent="0.2">
      <c r="A36" s="88">
        <v>35</v>
      </c>
      <c r="B36" s="96">
        <f>ROUNDDOWN(B35*(1+'Assumption Sheet'!E$11), 0)</f>
        <v>5511</v>
      </c>
      <c r="C36" s="95">
        <f>'Assumption Sheet'!B$12*B36</f>
        <v>201577.14634146341</v>
      </c>
      <c r="D36" s="95">
        <f>'Assumption Sheet'!B$10*B36</f>
        <v>169490.94277500003</v>
      </c>
      <c r="E36" s="97">
        <f>'Assumption Sheet'!B$11*B36</f>
        <v>36566.691371341447</v>
      </c>
      <c r="F36" s="98">
        <f t="shared" si="6"/>
        <v>1291</v>
      </c>
      <c r="G36" s="89">
        <v>20000</v>
      </c>
      <c r="H36" s="95">
        <f>G36*'Assumption Sheet'!B$10</f>
        <v>615100.50000000012</v>
      </c>
      <c r="I36" s="90"/>
      <c r="J36" s="90"/>
      <c r="K36" s="89">
        <f>SUM(B$2:B36)</f>
        <v>71709</v>
      </c>
      <c r="L36" s="90">
        <f>SUM(B$2:B36)</f>
        <v>71709</v>
      </c>
      <c r="M36" s="91">
        <f>ROUNDDOWN(L36*'Assumption Sheet'!D$28, 0)</f>
        <v>60952</v>
      </c>
      <c r="N36" s="92">
        <f>(M36*'Assumption Sheet'!D$29)*'Assumption Sheet'!E$22</f>
        <v>13189.037568</v>
      </c>
      <c r="O36" s="92">
        <f>(M36*'Assumption Sheet'!C$29)*'Assumption Sheet'!E$19</f>
        <v>27254.959349593501</v>
      </c>
      <c r="P36" s="99">
        <f>M36*'Assumption Sheet'!$D$30*'Assumption Sheet'!$H$22</f>
        <v>13619.114880000001</v>
      </c>
      <c r="Q36" s="92">
        <f>M36*'Assumption Sheet'!$D$30*'Assumption Sheet'!$H$19</f>
        <v>37661.398373983742</v>
      </c>
      <c r="R36" s="99">
        <f>(M36*'Assumption Sheet'!B$31)*'Assumption Sheet'!K$23</f>
        <v>641.3125632</v>
      </c>
      <c r="S36" s="99">
        <f>(M36*'Assumption Sheet'!B$31)*'Assumption Sheet'!K$22</f>
        <v>3171.4861788617891</v>
      </c>
      <c r="T36" s="92">
        <f t="shared" si="4"/>
        <v>27449.465011200002</v>
      </c>
      <c r="U36" s="99">
        <f t="shared" si="11"/>
        <v>68087.843902439025</v>
      </c>
      <c r="V36" s="92">
        <f t="shared" si="7"/>
        <v>40638.378891239023</v>
      </c>
      <c r="W36" s="100"/>
      <c r="X36" s="93"/>
      <c r="Y36" s="93"/>
      <c r="Z36" s="89"/>
      <c r="AA36" s="92">
        <f t="shared" si="8"/>
        <v>196940.40778620003</v>
      </c>
      <c r="AB36" s="92">
        <f t="shared" si="9"/>
        <v>269664.99024390243</v>
      </c>
      <c r="AC36" s="92">
        <f t="shared" si="10"/>
        <v>72724.582457702403</v>
      </c>
      <c r="AD36" s="93"/>
      <c r="AE36" s="93"/>
      <c r="AF36" s="93"/>
    </row>
    <row r="37" spans="1:32" ht="17" thickBot="1" x14ac:dyDescent="0.25">
      <c r="A37" s="73">
        <v>36</v>
      </c>
      <c r="B37" s="74">
        <f>ROUNDDOWN(B36*(1+'Assumption Sheet'!E$11), 0)</f>
        <v>5731</v>
      </c>
      <c r="C37" s="75">
        <f>'Assumption Sheet'!B$12*B37</f>
        <v>209624.13821138212</v>
      </c>
      <c r="D37" s="75">
        <f>'Assumption Sheet'!B$10*B37</f>
        <v>176257.04827500001</v>
      </c>
      <c r="E37" s="76">
        <f>'Assumption Sheet'!B$11*B37</f>
        <v>38026.439529878029</v>
      </c>
      <c r="F37" s="86">
        <f t="shared" si="6"/>
        <v>15560</v>
      </c>
      <c r="G37" s="78"/>
      <c r="H37" s="75"/>
      <c r="I37" s="79">
        <f>SUM(B26:B37)</f>
        <v>55976</v>
      </c>
      <c r="J37" s="79">
        <f>SUM(C26:C37)</f>
        <v>2047447.349593496</v>
      </c>
      <c r="K37" s="78">
        <f>SUM(B$2:B37)</f>
        <v>77440</v>
      </c>
      <c r="L37" s="81">
        <f>SUM(B$2:B37)</f>
        <v>77440</v>
      </c>
      <c r="M37" s="82">
        <f>ROUNDDOWN(L37*'Assumption Sheet'!D$28, 0)</f>
        <v>65824</v>
      </c>
      <c r="N37" s="83">
        <f>(M37*'Assumption Sheet'!D$29)*'Assumption Sheet'!E$22</f>
        <v>14243.260415999999</v>
      </c>
      <c r="O37" s="83">
        <f>(M37*'Assumption Sheet'!C$29)*'Assumption Sheet'!E$19</f>
        <v>29433.495934959352</v>
      </c>
      <c r="P37" s="87">
        <f>M37*'Assumption Sheet'!$D$30*'Assumption Sheet'!$H$22</f>
        <v>14707.714559999999</v>
      </c>
      <c r="Q37" s="83">
        <f>M37*'Assumption Sheet'!$D$30*'Assumption Sheet'!$H$19</f>
        <v>40671.739837398374</v>
      </c>
      <c r="R37" s="87">
        <f>(M37*'Assumption Sheet'!B$31)*'Assumption Sheet'!K$23</f>
        <v>692.57379839999999</v>
      </c>
      <c r="S37" s="87">
        <f>(M37*'Assumption Sheet'!B$31)*'Assumption Sheet'!K$22</f>
        <v>3424.9886178861793</v>
      </c>
      <c r="T37" s="83">
        <f t="shared" si="4"/>
        <v>29643.548774399998</v>
      </c>
      <c r="U37" s="87">
        <f t="shared" si="11"/>
        <v>73530.224390243908</v>
      </c>
      <c r="V37" s="83">
        <f t="shared" si="7"/>
        <v>43886.675615843909</v>
      </c>
      <c r="W37" s="84">
        <f>L37</f>
        <v>77440</v>
      </c>
      <c r="X37" s="85">
        <f>SUM(U26:U37)</f>
        <v>565371.95609756093</v>
      </c>
      <c r="Y37" s="85">
        <f>SUM(T26:T37)</f>
        <v>227928.46472639998</v>
      </c>
      <c r="Z37" s="78"/>
      <c r="AA37" s="83">
        <f t="shared" si="8"/>
        <v>205900.59704940001</v>
      </c>
      <c r="AB37" s="83">
        <f t="shared" si="9"/>
        <v>283154.36260162602</v>
      </c>
      <c r="AC37" s="83">
        <f t="shared" si="10"/>
        <v>77253.765552226017</v>
      </c>
      <c r="AD37" s="85">
        <f>SUM(AA26:AA37)</f>
        <v>1949471.7441264002</v>
      </c>
      <c r="AE37" s="85">
        <f>SUM(AB26:AB37)</f>
        <v>2612819.3056910574</v>
      </c>
      <c r="AF37" s="85">
        <f>SUM(AC26:AC37)</f>
        <v>663347.56156465679</v>
      </c>
    </row>
    <row r="38" spans="1:32" ht="17" thickTop="1" x14ac:dyDescent="0.2">
      <c r="A38" s="88">
        <v>37</v>
      </c>
      <c r="B38" s="96">
        <f>ROUNDDOWN(B37*(1+'Assumption Sheet'!E$5), 0)</f>
        <v>5817</v>
      </c>
      <c r="C38" s="95">
        <f>'Assumption Sheet'!B$12*B38</f>
        <v>212769.78048780488</v>
      </c>
      <c r="D38" s="95">
        <f>'Assumption Sheet'!B$10*B38</f>
        <v>178901.98042500002</v>
      </c>
      <c r="E38" s="97">
        <f>'Assumption Sheet'!B$11*B38</f>
        <v>38597.068355487791</v>
      </c>
      <c r="F38" s="98">
        <f t="shared" si="6"/>
        <v>9743</v>
      </c>
      <c r="G38" s="89"/>
      <c r="H38" s="95"/>
      <c r="I38" s="90"/>
      <c r="J38" s="90"/>
      <c r="K38" s="89">
        <f>SUM(B$2:B38)</f>
        <v>83257</v>
      </c>
      <c r="L38" s="90">
        <f>SUM(B$2:B38)</f>
        <v>83257</v>
      </c>
      <c r="M38" s="91">
        <f>ROUNDDOWN(L38*'Assumption Sheet'!D$28, 0)</f>
        <v>70768</v>
      </c>
      <c r="N38" s="92">
        <f>(M38*'Assumption Sheet'!D$29)*'Assumption Sheet'!E$22</f>
        <v>15313.062911999999</v>
      </c>
      <c r="O38" s="92">
        <f>(M38*'Assumption Sheet'!C$29)*'Assumption Sheet'!E$19</f>
        <v>31644.227642276423</v>
      </c>
      <c r="P38" s="99">
        <f>M38*'Assumption Sheet'!$D$30*'Assumption Sheet'!$H$22</f>
        <v>15812.401919999998</v>
      </c>
      <c r="Q38" s="99">
        <f>M38*'Assumption Sheet'!$D$30*'Assumption Sheet'!$H$19</f>
        <v>43726.569105691058</v>
      </c>
      <c r="R38" s="99">
        <f>(M38*'Assumption Sheet'!B$31)*'Assumption Sheet'!K$23</f>
        <v>744.59258880000004</v>
      </c>
      <c r="S38" s="99">
        <f>(M38*'Assumption Sheet'!B$31)*'Assumption Sheet'!K$22</f>
        <v>3682.2373983739844</v>
      </c>
      <c r="T38" s="92">
        <f t="shared" si="4"/>
        <v>31870.057420799996</v>
      </c>
      <c r="U38" s="99">
        <f t="shared" si="11"/>
        <v>79053.034146341466</v>
      </c>
      <c r="V38" s="92">
        <f t="shared" si="7"/>
        <v>47182.97672554147</v>
      </c>
      <c r="W38" s="100"/>
      <c r="X38" s="93"/>
      <c r="Y38" s="93"/>
      <c r="Z38" s="89"/>
      <c r="AA38" s="92">
        <f t="shared" si="8"/>
        <v>210772.03784580002</v>
      </c>
      <c r="AB38" s="92">
        <f t="shared" si="9"/>
        <v>291822.81463414634</v>
      </c>
      <c r="AC38" s="92">
        <f t="shared" si="10"/>
        <v>81050.776788346324</v>
      </c>
      <c r="AD38" s="93"/>
      <c r="AE38" s="93"/>
      <c r="AF38" s="93"/>
    </row>
    <row r="39" spans="1:32" x14ac:dyDescent="0.2">
      <c r="A39" s="88">
        <v>38</v>
      </c>
      <c r="B39" s="96">
        <f>ROUNDDOWN(B38*(1+'Assumption Sheet'!E$5), 0)</f>
        <v>5905</v>
      </c>
      <c r="C39" s="95">
        <f>'Assumption Sheet'!B$12*B39</f>
        <v>215988.57723577236</v>
      </c>
      <c r="D39" s="95">
        <f>'Assumption Sheet'!B$10*B39</f>
        <v>181608.42262500001</v>
      </c>
      <c r="E39" s="97">
        <f>'Assumption Sheet'!B$11*B39</f>
        <v>39180.967618902418</v>
      </c>
      <c r="F39" s="98">
        <f t="shared" si="6"/>
        <v>3838</v>
      </c>
      <c r="G39" s="89">
        <v>40000</v>
      </c>
      <c r="H39" s="95">
        <f>G39*'Assumption Sheet'!B$10</f>
        <v>1230201.0000000002</v>
      </c>
      <c r="I39" s="90"/>
      <c r="J39" s="90"/>
      <c r="K39" s="89">
        <f>SUM(B$2:B39)</f>
        <v>89162</v>
      </c>
      <c r="L39" s="90">
        <f>SUM(B$2:B39)</f>
        <v>89162</v>
      </c>
      <c r="M39" s="91">
        <f>ROUNDDOWN(L39*'Assumption Sheet'!D$28, 0)</f>
        <v>75787</v>
      </c>
      <c r="N39" s="92">
        <f>(M39*'Assumption Sheet'!D$29)*'Assumption Sheet'!E$22</f>
        <v>16399.094207999999</v>
      </c>
      <c r="O39" s="92">
        <f>(M39*'Assumption Sheet'!C$29)*'Assumption Sheet'!E$19</f>
        <v>33888.495934959356</v>
      </c>
      <c r="P39" s="99">
        <f>M39*'Assumption Sheet'!$D$30*'Assumption Sheet'!$H$22</f>
        <v>16933.847279999998</v>
      </c>
      <c r="Q39" s="99">
        <f>M39*'Assumption Sheet'!$D$30*'Assumption Sheet'!$H$19</f>
        <v>46827.739837398374</v>
      </c>
      <c r="R39" s="99">
        <f>(M39*'Assumption Sheet'!B$31)*'Assumption Sheet'!K$23</f>
        <v>797.40049920000001</v>
      </c>
      <c r="S39" s="99">
        <f>(M39*'Assumption Sheet'!B$31)*'Assumption Sheet'!K$22</f>
        <v>3943.3886178861794</v>
      </c>
      <c r="T39" s="92">
        <f t="shared" si="4"/>
        <v>34130.341987199994</v>
      </c>
      <c r="U39" s="99">
        <f t="shared" si="11"/>
        <v>84659.624390243902</v>
      </c>
      <c r="V39" s="92">
        <f t="shared" si="7"/>
        <v>50529.282403043908</v>
      </c>
      <c r="W39" s="100"/>
      <c r="X39" s="93"/>
      <c r="Y39" s="93"/>
      <c r="Z39" s="89"/>
      <c r="AA39" s="92">
        <f t="shared" si="8"/>
        <v>215738.7646122</v>
      </c>
      <c r="AB39" s="92">
        <f t="shared" si="9"/>
        <v>300648.20162601629</v>
      </c>
      <c r="AC39" s="92">
        <f t="shared" si="10"/>
        <v>84909.437013816292</v>
      </c>
      <c r="AD39" s="93"/>
      <c r="AE39" s="93"/>
      <c r="AF39" s="93"/>
    </row>
    <row r="40" spans="1:32" x14ac:dyDescent="0.2">
      <c r="A40" s="88">
        <v>39</v>
      </c>
      <c r="B40" s="96">
        <f>ROUNDDOWN(B39*(1+'Assumption Sheet'!E$5), 0)</f>
        <v>5994</v>
      </c>
      <c r="C40" s="95">
        <f>'Assumption Sheet'!B$12*B40</f>
        <v>219243.95121951221</v>
      </c>
      <c r="D40" s="95">
        <f>'Assumption Sheet'!B$10*B40</f>
        <v>184345.61985000002</v>
      </c>
      <c r="E40" s="97">
        <f>'Assumption Sheet'!B$11*B40</f>
        <v>39771.502101219492</v>
      </c>
      <c r="F40" s="98">
        <f t="shared" ref="F40:F61" si="12">F39-ROUNDDOWN(B40, 0)+G39</f>
        <v>37844</v>
      </c>
      <c r="G40" s="89"/>
      <c r="H40" s="95"/>
      <c r="I40" s="90"/>
      <c r="J40" s="90"/>
      <c r="K40" s="89">
        <f>SUM(B$2:B40)</f>
        <v>95156</v>
      </c>
      <c r="L40" s="90">
        <f>SUM(B$2:B40)</f>
        <v>95156</v>
      </c>
      <c r="M40" s="91">
        <f>ROUNDDOWN(L40*'Assumption Sheet'!D$28, 0)</f>
        <v>80882</v>
      </c>
      <c r="N40" s="92">
        <f>(M40*'Assumption Sheet'!D$29)*'Assumption Sheet'!E$22</f>
        <v>17501.570688</v>
      </c>
      <c r="O40" s="92">
        <f>(M40*'Assumption Sheet'!C$29)*'Assumption Sheet'!E$19</f>
        <v>36166.747967479678</v>
      </c>
      <c r="P40" s="99">
        <f>M40*'Assumption Sheet'!$D$30*'Assumption Sheet'!$H$22</f>
        <v>18072.274079999999</v>
      </c>
      <c r="Q40" s="99">
        <f>M40*'Assumption Sheet'!$D$30*'Assumption Sheet'!$H$19</f>
        <v>49975.869918699187</v>
      </c>
      <c r="R40" s="99">
        <f>(M40*'Assumption Sheet'!B$31)*'Assumption Sheet'!K$23</f>
        <v>851.00805120000007</v>
      </c>
      <c r="S40" s="99">
        <f>(M40*'Assumption Sheet'!B$31)*'Assumption Sheet'!K$22</f>
        <v>4208.4943089430899</v>
      </c>
      <c r="T40" s="92">
        <f t="shared" si="4"/>
        <v>36424.852819199994</v>
      </c>
      <c r="U40" s="99">
        <f t="shared" si="11"/>
        <v>90351.112195121954</v>
      </c>
      <c r="V40" s="92">
        <f t="shared" si="7"/>
        <v>53926.25937592196</v>
      </c>
      <c r="W40" s="100"/>
      <c r="X40" s="93"/>
      <c r="Y40" s="93"/>
      <c r="Z40" s="89"/>
      <c r="AA40" s="92">
        <f t="shared" si="8"/>
        <v>220770.47266920001</v>
      </c>
      <c r="AB40" s="92">
        <f t="shared" si="9"/>
        <v>309595.06341463415</v>
      </c>
      <c r="AC40" s="92">
        <f t="shared" si="10"/>
        <v>88824.590745434136</v>
      </c>
      <c r="AD40" s="93"/>
      <c r="AE40" s="93"/>
      <c r="AF40" s="93"/>
    </row>
    <row r="41" spans="1:32" x14ac:dyDescent="0.2">
      <c r="A41" s="88">
        <v>40</v>
      </c>
      <c r="B41" s="96">
        <f>ROUNDDOWN(B40*(1+'Assumption Sheet'!E$5), 0)</f>
        <v>6084</v>
      </c>
      <c r="C41" s="95">
        <f>'Assumption Sheet'!B$12*B41</f>
        <v>222535.90243902439</v>
      </c>
      <c r="D41" s="95">
        <f>'Assumption Sheet'!B$10*B41</f>
        <v>187113.57210000002</v>
      </c>
      <c r="E41" s="97">
        <f>'Assumption Sheet'!B$11*B41</f>
        <v>40368.671802439007</v>
      </c>
      <c r="F41" s="98">
        <f t="shared" si="12"/>
        <v>31760</v>
      </c>
      <c r="G41" s="89"/>
      <c r="H41" s="95"/>
      <c r="I41" s="90"/>
      <c r="J41" s="90"/>
      <c r="K41" s="89">
        <f>SUM(B$2:B41)</f>
        <v>101240</v>
      </c>
      <c r="L41" s="90">
        <f>SUM(B$2:B41)</f>
        <v>101240</v>
      </c>
      <c r="M41" s="91">
        <f>ROUNDDOWN(L41*'Assumption Sheet'!D$28, 0)</f>
        <v>86054</v>
      </c>
      <c r="N41" s="92">
        <f>(M41*'Assumption Sheet'!D$29)*'Assumption Sheet'!E$22</f>
        <v>18620.708736</v>
      </c>
      <c r="O41" s="92">
        <f>(M41*'Assumption Sheet'!C$29)*'Assumption Sheet'!E$19</f>
        <v>38479.430894308949</v>
      </c>
      <c r="P41" s="99">
        <f>M41*'Assumption Sheet'!$D$30*'Assumption Sheet'!$H$22</f>
        <v>19227.905759999998</v>
      </c>
      <c r="Q41" s="99">
        <f>M41*'Assumption Sheet'!$D$30*'Assumption Sheet'!$H$19</f>
        <v>53171.577235772354</v>
      </c>
      <c r="R41" s="99">
        <f>(M41*'Assumption Sheet'!B$31)*'Assumption Sheet'!K$23</f>
        <v>905.42576639999993</v>
      </c>
      <c r="S41" s="99">
        <f>(M41*'Assumption Sheet'!B$31)*'Assumption Sheet'!K$22</f>
        <v>4477.606504065041</v>
      </c>
      <c r="T41" s="92">
        <f t="shared" si="4"/>
        <v>38754.040262399998</v>
      </c>
      <c r="U41" s="99">
        <f t="shared" si="11"/>
        <v>96128.614634146346</v>
      </c>
      <c r="V41" s="92">
        <f t="shared" si="7"/>
        <v>57374.574371746348</v>
      </c>
      <c r="W41" s="100"/>
      <c r="X41" s="93"/>
      <c r="Y41" s="93"/>
      <c r="Z41" s="89"/>
      <c r="AA41" s="92">
        <f t="shared" si="8"/>
        <v>225867.61236240002</v>
      </c>
      <c r="AB41" s="92">
        <f t="shared" si="9"/>
        <v>318664.51707317075</v>
      </c>
      <c r="AC41" s="92">
        <f t="shared" si="10"/>
        <v>92796.90471077073</v>
      </c>
      <c r="AD41" s="93"/>
      <c r="AE41" s="93"/>
      <c r="AF41" s="93"/>
    </row>
    <row r="42" spans="1:32" x14ac:dyDescent="0.2">
      <c r="A42" s="88">
        <v>41</v>
      </c>
      <c r="B42" s="96">
        <f>ROUNDDOWN(B41*(1+'Assumption Sheet'!E$5), 0)</f>
        <v>6176</v>
      </c>
      <c r="C42" s="95">
        <f>'Assumption Sheet'!B$12*B42</f>
        <v>225901.00813008132</v>
      </c>
      <c r="D42" s="95">
        <f>'Assumption Sheet'!B$10*B42</f>
        <v>189943.03440000003</v>
      </c>
      <c r="E42" s="97">
        <f>'Assumption Sheet'!B$11*B42</f>
        <v>40979.111941463394</v>
      </c>
      <c r="F42" s="98">
        <f t="shared" si="12"/>
        <v>25584</v>
      </c>
      <c r="G42" s="89"/>
      <c r="H42" s="95"/>
      <c r="I42" s="90"/>
      <c r="J42" s="90"/>
      <c r="K42" s="89">
        <f>SUM(B$2:B42)</f>
        <v>107416</v>
      </c>
      <c r="L42" s="90">
        <f>SUM(B$2:B42)</f>
        <v>107416</v>
      </c>
      <c r="M42" s="91">
        <f>ROUNDDOWN(L42*'Assumption Sheet'!D$28, 0)</f>
        <v>91303</v>
      </c>
      <c r="N42" s="92">
        <f>(M42*'Assumption Sheet'!D$29)*'Assumption Sheet'!E$22</f>
        <v>19756.508352000001</v>
      </c>
      <c r="O42" s="92">
        <f>(M42*'Assumption Sheet'!C$29)*'Assumption Sheet'!E$19</f>
        <v>40826.544715447155</v>
      </c>
      <c r="P42" s="99">
        <f>M42*'Assumption Sheet'!$D$30*'Assumption Sheet'!$H$22</f>
        <v>20400.742319999998</v>
      </c>
      <c r="Q42" s="99">
        <f>M42*'Assumption Sheet'!$D$30*'Assumption Sheet'!$H$19</f>
        <v>56414.861788617884</v>
      </c>
      <c r="R42" s="99">
        <f>(M42*'Assumption Sheet'!B$31)*'Assumption Sheet'!K$23</f>
        <v>960.65364479999994</v>
      </c>
      <c r="S42" s="99">
        <f>(M42*'Assumption Sheet'!B$31)*'Assumption Sheet'!K$22</f>
        <v>4750.7252032520328</v>
      </c>
      <c r="T42" s="92">
        <f t="shared" si="4"/>
        <v>41117.904316799992</v>
      </c>
      <c r="U42" s="99">
        <f t="shared" si="11"/>
        <v>101992.13170731706</v>
      </c>
      <c r="V42" s="92">
        <f t="shared" si="7"/>
        <v>60874.227390517073</v>
      </c>
      <c r="W42" s="100"/>
      <c r="X42" s="93"/>
      <c r="Y42" s="93"/>
      <c r="Z42" s="89"/>
      <c r="AA42" s="92">
        <f t="shared" si="8"/>
        <v>231060.93871680001</v>
      </c>
      <c r="AB42" s="92">
        <f t="shared" si="9"/>
        <v>327893.13983739837</v>
      </c>
      <c r="AC42" s="92">
        <f t="shared" si="10"/>
        <v>96832.201120598358</v>
      </c>
      <c r="AD42" s="93"/>
      <c r="AE42" s="93"/>
      <c r="AF42" s="93"/>
    </row>
    <row r="43" spans="1:32" x14ac:dyDescent="0.2">
      <c r="A43" s="88">
        <v>42</v>
      </c>
      <c r="B43" s="96">
        <f>ROUNDDOWN(B42*(1+'Assumption Sheet'!E$5), 0)</f>
        <v>6269</v>
      </c>
      <c r="C43" s="95">
        <f>'Assumption Sheet'!B$12*B43</f>
        <v>229302.69105691058</v>
      </c>
      <c r="D43" s="95">
        <f>'Assumption Sheet'!B$10*B43</f>
        <v>192803.25172500001</v>
      </c>
      <c r="E43" s="97">
        <f>'Assumption Sheet'!B$11*B43</f>
        <v>41596.187299390222</v>
      </c>
      <c r="F43" s="98">
        <f t="shared" si="12"/>
        <v>19315</v>
      </c>
      <c r="G43" s="89"/>
      <c r="H43" s="95"/>
      <c r="I43" s="90"/>
      <c r="J43" s="90"/>
      <c r="K43" s="89">
        <f>SUM(B$2:B43)</f>
        <v>113685</v>
      </c>
      <c r="L43" s="90">
        <f>SUM(B$2:B43)</f>
        <v>113685</v>
      </c>
      <c r="M43" s="91">
        <f>ROUNDDOWN(L43*'Assumption Sheet'!D$28, 0)</f>
        <v>96632</v>
      </c>
      <c r="N43" s="92">
        <f>(M43*'Assumption Sheet'!D$29)*'Assumption Sheet'!E$22</f>
        <v>20909.618687999999</v>
      </c>
      <c r="O43" s="92">
        <f>(M43*'Assumption Sheet'!C$29)*'Assumption Sheet'!E$19</f>
        <v>43209.430894308949</v>
      </c>
      <c r="P43" s="99">
        <f>M43*'Assumption Sheet'!$D$30*'Assumption Sheet'!$H$22</f>
        <v>21591.45408</v>
      </c>
      <c r="Q43" s="99">
        <f>M43*'Assumption Sheet'!$D$30*'Assumption Sheet'!$H$19</f>
        <v>59707.577235772362</v>
      </c>
      <c r="R43" s="99">
        <f>(M43*'Assumption Sheet'!B$31)*'Assumption Sheet'!K$23</f>
        <v>1016.7232512</v>
      </c>
      <c r="S43" s="99">
        <f>(M43*'Assumption Sheet'!B$31)*'Assumption Sheet'!K$22</f>
        <v>5028.0065040650416</v>
      </c>
      <c r="T43" s="92">
        <f t="shared" si="4"/>
        <v>43517.796019199995</v>
      </c>
      <c r="U43" s="99">
        <f t="shared" si="11"/>
        <v>107945.01463414636</v>
      </c>
      <c r="V43" s="92">
        <f t="shared" si="7"/>
        <v>64427.21861494636</v>
      </c>
      <c r="W43" s="100"/>
      <c r="X43" s="93"/>
      <c r="Y43" s="93"/>
      <c r="Z43" s="89"/>
      <c r="AA43" s="92">
        <f t="shared" si="8"/>
        <v>236321.04774420001</v>
      </c>
      <c r="AB43" s="92">
        <f t="shared" si="9"/>
        <v>337247.70569105691</v>
      </c>
      <c r="AC43" s="92">
        <f t="shared" si="10"/>
        <v>100926.6579468569</v>
      </c>
      <c r="AD43" s="93"/>
      <c r="AE43" s="93"/>
      <c r="AF43" s="93"/>
    </row>
    <row r="44" spans="1:32" x14ac:dyDescent="0.2">
      <c r="A44" s="88">
        <v>43</v>
      </c>
      <c r="B44" s="96">
        <f>ROUNDDOWN(B43*(1+'Assumption Sheet'!E$5), 0)</f>
        <v>6364</v>
      </c>
      <c r="C44" s="95">
        <f>'Assumption Sheet'!B$12*B44</f>
        <v>232777.52845528457</v>
      </c>
      <c r="D44" s="95">
        <f>'Assumption Sheet'!B$10*B44</f>
        <v>195724.97910000003</v>
      </c>
      <c r="E44" s="97">
        <f>'Assumption Sheet'!B$11*B44</f>
        <v>42226.533095121929</v>
      </c>
      <c r="F44" s="98">
        <f t="shared" si="12"/>
        <v>12951</v>
      </c>
      <c r="G44" s="89"/>
      <c r="H44" s="95"/>
      <c r="I44" s="90"/>
      <c r="J44" s="90"/>
      <c r="K44" s="89">
        <f>SUM(B$2:B44)</f>
        <v>120049</v>
      </c>
      <c r="L44" s="90">
        <f>SUM(B$2:B44)</f>
        <v>120049</v>
      </c>
      <c r="M44" s="91">
        <f>ROUNDDOWN(L44*'Assumption Sheet'!D$28, 0)</f>
        <v>102041</v>
      </c>
      <c r="N44" s="92">
        <f>(M44*'Assumption Sheet'!D$29)*'Assumption Sheet'!E$22</f>
        <v>22080.039744000002</v>
      </c>
      <c r="O44" s="92">
        <f>(M44*'Assumption Sheet'!C$29)*'Assumption Sheet'!E$19</f>
        <v>45628.08943089431</v>
      </c>
      <c r="P44" s="99">
        <f>M44*'Assumption Sheet'!$D$30*'Assumption Sheet'!$H$22</f>
        <v>22800.04104</v>
      </c>
      <c r="Q44" s="99">
        <f>M44*'Assumption Sheet'!$D$30*'Assumption Sheet'!$H$19</f>
        <v>63049.723577235774</v>
      </c>
      <c r="R44" s="99">
        <f>(M44*'Assumption Sheet'!B$31)*'Assumption Sheet'!K$23</f>
        <v>1073.6345856</v>
      </c>
      <c r="S44" s="99">
        <f>(M44*'Assumption Sheet'!B$31)*'Assumption Sheet'!K$22</f>
        <v>5309.4504065040655</v>
      </c>
      <c r="T44" s="92">
        <f t="shared" si="4"/>
        <v>45953.715369600002</v>
      </c>
      <c r="U44" s="99">
        <f t="shared" si="11"/>
        <v>113987.26341463416</v>
      </c>
      <c r="V44" s="92">
        <f t="shared" si="7"/>
        <v>68033.548045034157</v>
      </c>
      <c r="W44" s="100"/>
      <c r="X44" s="93"/>
      <c r="Y44" s="93"/>
      <c r="Z44" s="89"/>
      <c r="AA44" s="92">
        <f t="shared" si="8"/>
        <v>241678.69446960004</v>
      </c>
      <c r="AB44" s="92">
        <f t="shared" si="9"/>
        <v>346764.7918699187</v>
      </c>
      <c r="AC44" s="92">
        <f t="shared" si="10"/>
        <v>105086.09740031866</v>
      </c>
      <c r="AD44" s="93"/>
      <c r="AE44" s="93"/>
      <c r="AF44" s="93"/>
    </row>
    <row r="45" spans="1:32" x14ac:dyDescent="0.2">
      <c r="A45" s="88">
        <v>44</v>
      </c>
      <c r="B45" s="96">
        <f>ROUNDDOWN(B44*(1+'Assumption Sheet'!E$5), 0)</f>
        <v>6460</v>
      </c>
      <c r="C45" s="95">
        <f>'Assumption Sheet'!B$12*B45</f>
        <v>236288.94308943089</v>
      </c>
      <c r="D45" s="95">
        <f>'Assumption Sheet'!B$10*B45</f>
        <v>198677.46150000003</v>
      </c>
      <c r="E45" s="97">
        <f>'Assumption Sheet'!B$11*B45</f>
        <v>42863.514109756077</v>
      </c>
      <c r="F45" s="98">
        <f t="shared" si="12"/>
        <v>6491</v>
      </c>
      <c r="G45" s="89">
        <v>50000</v>
      </c>
      <c r="H45" s="95">
        <f>G45*'Assumption Sheet'!B$10</f>
        <v>1537751.2500000002</v>
      </c>
      <c r="I45" s="90"/>
      <c r="J45" s="90"/>
      <c r="K45" s="89">
        <f>SUM(B$2:B45)</f>
        <v>126509</v>
      </c>
      <c r="L45" s="90">
        <f>SUM(B$2:B45)</f>
        <v>126509</v>
      </c>
      <c r="M45" s="91">
        <f>ROUNDDOWN(L45*'Assumption Sheet'!D$28, 0)</f>
        <v>107532</v>
      </c>
      <c r="N45" s="92">
        <f>(M45*'Assumption Sheet'!D$29)*'Assumption Sheet'!E$22</f>
        <v>23268.204288000001</v>
      </c>
      <c r="O45" s="92">
        <f>(M45*'Assumption Sheet'!C$29)*'Assumption Sheet'!E$19</f>
        <v>48083.414634146342</v>
      </c>
      <c r="P45" s="99">
        <f>M45*'Assumption Sheet'!$D$30*'Assumption Sheet'!$H$22</f>
        <v>24026.950080000002</v>
      </c>
      <c r="Q45" s="99">
        <f>M45*'Assumption Sheet'!$D$30*'Assumption Sheet'!$H$19</f>
        <v>66442.536585365859</v>
      </c>
      <c r="R45" s="99">
        <f>(M45*'Assumption Sheet'!B$31)*'Assumption Sheet'!K$23</f>
        <v>1131.4086912</v>
      </c>
      <c r="S45" s="99">
        <f>(M45*'Assumption Sheet'!B$31)*'Assumption Sheet'!K$22</f>
        <v>5595.1609756097569</v>
      </c>
      <c r="T45" s="92">
        <f t="shared" si="4"/>
        <v>48426.563059200002</v>
      </c>
      <c r="U45" s="99">
        <f t="shared" si="11"/>
        <v>120121.11219512197</v>
      </c>
      <c r="V45" s="92">
        <f t="shared" si="7"/>
        <v>71694.54913592196</v>
      </c>
      <c r="W45" s="100"/>
      <c r="X45" s="93"/>
      <c r="Y45" s="93"/>
      <c r="Z45" s="89"/>
      <c r="AA45" s="92">
        <f t="shared" si="8"/>
        <v>247104.02455920004</v>
      </c>
      <c r="AB45" s="92">
        <f t="shared" si="9"/>
        <v>356410.05528455286</v>
      </c>
      <c r="AC45" s="92">
        <f t="shared" si="10"/>
        <v>109306.03072535282</v>
      </c>
      <c r="AD45" s="93"/>
      <c r="AE45" s="93"/>
      <c r="AF45" s="93"/>
    </row>
    <row r="46" spans="1:32" x14ac:dyDescent="0.2">
      <c r="A46" s="88">
        <v>45</v>
      </c>
      <c r="B46" s="96">
        <f>ROUNDDOWN(B45*(1+'Assumption Sheet'!E$5), 0)</f>
        <v>6557</v>
      </c>
      <c r="C46" s="95">
        <f>'Assumption Sheet'!B$12*B46</f>
        <v>239836.9349593496</v>
      </c>
      <c r="D46" s="95">
        <f>'Assumption Sheet'!B$10*B46</f>
        <v>201660.69892500003</v>
      </c>
      <c r="E46" s="97">
        <f>'Assumption Sheet'!B$11*B46</f>
        <v>43507.130343292665</v>
      </c>
      <c r="F46" s="98">
        <f t="shared" si="12"/>
        <v>49934</v>
      </c>
      <c r="G46" s="89"/>
      <c r="H46" s="95"/>
      <c r="I46" s="90"/>
      <c r="J46" s="90"/>
      <c r="K46" s="89">
        <f>SUM(B$2:B46)</f>
        <v>133066</v>
      </c>
      <c r="L46" s="90">
        <f>SUM(B$2:B46)</f>
        <v>133066</v>
      </c>
      <c r="M46" s="91">
        <f>ROUNDDOWN(L46*'Assumption Sheet'!D$28, 0)</f>
        <v>113106</v>
      </c>
      <c r="N46" s="92">
        <f>(M46*'Assumption Sheet'!D$29)*'Assumption Sheet'!E$22</f>
        <v>24474.328704</v>
      </c>
      <c r="O46" s="92">
        <f>(M46*'Assumption Sheet'!C$29)*'Assumption Sheet'!E$19</f>
        <v>50575.853658536587</v>
      </c>
      <c r="P46" s="99">
        <f>M46*'Assumption Sheet'!$D$30*'Assumption Sheet'!$H$22</f>
        <v>25272.404639999997</v>
      </c>
      <c r="Q46" s="99">
        <f>M46*'Assumption Sheet'!$D$30*'Assumption Sheet'!$H$19</f>
        <v>69886.634146341457</v>
      </c>
      <c r="R46" s="99">
        <f>(M46*'Assumption Sheet'!B$31)*'Assumption Sheet'!K$23</f>
        <v>1190.0560896</v>
      </c>
      <c r="S46" s="99">
        <f>(M46*'Assumption Sheet'!B$31)*'Assumption Sheet'!K$22</f>
        <v>5885.1902439024398</v>
      </c>
      <c r="T46" s="92">
        <f t="shared" si="4"/>
        <v>50936.789433599995</v>
      </c>
      <c r="U46" s="99">
        <f t="shared" si="11"/>
        <v>126347.67804878048</v>
      </c>
      <c r="V46" s="92">
        <f t="shared" si="7"/>
        <v>75410.888615180476</v>
      </c>
      <c r="W46" s="100"/>
      <c r="X46" s="93"/>
      <c r="Y46" s="93"/>
      <c r="Z46" s="89"/>
      <c r="AA46" s="92">
        <f t="shared" si="8"/>
        <v>252597.48835860004</v>
      </c>
      <c r="AB46" s="92">
        <f t="shared" si="9"/>
        <v>366184.61300813011</v>
      </c>
      <c r="AC46" s="92">
        <f t="shared" si="10"/>
        <v>113587.12464953007</v>
      </c>
      <c r="AD46" s="93"/>
      <c r="AE46" s="93"/>
      <c r="AF46" s="93"/>
    </row>
    <row r="47" spans="1:32" x14ac:dyDescent="0.2">
      <c r="A47" s="88">
        <v>46</v>
      </c>
      <c r="B47" s="96">
        <f>ROUNDDOWN(B46*(1+'Assumption Sheet'!E$5), 0)</f>
        <v>6656</v>
      </c>
      <c r="C47" s="95">
        <f>'Assumption Sheet'!B$12*B47</f>
        <v>243458.08130081301</v>
      </c>
      <c r="D47" s="95">
        <f>'Assumption Sheet'!B$10*B47</f>
        <v>204705.44640000002</v>
      </c>
      <c r="E47" s="97">
        <f>'Assumption Sheet'!B$11*B47</f>
        <v>44164.017014634126</v>
      </c>
      <c r="F47" s="98">
        <f t="shared" si="12"/>
        <v>43278</v>
      </c>
      <c r="G47" s="89"/>
      <c r="H47" s="95"/>
      <c r="I47" s="90"/>
      <c r="J47" s="90"/>
      <c r="K47" s="89">
        <f>SUM(B$2:B47)</f>
        <v>139722</v>
      </c>
      <c r="L47" s="90">
        <f>SUM(B$2:B47)</f>
        <v>139722</v>
      </c>
      <c r="M47" s="91">
        <f>ROUNDDOWN(L47*'Assumption Sheet'!D$28, 0)</f>
        <v>118763</v>
      </c>
      <c r="N47" s="92">
        <f>(M47*'Assumption Sheet'!D$29)*'Assumption Sheet'!E$22</f>
        <v>25698.412992000001</v>
      </c>
      <c r="O47" s="92">
        <f>(M47*'Assumption Sheet'!C$29)*'Assumption Sheet'!E$19</f>
        <v>53105.406504065046</v>
      </c>
      <c r="P47" s="99">
        <f>M47*'Assumption Sheet'!$D$30*'Assumption Sheet'!$H$22</f>
        <v>26536.404719999999</v>
      </c>
      <c r="Q47" s="99">
        <f>M47*'Assumption Sheet'!$D$30*'Assumption Sheet'!$H$19</f>
        <v>73382.016260162607</v>
      </c>
      <c r="R47" s="99">
        <f>(M47*'Assumption Sheet'!B$31)*'Assumption Sheet'!K$23</f>
        <v>1249.5767808000001</v>
      </c>
      <c r="S47" s="99">
        <f>(M47*'Assumption Sheet'!B$31)*'Assumption Sheet'!K$22</f>
        <v>6179.5382113821152</v>
      </c>
      <c r="T47" s="92">
        <f t="shared" si="4"/>
        <v>53484.394492800006</v>
      </c>
      <c r="U47" s="99">
        <f t="shared" si="11"/>
        <v>132666.96097560978</v>
      </c>
      <c r="V47" s="92">
        <f t="shared" si="7"/>
        <v>79182.56648280978</v>
      </c>
      <c r="W47" s="100"/>
      <c r="X47" s="93"/>
      <c r="Y47" s="93"/>
      <c r="Z47" s="89"/>
      <c r="AA47" s="92">
        <f t="shared" si="8"/>
        <v>258189.84089280001</v>
      </c>
      <c r="AB47" s="92">
        <f t="shared" si="9"/>
        <v>376125.04227642278</v>
      </c>
      <c r="AC47" s="92">
        <f t="shared" si="10"/>
        <v>117935.20138362277</v>
      </c>
      <c r="AD47" s="93"/>
      <c r="AE47" s="93"/>
      <c r="AF47" s="93"/>
    </row>
    <row r="48" spans="1:32" x14ac:dyDescent="0.2">
      <c r="A48" s="88">
        <v>47</v>
      </c>
      <c r="B48" s="96">
        <f>ROUNDDOWN(B47*(1+'Assumption Sheet'!E$5), 0)</f>
        <v>6756</v>
      </c>
      <c r="C48" s="95">
        <f>'Assumption Sheet'!B$12*B48</f>
        <v>247115.80487804877</v>
      </c>
      <c r="D48" s="95">
        <f>'Assumption Sheet'!B$10*B48</f>
        <v>207780.94890000002</v>
      </c>
      <c r="E48" s="97">
        <f>'Assumption Sheet'!B$11*B48</f>
        <v>44827.538904878027</v>
      </c>
      <c r="F48" s="98">
        <f t="shared" si="12"/>
        <v>36522</v>
      </c>
      <c r="G48" s="89"/>
      <c r="H48" s="95"/>
      <c r="I48" s="90"/>
      <c r="J48" s="90"/>
      <c r="K48" s="89">
        <f>SUM(B$2:B48)</f>
        <v>146478</v>
      </c>
      <c r="L48" s="90">
        <f>SUM(B$2:B48)</f>
        <v>146478</v>
      </c>
      <c r="M48" s="91">
        <f>ROUNDDOWN(L48*'Assumption Sheet'!D$28, 0)</f>
        <v>124506</v>
      </c>
      <c r="N48" s="92">
        <f>(M48*'Assumption Sheet'!D$29)*'Assumption Sheet'!E$22</f>
        <v>26941.106303999997</v>
      </c>
      <c r="O48" s="92">
        <f>(M48*'Assumption Sheet'!C$29)*'Assumption Sheet'!E$19</f>
        <v>55673.414634146342</v>
      </c>
      <c r="P48" s="99">
        <f>M48*'Assumption Sheet'!$D$30*'Assumption Sheet'!$H$22</f>
        <v>27819.620639999997</v>
      </c>
      <c r="Q48" s="99">
        <f>M48*'Assumption Sheet'!$D$30*'Assumption Sheet'!$H$19</f>
        <v>76930.536585365844</v>
      </c>
      <c r="R48" s="99">
        <f>(M48*'Assumption Sheet'!B$31)*'Assumption Sheet'!K$23</f>
        <v>1310.0023295999999</v>
      </c>
      <c r="S48" s="99">
        <f>(M48*'Assumption Sheet'!B$31)*'Assumption Sheet'!K$22</f>
        <v>6478.3609756097567</v>
      </c>
      <c r="T48" s="92">
        <f t="shared" si="4"/>
        <v>56070.729273599994</v>
      </c>
      <c r="U48" s="99">
        <f t="shared" si="11"/>
        <v>139082.31219512192</v>
      </c>
      <c r="V48" s="92">
        <f t="shared" si="7"/>
        <v>83011.582921521927</v>
      </c>
      <c r="W48" s="100"/>
      <c r="X48" s="93"/>
      <c r="Y48" s="93"/>
      <c r="Z48" s="89"/>
      <c r="AA48" s="92">
        <f t="shared" si="8"/>
        <v>263851.6781736</v>
      </c>
      <c r="AB48" s="92">
        <f t="shared" si="9"/>
        <v>386198.11707317072</v>
      </c>
      <c r="AC48" s="92">
        <f t="shared" si="10"/>
        <v>122346.43889957073</v>
      </c>
      <c r="AD48" s="93"/>
      <c r="AE48" s="93"/>
      <c r="AF48" s="93"/>
    </row>
    <row r="49" spans="1:32" ht="17" thickBot="1" x14ac:dyDescent="0.25">
      <c r="A49" s="73">
        <v>48</v>
      </c>
      <c r="B49" s="74">
        <f>ROUNDDOWN(B48*(1+'Assumption Sheet'!E$5), 0)</f>
        <v>6858</v>
      </c>
      <c r="C49" s="75">
        <f>'Assumption Sheet'!B$12*B49</f>
        <v>250846.68292682926</v>
      </c>
      <c r="D49" s="75">
        <f>'Assumption Sheet'!B$10*B49</f>
        <v>210917.96145000003</v>
      </c>
      <c r="E49" s="76">
        <f>'Assumption Sheet'!B$11*B49</f>
        <v>45504.331232926808</v>
      </c>
      <c r="F49" s="86">
        <f t="shared" si="12"/>
        <v>29664</v>
      </c>
      <c r="G49" s="78"/>
      <c r="H49" s="75"/>
      <c r="I49" s="79">
        <f>SUM(B38:B49)</f>
        <v>75896</v>
      </c>
      <c r="J49" s="79">
        <f>SUM(C38:C49)</f>
        <v>2776065.8861788618</v>
      </c>
      <c r="K49" s="78">
        <f>SUM(B$2:B49)</f>
        <v>153336</v>
      </c>
      <c r="L49" s="81">
        <f>SUM(B$2:B49)</f>
        <v>153336</v>
      </c>
      <c r="M49" s="82">
        <f>ROUNDDOWN(L49*'Assumption Sheet'!D$28, 0)</f>
        <v>130335</v>
      </c>
      <c r="N49" s="83">
        <f>(M49*'Assumption Sheet'!D$29)*'Assumption Sheet'!E$22</f>
        <v>28202.408640000001</v>
      </c>
      <c r="O49" s="83">
        <f>(M49*'Assumption Sheet'!C$29)*'Assumption Sheet'!E$19</f>
        <v>58279.878048780483</v>
      </c>
      <c r="P49" s="87">
        <f>M49*'Assumption Sheet'!$D$30*'Assumption Sheet'!$H$22</f>
        <v>29122.0524</v>
      </c>
      <c r="Q49" s="87">
        <f>M49*'Assumption Sheet'!$D$30*'Assumption Sheet'!$H$19</f>
        <v>80532.195121951227</v>
      </c>
      <c r="R49" s="87">
        <f>(M49*'Assumption Sheet'!B$31)*'Assumption Sheet'!K$23</f>
        <v>1371.3327360000001</v>
      </c>
      <c r="S49" s="87">
        <f>(M49*'Assumption Sheet'!B$31)*'Assumption Sheet'!K$22</f>
        <v>6781.658536585368</v>
      </c>
      <c r="T49" s="83">
        <f t="shared" si="4"/>
        <v>58695.793775999999</v>
      </c>
      <c r="U49" s="87">
        <f t="shared" si="11"/>
        <v>145593.73170731709</v>
      </c>
      <c r="V49" s="83">
        <f t="shared" si="7"/>
        <v>86897.937931317079</v>
      </c>
      <c r="W49" s="84">
        <f>L49</f>
        <v>153336</v>
      </c>
      <c r="X49" s="85">
        <f>SUM(U38:U49)</f>
        <v>1337928.5902439025</v>
      </c>
      <c r="Y49" s="85">
        <f>SUM(T38:T49)</f>
        <v>539382.97823039989</v>
      </c>
      <c r="Z49" s="78"/>
      <c r="AA49" s="83">
        <f t="shared" si="8"/>
        <v>269613.75522600004</v>
      </c>
      <c r="AB49" s="83">
        <f t="shared" si="9"/>
        <v>396440.41463414638</v>
      </c>
      <c r="AC49" s="83">
        <f t="shared" si="10"/>
        <v>126826.65940814634</v>
      </c>
      <c r="AD49" s="85">
        <f>SUM(AA38:AA49)</f>
        <v>2873566.3556304006</v>
      </c>
      <c r="AE49" s="85">
        <f>SUM(AB38:AB49)</f>
        <v>4113994.4764227644</v>
      </c>
      <c r="AF49" s="85">
        <f>SUM(AC38:AC49)</f>
        <v>1240428.120792364</v>
      </c>
    </row>
    <row r="50" spans="1:32" ht="17" thickTop="1" x14ac:dyDescent="0.2">
      <c r="A50" s="88">
        <v>49</v>
      </c>
      <c r="B50" s="96">
        <f>ROUNDDOWN(B49*(1+'Assumption Sheet'!E$5), 0)</f>
        <v>6962</v>
      </c>
      <c r="C50" s="95">
        <f>'Assumption Sheet'!B$12*B50</f>
        <v>254650.71544715448</v>
      </c>
      <c r="D50" s="95">
        <f>'Assumption Sheet'!B$10*B50</f>
        <v>214116.48405000003</v>
      </c>
      <c r="E50" s="97">
        <f>'Assumption Sheet'!B$11*B50</f>
        <v>46194.39399878047</v>
      </c>
      <c r="F50" s="98">
        <f t="shared" si="12"/>
        <v>22702</v>
      </c>
      <c r="G50" s="89"/>
      <c r="H50" s="95"/>
      <c r="I50" s="90"/>
      <c r="J50" s="90"/>
      <c r="K50" s="89">
        <f>SUM(B$2:B50)</f>
        <v>160298</v>
      </c>
      <c r="L50" s="90">
        <f>SUM(B$2:B50)</f>
        <v>160298</v>
      </c>
      <c r="M50" s="91">
        <f>ROUNDDOWN(L50*'Assumption Sheet'!D$28, 0)</f>
        <v>136253</v>
      </c>
      <c r="N50" s="92">
        <f>(M50*'Assumption Sheet'!D$29)*'Assumption Sheet'!E$22</f>
        <v>29482.969152000001</v>
      </c>
      <c r="O50" s="92">
        <f>(M50*'Assumption Sheet'!C$29)*'Assumption Sheet'!E$19</f>
        <v>60926.138211382116</v>
      </c>
      <c r="P50" s="99">
        <f>M50*'Assumption Sheet'!$D$30*'Assumption Sheet'!$H$22</f>
        <v>30444.370319999998</v>
      </c>
      <c r="Q50" s="99">
        <f>M50*'Assumption Sheet'!$D$30*'Assumption Sheet'!$H$19</f>
        <v>84188.845528455277</v>
      </c>
      <c r="R50" s="99">
        <f>(M50*'Assumption Sheet'!B$31)*'Assumption Sheet'!K$23</f>
        <v>1433.5995648000001</v>
      </c>
      <c r="S50" s="99">
        <f>(M50*'Assumption Sheet'!B$31)*'Assumption Sheet'!K$22</f>
        <v>7089.58699186992</v>
      </c>
      <c r="T50" s="92">
        <f t="shared" si="4"/>
        <v>61360.939036800002</v>
      </c>
      <c r="U50" s="92">
        <f t="shared" si="11"/>
        <v>152204.57073170732</v>
      </c>
      <c r="V50" s="92">
        <f t="shared" si="7"/>
        <v>90843.631694907323</v>
      </c>
      <c r="W50" s="100"/>
      <c r="X50" s="93"/>
      <c r="Y50" s="93"/>
      <c r="Z50" s="89"/>
      <c r="AA50" s="92">
        <f t="shared" si="8"/>
        <v>275477.42308680003</v>
      </c>
      <c r="AB50" s="92">
        <f t="shared" si="9"/>
        <v>406855.2861788618</v>
      </c>
      <c r="AC50" s="92">
        <f t="shared" si="10"/>
        <v>131377.86309206177</v>
      </c>
      <c r="AD50" s="93"/>
      <c r="AE50" s="93"/>
      <c r="AF50" s="93"/>
    </row>
    <row r="51" spans="1:32" x14ac:dyDescent="0.2">
      <c r="A51" s="88">
        <v>50</v>
      </c>
      <c r="B51" s="96">
        <f>ROUNDDOWN(B50*(1+'Assumption Sheet'!E$5), 0)</f>
        <v>7067</v>
      </c>
      <c r="C51" s="95">
        <f>'Assumption Sheet'!B$12*B51</f>
        <v>258491.32520325202</v>
      </c>
      <c r="D51" s="95">
        <f>'Assumption Sheet'!B$10*B51</f>
        <v>217345.76167500002</v>
      </c>
      <c r="E51" s="97">
        <f>'Assumption Sheet'!B$11*B51</f>
        <v>46891.091983536564</v>
      </c>
      <c r="F51" s="98">
        <f t="shared" si="12"/>
        <v>15635</v>
      </c>
      <c r="G51" s="89"/>
      <c r="H51" s="95"/>
      <c r="I51" s="90"/>
      <c r="J51" s="90"/>
      <c r="K51" s="89">
        <f>SUM(B$2:B51)</f>
        <v>167365</v>
      </c>
      <c r="L51" s="90">
        <f>SUM(B$2:B51)</f>
        <v>167365</v>
      </c>
      <c r="M51" s="91">
        <f>ROUNDDOWN(L51*'Assumption Sheet'!D$28, 0)</f>
        <v>142260</v>
      </c>
      <c r="N51" s="92">
        <f>(M51*'Assumption Sheet'!D$29)*'Assumption Sheet'!E$22</f>
        <v>30782.787840000001</v>
      </c>
      <c r="O51" s="92">
        <f>(M51*'Assumption Sheet'!C$29)*'Assumption Sheet'!E$19</f>
        <v>63612.195121951219</v>
      </c>
      <c r="P51" s="99">
        <f>M51*'Assumption Sheet'!$D$30*'Assumption Sheet'!$H$22</f>
        <v>31786.574400000001</v>
      </c>
      <c r="Q51" s="99">
        <f>M51*'Assumption Sheet'!$D$30*'Assumption Sheet'!$H$19</f>
        <v>87900.487804878052</v>
      </c>
      <c r="R51" s="99">
        <f>(M51*'Assumption Sheet'!B$31)*'Assumption Sheet'!K$23</f>
        <v>1496.8028160000001</v>
      </c>
      <c r="S51" s="99">
        <f>(M51*'Assumption Sheet'!B$31)*'Assumption Sheet'!K$22</f>
        <v>7402.1463414634163</v>
      </c>
      <c r="T51" s="92">
        <f t="shared" si="4"/>
        <v>64066.165056000005</v>
      </c>
      <c r="U51" s="92">
        <f t="shared" si="11"/>
        <v>158914.82926829267</v>
      </c>
      <c r="V51" s="92">
        <f t="shared" si="7"/>
        <v>94848.664212292671</v>
      </c>
      <c r="W51" s="100"/>
      <c r="X51" s="93"/>
      <c r="Y51" s="93"/>
      <c r="Z51" s="89"/>
      <c r="AA51" s="92">
        <f t="shared" si="8"/>
        <v>281411.92673100001</v>
      </c>
      <c r="AB51" s="92">
        <f t="shared" si="9"/>
        <v>417406.15447154467</v>
      </c>
      <c r="AC51" s="92">
        <f t="shared" si="10"/>
        <v>135994.22774054465</v>
      </c>
      <c r="AD51" s="93"/>
      <c r="AE51" s="93"/>
      <c r="AF51" s="93"/>
    </row>
    <row r="52" spans="1:32" x14ac:dyDescent="0.2">
      <c r="A52" s="88">
        <v>51</v>
      </c>
      <c r="B52" s="96">
        <f>ROUNDDOWN(B51*(1+'Assumption Sheet'!E$5), 0)</f>
        <v>7174</v>
      </c>
      <c r="C52" s="95">
        <f>'Assumption Sheet'!B$12*B52</f>
        <v>262405.0894308943</v>
      </c>
      <c r="D52" s="95">
        <f>'Assumption Sheet'!B$10*B52</f>
        <v>220636.54935000002</v>
      </c>
      <c r="E52" s="97">
        <f>'Assumption Sheet'!B$11*B52</f>
        <v>47601.060406097538</v>
      </c>
      <c r="F52" s="98">
        <f t="shared" si="12"/>
        <v>8461</v>
      </c>
      <c r="G52" s="89">
        <v>45000</v>
      </c>
      <c r="H52" s="95">
        <f>G52*'Assumption Sheet'!B$10</f>
        <v>1383976.1250000002</v>
      </c>
      <c r="I52" s="90"/>
      <c r="J52" s="90"/>
      <c r="K52" s="89">
        <f>SUM(B$2:B52)</f>
        <v>174539</v>
      </c>
      <c r="L52" s="90">
        <f>SUM(B$2:B52)</f>
        <v>174539</v>
      </c>
      <c r="M52" s="91">
        <f>ROUNDDOWN(L52*'Assumption Sheet'!D$28, 0)</f>
        <v>148358</v>
      </c>
      <c r="N52" s="92">
        <f>(M52*'Assumption Sheet'!D$29)*'Assumption Sheet'!E$22</f>
        <v>32102.297472000002</v>
      </c>
      <c r="O52" s="92">
        <f>(M52*'Assumption Sheet'!C$29)*'Assumption Sheet'!E$19</f>
        <v>66338.943089430904</v>
      </c>
      <c r="P52" s="99">
        <f>M52*'Assumption Sheet'!$D$30*'Assumption Sheet'!$H$22</f>
        <v>33149.111519999999</v>
      </c>
      <c r="Q52" s="99">
        <f>M52*'Assumption Sheet'!$D$30*'Assumption Sheet'!$H$19</f>
        <v>91668.357723577239</v>
      </c>
      <c r="R52" s="99">
        <f>(M52*'Assumption Sheet'!B$31)*'Assumption Sheet'!K$23</f>
        <v>1560.9635327999999</v>
      </c>
      <c r="S52" s="99">
        <f>(M52*'Assumption Sheet'!B$31)*'Assumption Sheet'!K$22</f>
        <v>7719.4406504065046</v>
      </c>
      <c r="T52" s="92">
        <f t="shared" si="4"/>
        <v>66812.372524799997</v>
      </c>
      <c r="U52" s="92">
        <f t="shared" si="11"/>
        <v>165726.74146341466</v>
      </c>
      <c r="V52" s="92">
        <f t="shared" si="7"/>
        <v>98914.368938614658</v>
      </c>
      <c r="W52" s="100"/>
      <c r="X52" s="93"/>
      <c r="Y52" s="93"/>
      <c r="Z52" s="89"/>
      <c r="AA52" s="92">
        <f t="shared" si="8"/>
        <v>287448.9218748</v>
      </c>
      <c r="AB52" s="92">
        <f t="shared" si="9"/>
        <v>428131.83089430898</v>
      </c>
      <c r="AC52" s="92">
        <f t="shared" si="10"/>
        <v>140682.90901950898</v>
      </c>
      <c r="AD52" s="93"/>
      <c r="AE52" s="93"/>
      <c r="AF52" s="93"/>
    </row>
    <row r="53" spans="1:32" x14ac:dyDescent="0.2">
      <c r="A53" s="88">
        <v>52</v>
      </c>
      <c r="B53" s="96">
        <f>ROUNDDOWN(B52*(1+'Assumption Sheet'!E$5), 0)</f>
        <v>7282</v>
      </c>
      <c r="C53" s="95">
        <f>'Assumption Sheet'!B$12*B53</f>
        <v>266355.43089430896</v>
      </c>
      <c r="D53" s="95">
        <f>'Assumption Sheet'!B$10*B53</f>
        <v>223958.09205000004</v>
      </c>
      <c r="E53" s="97">
        <f>'Assumption Sheet'!B$11*B53</f>
        <v>48317.664047560953</v>
      </c>
      <c r="F53" s="98">
        <f t="shared" si="12"/>
        <v>46179</v>
      </c>
      <c r="G53" s="89"/>
      <c r="H53" s="95"/>
      <c r="I53" s="90"/>
      <c r="J53" s="90"/>
      <c r="K53" s="89">
        <f>SUM(B$2:B53)</f>
        <v>181821</v>
      </c>
      <c r="L53" s="90">
        <f>SUM(B$2:B53)</f>
        <v>181821</v>
      </c>
      <c r="M53" s="91">
        <f>ROUNDDOWN(L53*'Assumption Sheet'!D$28, 0)</f>
        <v>154547</v>
      </c>
      <c r="N53" s="92">
        <f>(M53*'Assumption Sheet'!D$29)*'Assumption Sheet'!E$22</f>
        <v>33441.498048000001</v>
      </c>
      <c r="O53" s="92">
        <f>(M53*'Assumption Sheet'!C$29)*'Assumption Sheet'!E$19</f>
        <v>69106.382113821135</v>
      </c>
      <c r="P53" s="99">
        <f>M53*'Assumption Sheet'!$D$30*'Assumption Sheet'!$H$22</f>
        <v>34531.981679999997</v>
      </c>
      <c r="Q53" s="99">
        <f>M53*'Assumption Sheet'!$D$30*'Assumption Sheet'!$H$19</f>
        <v>95492.455284552838</v>
      </c>
      <c r="R53" s="99">
        <f>(M53*'Assumption Sheet'!B$31)*'Assumption Sheet'!K$23</f>
        <v>1626.0817152</v>
      </c>
      <c r="S53" s="99">
        <f>(M53*'Assumption Sheet'!B$31)*'Assumption Sheet'!K$22</f>
        <v>8041.4699186991884</v>
      </c>
      <c r="T53" s="92">
        <f t="shared" si="4"/>
        <v>69599.5614432</v>
      </c>
      <c r="U53" s="92">
        <f t="shared" si="11"/>
        <v>172640.30731707317</v>
      </c>
      <c r="V53" s="92">
        <f t="shared" si="7"/>
        <v>103040.74587387317</v>
      </c>
      <c r="W53" s="100"/>
      <c r="X53" s="93"/>
      <c r="Y53" s="93"/>
      <c r="Z53" s="89"/>
      <c r="AA53" s="92">
        <f t="shared" si="8"/>
        <v>293557.65349320002</v>
      </c>
      <c r="AB53" s="92">
        <f t="shared" si="9"/>
        <v>438995.73821138212</v>
      </c>
      <c r="AC53" s="92">
        <f t="shared" si="10"/>
        <v>145438.0847181821</v>
      </c>
      <c r="AD53" s="93"/>
      <c r="AE53" s="93"/>
      <c r="AF53" s="93"/>
    </row>
    <row r="54" spans="1:32" x14ac:dyDescent="0.2">
      <c r="A54" s="88">
        <v>53</v>
      </c>
      <c r="B54" s="96">
        <f>ROUNDDOWN(B53*(1+'Assumption Sheet'!E$5), 0)</f>
        <v>7392</v>
      </c>
      <c r="C54" s="95">
        <f>'Assumption Sheet'!B$12*B54</f>
        <v>270378.92682926828</v>
      </c>
      <c r="D54" s="95">
        <f>'Assumption Sheet'!B$10*B54</f>
        <v>227341.14480000004</v>
      </c>
      <c r="E54" s="97">
        <f>'Assumption Sheet'!B$11*B54</f>
        <v>49047.538126829248</v>
      </c>
      <c r="F54" s="98">
        <f t="shared" si="12"/>
        <v>38787</v>
      </c>
      <c r="G54" s="89"/>
      <c r="H54" s="95"/>
      <c r="I54" s="90"/>
      <c r="J54" s="90"/>
      <c r="K54" s="89">
        <f>SUM(B$2:B54)</f>
        <v>189213</v>
      </c>
      <c r="L54" s="90">
        <f>SUM(B$2:B54)</f>
        <v>189213</v>
      </c>
      <c r="M54" s="91">
        <f>ROUNDDOWN(L54*'Assumption Sheet'!D$28, 0)</f>
        <v>160831</v>
      </c>
      <c r="N54" s="92">
        <f>(M54*'Assumption Sheet'!D$29)*'Assumption Sheet'!E$22</f>
        <v>34801.255104000003</v>
      </c>
      <c r="O54" s="92">
        <f>(M54*'Assumption Sheet'!C$29)*'Assumption Sheet'!E$19</f>
        <v>71916.300813008129</v>
      </c>
      <c r="P54" s="99">
        <f>M54*'Assumption Sheet'!$D$30*'Assumption Sheet'!$H$22</f>
        <v>35936.07864</v>
      </c>
      <c r="Q54" s="99">
        <f>M54*'Assumption Sheet'!$D$30*'Assumption Sheet'!$H$19</f>
        <v>99375.252032520322</v>
      </c>
      <c r="R54" s="99">
        <f>(M54*'Assumption Sheet'!B$31)*'Assumption Sheet'!K$23</f>
        <v>1692.1994496</v>
      </c>
      <c r="S54" s="99">
        <f>(M54*'Assumption Sheet'!B$31)*'Assumption Sheet'!K$22</f>
        <v>8368.4422764227656</v>
      </c>
      <c r="T54" s="92">
        <f t="shared" si="4"/>
        <v>72429.5331936</v>
      </c>
      <c r="U54" s="92">
        <f t="shared" si="11"/>
        <v>179659.99512195124</v>
      </c>
      <c r="V54" s="92">
        <f t="shared" si="7"/>
        <v>107230.46192835124</v>
      </c>
      <c r="W54" s="100"/>
      <c r="X54" s="93"/>
      <c r="Y54" s="93"/>
      <c r="Z54" s="89"/>
      <c r="AA54" s="92">
        <f t="shared" si="8"/>
        <v>299770.67799360002</v>
      </c>
      <c r="AB54" s="92">
        <f t="shared" si="9"/>
        <v>450038.92195121956</v>
      </c>
      <c r="AC54" s="92">
        <f t="shared" si="10"/>
        <v>150268.24395761953</v>
      </c>
      <c r="AD54" s="93"/>
      <c r="AE54" s="93"/>
      <c r="AF54" s="93"/>
    </row>
    <row r="55" spans="1:32" x14ac:dyDescent="0.2">
      <c r="A55" s="88">
        <v>54</v>
      </c>
      <c r="B55" s="96">
        <f>ROUNDDOWN(B54*(1+'Assumption Sheet'!E$5), 0)</f>
        <v>7504</v>
      </c>
      <c r="C55" s="95">
        <f>'Assumption Sheet'!B$12*B55</f>
        <v>274475.57723577239</v>
      </c>
      <c r="D55" s="95">
        <f>'Assumption Sheet'!B$10*B55</f>
        <v>230785.70760000002</v>
      </c>
      <c r="E55" s="97">
        <f>'Assumption Sheet'!B$11*B55</f>
        <v>49790.682643902415</v>
      </c>
      <c r="F55" s="98">
        <f t="shared" si="12"/>
        <v>31283</v>
      </c>
      <c r="G55" s="89"/>
      <c r="H55" s="95"/>
      <c r="I55" s="90"/>
      <c r="J55" s="90"/>
      <c r="K55" s="89">
        <f>SUM(B$2:B55)</f>
        <v>196717</v>
      </c>
      <c r="L55" s="90">
        <f>SUM(B$2:B55)</f>
        <v>196717</v>
      </c>
      <c r="M55" s="91">
        <f>ROUNDDOWN(L55*'Assumption Sheet'!D$28, 0)</f>
        <v>167209</v>
      </c>
      <c r="N55" s="92">
        <f>(M55*'Assumption Sheet'!D$29)*'Assumption Sheet'!E$22</f>
        <v>36181.352255999998</v>
      </c>
      <c r="O55" s="92">
        <f>(M55*'Assumption Sheet'!C$29)*'Assumption Sheet'!E$19</f>
        <v>74768.252032520337</v>
      </c>
      <c r="P55" s="99">
        <f>M55*'Assumption Sheet'!$D$30*'Assumption Sheet'!$H$22</f>
        <v>37361.178959999997</v>
      </c>
      <c r="Q55" s="99">
        <f>M55*'Assumption Sheet'!$D$30*'Assumption Sheet'!$H$19</f>
        <v>103316.13008130081</v>
      </c>
      <c r="R55" s="99">
        <f>(M55*'Assumption Sheet'!B$31)*'Assumption Sheet'!K$23</f>
        <v>1759.3062144</v>
      </c>
      <c r="S55" s="99">
        <f>(M55*'Assumption Sheet'!B$31)*'Assumption Sheet'!K$22</f>
        <v>8700.3056910569121</v>
      </c>
      <c r="T55" s="92">
        <f t="shared" si="4"/>
        <v>75301.837430400003</v>
      </c>
      <c r="U55" s="92">
        <f t="shared" si="11"/>
        <v>186784.68780487808</v>
      </c>
      <c r="V55" s="92">
        <f t="shared" si="7"/>
        <v>111482.85037447808</v>
      </c>
      <c r="W55" s="100"/>
      <c r="X55" s="93"/>
      <c r="Y55" s="93"/>
      <c r="Z55" s="89"/>
      <c r="AA55" s="92">
        <f t="shared" si="8"/>
        <v>306087.54503040004</v>
      </c>
      <c r="AB55" s="92">
        <f t="shared" si="9"/>
        <v>461260.2650406505</v>
      </c>
      <c r="AC55" s="92">
        <f t="shared" si="10"/>
        <v>155172.72001025046</v>
      </c>
      <c r="AD55" s="93"/>
      <c r="AE55" s="93"/>
      <c r="AF55" s="93"/>
    </row>
    <row r="56" spans="1:32" x14ac:dyDescent="0.2">
      <c r="A56" s="88">
        <v>55</v>
      </c>
      <c r="B56" s="96">
        <f>ROUNDDOWN(B55*(1+'Assumption Sheet'!E$5), 0)</f>
        <v>7617</v>
      </c>
      <c r="C56" s="95">
        <f>'Assumption Sheet'!B$12*B56</f>
        <v>278608.80487804877</v>
      </c>
      <c r="D56" s="95">
        <f>'Assumption Sheet'!B$10*B56</f>
        <v>234261.02542500003</v>
      </c>
      <c r="E56" s="97">
        <f>'Assumption Sheet'!B$11*B56</f>
        <v>50540.462379878023</v>
      </c>
      <c r="F56" s="98">
        <f t="shared" si="12"/>
        <v>23666</v>
      </c>
      <c r="G56" s="89"/>
      <c r="H56" s="95"/>
      <c r="I56" s="90"/>
      <c r="J56" s="90"/>
      <c r="K56" s="89">
        <f>SUM(B$2:B56)</f>
        <v>204334</v>
      </c>
      <c r="L56" s="90">
        <f>SUM(B$2:B56)</f>
        <v>204334</v>
      </c>
      <c r="M56" s="91">
        <f>ROUNDDOWN(L56*'Assumption Sheet'!D$28, 0)</f>
        <v>173683</v>
      </c>
      <c r="N56" s="92">
        <f>(M56*'Assumption Sheet'!D$29)*'Assumption Sheet'!E$22</f>
        <v>37582.222271999999</v>
      </c>
      <c r="O56" s="92">
        <f>(M56*'Assumption Sheet'!C$29)*'Assumption Sheet'!E$19</f>
        <v>77663.130081300813</v>
      </c>
      <c r="P56" s="99">
        <f>M56*'Assumption Sheet'!$D$30*'Assumption Sheet'!$H$22</f>
        <v>38807.729519999993</v>
      </c>
      <c r="Q56" s="99">
        <f>M56*'Assumption Sheet'!$D$30*'Assumption Sheet'!$H$19</f>
        <v>107316.32520325202</v>
      </c>
      <c r="R56" s="99">
        <f>(M56*'Assumption Sheet'!B$31)*'Assumption Sheet'!K$23</f>
        <v>1827.4230527999998</v>
      </c>
      <c r="S56" s="99">
        <f>(M56*'Assumption Sheet'!B$31)*'Assumption Sheet'!K$22</f>
        <v>9037.1642276422772</v>
      </c>
      <c r="T56" s="92">
        <f t="shared" si="4"/>
        <v>78217.374844799997</v>
      </c>
      <c r="U56" s="92">
        <f t="shared" si="11"/>
        <v>194016.61951219509</v>
      </c>
      <c r="V56" s="92">
        <f t="shared" si="7"/>
        <v>115799.24466739509</v>
      </c>
      <c r="W56" s="100"/>
      <c r="X56" s="93"/>
      <c r="Y56" s="93"/>
      <c r="Z56" s="89"/>
      <c r="AA56" s="92">
        <f t="shared" si="8"/>
        <v>312478.40026980004</v>
      </c>
      <c r="AB56" s="92">
        <f t="shared" si="9"/>
        <v>472625.42439024383</v>
      </c>
      <c r="AC56" s="92">
        <f t="shared" si="10"/>
        <v>160147.02412044379</v>
      </c>
      <c r="AD56" s="93"/>
      <c r="AE56" s="93"/>
      <c r="AF56" s="93"/>
    </row>
    <row r="57" spans="1:32" x14ac:dyDescent="0.2">
      <c r="A57" s="88">
        <v>56</v>
      </c>
      <c r="B57" s="96">
        <f>ROUNDDOWN(B56*(1+'Assumption Sheet'!E$5), 0)</f>
        <v>7732</v>
      </c>
      <c r="C57" s="95">
        <f>'Assumption Sheet'!B$12*B57</f>
        <v>282815.18699186994</v>
      </c>
      <c r="D57" s="95">
        <f>'Assumption Sheet'!B$10*B57</f>
        <v>237797.85330000002</v>
      </c>
      <c r="E57" s="97">
        <f>'Assumption Sheet'!B$11*B57</f>
        <v>51303.512553658511</v>
      </c>
      <c r="F57" s="98">
        <f t="shared" si="12"/>
        <v>15934</v>
      </c>
      <c r="G57" s="89"/>
      <c r="H57" s="95"/>
      <c r="I57" s="90"/>
      <c r="J57" s="90"/>
      <c r="K57" s="89">
        <f>SUM(B$2:B57)</f>
        <v>212066</v>
      </c>
      <c r="L57" s="90">
        <f>SUM(B$2:B57)</f>
        <v>212066</v>
      </c>
      <c r="M57" s="91">
        <f>ROUNDDOWN(L57*'Assumption Sheet'!D$28, 0)</f>
        <v>180256</v>
      </c>
      <c r="N57" s="92">
        <f>(M57*'Assumption Sheet'!D$29)*'Assumption Sheet'!E$22</f>
        <v>39004.514304000004</v>
      </c>
      <c r="O57" s="92">
        <f>(M57*'Assumption Sheet'!C$29)*'Assumption Sheet'!E$19</f>
        <v>80602.276422764233</v>
      </c>
      <c r="P57" s="99">
        <f>M57*'Assumption Sheet'!$D$30*'Assumption Sheet'!$H$22</f>
        <v>40276.40064</v>
      </c>
      <c r="Q57" s="99">
        <f>M57*'Assumption Sheet'!$D$30*'Assumption Sheet'!$H$19</f>
        <v>111377.69105691057</v>
      </c>
      <c r="R57" s="99">
        <f>(M57*'Assumption Sheet'!B$31)*'Assumption Sheet'!K$23</f>
        <v>1896.5815295999998</v>
      </c>
      <c r="S57" s="99">
        <f>(M57*'Assumption Sheet'!B$31)*'Assumption Sheet'!K$22</f>
        <v>9379.1739837398381</v>
      </c>
      <c r="T57" s="92">
        <f t="shared" si="4"/>
        <v>81177.496473599997</v>
      </c>
      <c r="U57" s="92">
        <f t="shared" si="11"/>
        <v>201359.14146341462</v>
      </c>
      <c r="V57" s="92">
        <f t="shared" si="7"/>
        <v>120181.64498981462</v>
      </c>
      <c r="W57" s="100"/>
      <c r="X57" s="93"/>
      <c r="Y57" s="93"/>
      <c r="Z57" s="89"/>
      <c r="AA57" s="92">
        <f t="shared" si="8"/>
        <v>318975.3497736</v>
      </c>
      <c r="AB57" s="92">
        <f t="shared" si="9"/>
        <v>484174.32845528459</v>
      </c>
      <c r="AC57" s="92">
        <f t="shared" si="10"/>
        <v>165198.97868168459</v>
      </c>
      <c r="AD57" s="93"/>
      <c r="AE57" s="93"/>
      <c r="AF57" s="93"/>
    </row>
    <row r="58" spans="1:32" x14ac:dyDescent="0.2">
      <c r="A58" s="88">
        <v>57</v>
      </c>
      <c r="B58" s="96">
        <f>ROUNDDOWN(B57*(1+'Assumption Sheet'!E$5), 0)</f>
        <v>7849</v>
      </c>
      <c r="C58" s="95">
        <f>'Assumption Sheet'!B$12*B58</f>
        <v>287094.72357723577</v>
      </c>
      <c r="D58" s="95">
        <f>'Assumption Sheet'!B$10*B58</f>
        <v>241396.19122500002</v>
      </c>
      <c r="E58" s="97">
        <f>'Assumption Sheet'!B$11*B58</f>
        <v>52079.833165243879</v>
      </c>
      <c r="F58" s="98">
        <f t="shared" si="12"/>
        <v>8085</v>
      </c>
      <c r="G58" s="89">
        <v>25000</v>
      </c>
      <c r="H58" s="95">
        <f>G58*'Assumption Sheet'!B$10</f>
        <v>768875.62500000012</v>
      </c>
      <c r="I58" s="90"/>
      <c r="J58" s="90"/>
      <c r="K58" s="89">
        <f>SUM(B$2:B58)</f>
        <v>219915</v>
      </c>
      <c r="L58" s="90">
        <f>SUM(B$2:B58)</f>
        <v>219915</v>
      </c>
      <c r="M58" s="91">
        <f>ROUNDDOWN(L58*'Assumption Sheet'!D$28, 0)</f>
        <v>186927</v>
      </c>
      <c r="N58" s="92">
        <f>(M58*'Assumption Sheet'!D$29)*'Assumption Sheet'!E$22</f>
        <v>40448.011967999999</v>
      </c>
      <c r="O58" s="92">
        <f>(M58*'Assumption Sheet'!C$29)*'Assumption Sheet'!E$19</f>
        <v>83585.243902439033</v>
      </c>
      <c r="P58" s="99">
        <f>M58*'Assumption Sheet'!$D$30*'Assumption Sheet'!$H$22</f>
        <v>41766.968879999993</v>
      </c>
      <c r="Q58" s="99">
        <f>M58*'Assumption Sheet'!$D$30*'Assumption Sheet'!$H$19</f>
        <v>115499.60975609755</v>
      </c>
      <c r="R58" s="99">
        <f>(M58*'Assumption Sheet'!B$31)*'Assumption Sheet'!K$23</f>
        <v>1966.7711231999999</v>
      </c>
      <c r="S58" s="99">
        <f>(M58*'Assumption Sheet'!B$31)*'Assumption Sheet'!K$22</f>
        <v>9726.2829268292699</v>
      </c>
      <c r="T58" s="92">
        <f t="shared" si="4"/>
        <v>84181.751971199992</v>
      </c>
      <c r="U58" s="92">
        <f t="shared" si="11"/>
        <v>208811.13658536584</v>
      </c>
      <c r="V58" s="92">
        <f t="shared" si="7"/>
        <v>124629.38461416584</v>
      </c>
      <c r="W58" s="100"/>
      <c r="X58" s="93"/>
      <c r="Y58" s="93"/>
      <c r="Z58" s="89"/>
      <c r="AA58" s="92">
        <f t="shared" si="8"/>
        <v>325577.94319620001</v>
      </c>
      <c r="AB58" s="92">
        <f t="shared" si="9"/>
        <v>495905.86016260157</v>
      </c>
      <c r="AC58" s="92">
        <f t="shared" si="10"/>
        <v>170327.91696640156</v>
      </c>
      <c r="AD58" s="93"/>
      <c r="AE58" s="93"/>
      <c r="AF58" s="93"/>
    </row>
    <row r="59" spans="1:32" x14ac:dyDescent="0.2">
      <c r="A59" s="88">
        <v>58</v>
      </c>
      <c r="B59" s="96">
        <f>ROUNDDOWN(B58*(1+'Assumption Sheet'!E$5), 0)</f>
        <v>7968</v>
      </c>
      <c r="C59" s="95">
        <f>'Assumption Sheet'!B$12*B59</f>
        <v>291447.41463414632</v>
      </c>
      <c r="D59" s="95">
        <f>'Assumption Sheet'!B$10*B59</f>
        <v>245056.03920000003</v>
      </c>
      <c r="E59" s="97">
        <f>'Assumption Sheet'!B$11*B59</f>
        <v>52869.42421463412</v>
      </c>
      <c r="F59" s="98">
        <f t="shared" si="12"/>
        <v>25117</v>
      </c>
      <c r="G59" s="89"/>
      <c r="H59" s="95"/>
      <c r="I59" s="90"/>
      <c r="J59" s="90"/>
      <c r="K59" s="89">
        <f>SUM(B$2:B59)</f>
        <v>227883</v>
      </c>
      <c r="L59" s="90">
        <f>SUM(B$2:B59)</f>
        <v>227883</v>
      </c>
      <c r="M59" s="91">
        <f>ROUNDDOWN(L59*'Assumption Sheet'!D$28, 0)</f>
        <v>193700</v>
      </c>
      <c r="N59" s="92">
        <f>(M59*'Assumption Sheet'!D$29)*'Assumption Sheet'!E$22</f>
        <v>41913.580800000003</v>
      </c>
      <c r="O59" s="92">
        <f>(M59*'Assumption Sheet'!C$29)*'Assumption Sheet'!E$19</f>
        <v>86613.821138211395</v>
      </c>
      <c r="P59" s="99">
        <f>M59*'Assumption Sheet'!$D$30*'Assumption Sheet'!$H$22</f>
        <v>43280.327999999994</v>
      </c>
      <c r="Q59" s="99">
        <f>M59*'Assumption Sheet'!$D$30*'Assumption Sheet'!$H$19</f>
        <v>119684.55284552845</v>
      </c>
      <c r="R59" s="99">
        <f>(M59*'Assumption Sheet'!B$31)*'Assumption Sheet'!K$23</f>
        <v>2038.0339200000001</v>
      </c>
      <c r="S59" s="99">
        <f>(M59*'Assumption Sheet'!B$31)*'Assumption Sheet'!K$22</f>
        <v>10078.699186991871</v>
      </c>
      <c r="T59" s="92">
        <f t="shared" si="4"/>
        <v>87231.942720000006</v>
      </c>
      <c r="U59" s="92">
        <f t="shared" si="11"/>
        <v>216377.07317073172</v>
      </c>
      <c r="V59" s="92">
        <f t="shared" si="7"/>
        <v>129145.13045073171</v>
      </c>
      <c r="W59" s="100"/>
      <c r="X59" s="93"/>
      <c r="Y59" s="93"/>
      <c r="Z59" s="89"/>
      <c r="AA59" s="92">
        <f t="shared" si="8"/>
        <v>332287.98192000005</v>
      </c>
      <c r="AB59" s="92">
        <f t="shared" si="9"/>
        <v>507824.48780487804</v>
      </c>
      <c r="AC59" s="92">
        <f t="shared" si="10"/>
        <v>175536.50588487799</v>
      </c>
      <c r="AD59" s="93"/>
      <c r="AE59" s="93"/>
      <c r="AF59" s="93"/>
    </row>
    <row r="60" spans="1:32" x14ac:dyDescent="0.2">
      <c r="A60" s="88">
        <v>59</v>
      </c>
      <c r="B60" s="96">
        <f>ROUNDDOWN(B59*(1+'Assumption Sheet'!E$5), 0)</f>
        <v>8088</v>
      </c>
      <c r="C60" s="95">
        <f>'Assumption Sheet'!B$12*B60</f>
        <v>295836.68292682926</v>
      </c>
      <c r="D60" s="95">
        <f>'Assumption Sheet'!B$10*B60</f>
        <v>248746.64220000003</v>
      </c>
      <c r="E60" s="97">
        <f>'Assumption Sheet'!B$11*B60</f>
        <v>53665.650482926801</v>
      </c>
      <c r="F60" s="98">
        <f t="shared" si="12"/>
        <v>17029</v>
      </c>
      <c r="G60" s="89"/>
      <c r="H60" s="95"/>
      <c r="I60" s="90"/>
      <c r="J60" s="90"/>
      <c r="K60" s="89">
        <f>SUM(B$2:B60)</f>
        <v>235971</v>
      </c>
      <c r="L60" s="90">
        <f>SUM(B$2:B60)</f>
        <v>235971</v>
      </c>
      <c r="M60" s="91">
        <f>ROUNDDOWN(L60*'Assumption Sheet'!D$28, 0)</f>
        <v>200575</v>
      </c>
      <c r="N60" s="92">
        <f>(M60*'Assumption Sheet'!D$29)*'Assumption Sheet'!E$22</f>
        <v>43401.220800000003</v>
      </c>
      <c r="O60" s="92">
        <f>(M60*'Assumption Sheet'!C$29)*'Assumption Sheet'!E$19</f>
        <v>89688.008130081304</v>
      </c>
      <c r="P60" s="99">
        <f>M60*'Assumption Sheet'!$D$30*'Assumption Sheet'!$H$22</f>
        <v>44816.477999999996</v>
      </c>
      <c r="Q60" s="99">
        <f>M60*'Assumption Sheet'!$D$30*'Assumption Sheet'!$H$19</f>
        <v>123932.52032520325</v>
      </c>
      <c r="R60" s="99">
        <f>(M60*'Assumption Sheet'!B$31)*'Assumption Sheet'!K$23</f>
        <v>2110.3699200000001</v>
      </c>
      <c r="S60" s="99">
        <f>(M60*'Assumption Sheet'!B$31)*'Assumption Sheet'!K$22</f>
        <v>10436.422764227644</v>
      </c>
      <c r="T60" s="92">
        <f t="shared" si="4"/>
        <v>90328.068719999996</v>
      </c>
      <c r="U60" s="92">
        <f t="shared" si="11"/>
        <v>224056.95121951218</v>
      </c>
      <c r="V60" s="92">
        <f t="shared" si="7"/>
        <v>133728.88249951217</v>
      </c>
      <c r="W60" s="100"/>
      <c r="X60" s="93"/>
      <c r="Y60" s="93"/>
      <c r="Z60" s="89"/>
      <c r="AA60" s="92">
        <f t="shared" si="8"/>
        <v>339074.71092000004</v>
      </c>
      <c r="AB60" s="92">
        <f t="shared" si="9"/>
        <v>519893.63414634147</v>
      </c>
      <c r="AC60" s="92">
        <f t="shared" si="10"/>
        <v>180818.92322634143</v>
      </c>
      <c r="AD60" s="93"/>
      <c r="AE60" s="93"/>
      <c r="AF60" s="93"/>
    </row>
    <row r="61" spans="1:32" ht="17" thickBot="1" x14ac:dyDescent="0.25">
      <c r="A61" s="73">
        <v>60</v>
      </c>
      <c r="B61" s="74">
        <f>ROUNDDOWN(B60*(1+'Assumption Sheet'!E$5), 0)</f>
        <v>8210</v>
      </c>
      <c r="C61" s="75">
        <f>'Assumption Sheet'!B$12*B61</f>
        <v>300299.10569105693</v>
      </c>
      <c r="D61" s="75">
        <f>'Assumption Sheet'!B$10*B61</f>
        <v>252498.75525000002</v>
      </c>
      <c r="E61" s="76">
        <f>'Assumption Sheet'!B$11*B61</f>
        <v>54475.147189024363</v>
      </c>
      <c r="F61" s="86">
        <f t="shared" si="12"/>
        <v>8819</v>
      </c>
      <c r="G61" s="78"/>
      <c r="H61" s="75"/>
      <c r="I61" s="79">
        <f>SUM(B50:B61)</f>
        <v>90845</v>
      </c>
      <c r="J61" s="79">
        <f>SUM(C50:C61)</f>
        <v>3322858.9837398371</v>
      </c>
      <c r="K61" s="78">
        <f>SUM(B$2:B61)</f>
        <v>244181</v>
      </c>
      <c r="L61" s="81">
        <f>SUM(B$2:B61)</f>
        <v>244181</v>
      </c>
      <c r="M61" s="82">
        <f>ROUNDDOWN(L61*'Assumption Sheet'!D$28, 0)</f>
        <v>207553</v>
      </c>
      <c r="N61" s="83">
        <f>(M61*'Assumption Sheet'!D$29)*'Assumption Sheet'!E$22</f>
        <v>44911.148351999997</v>
      </c>
      <c r="O61" s="83">
        <f>(M61*'Assumption Sheet'!C$29)*'Assumption Sheet'!E$19</f>
        <v>92808.252032520337</v>
      </c>
      <c r="P61" s="87">
        <f>M61*'Assumption Sheet'!$D$30*'Assumption Sheet'!$H$22</f>
        <v>46375.642319999999</v>
      </c>
      <c r="Q61" s="87">
        <f>M61*'Assumption Sheet'!$D$30*'Assumption Sheet'!$H$19</f>
        <v>128244.13008130081</v>
      </c>
      <c r="R61" s="87">
        <f>(M61*'Assumption Sheet'!B$31)*'Assumption Sheet'!K$23</f>
        <v>2183.7896448000001</v>
      </c>
      <c r="S61" s="87">
        <f>(M61*'Assumption Sheet'!B$31)*'Assumption Sheet'!K$22</f>
        <v>10799.505691056913</v>
      </c>
      <c r="T61" s="83">
        <f t="shared" si="4"/>
        <v>93470.580316799998</v>
      </c>
      <c r="U61" s="83">
        <f t="shared" si="11"/>
        <v>231851.88780487809</v>
      </c>
      <c r="V61" s="83">
        <f t="shared" si="7"/>
        <v>138381.30748807808</v>
      </c>
      <c r="W61" s="84">
        <f>L61</f>
        <v>244181</v>
      </c>
      <c r="X61" s="85">
        <f>SUM(U50:U61)</f>
        <v>2292403.9414634146</v>
      </c>
      <c r="Y61" s="85">
        <f>SUM(T50:T61)</f>
        <v>924177.62373120012</v>
      </c>
      <c r="Z61" s="78"/>
      <c r="AA61" s="83">
        <f t="shared" si="8"/>
        <v>345969.33556680003</v>
      </c>
      <c r="AB61" s="83">
        <f t="shared" si="9"/>
        <v>532150.99349593499</v>
      </c>
      <c r="AC61" s="83">
        <f t="shared" si="10"/>
        <v>186181.65792913496</v>
      </c>
      <c r="AD61" s="85">
        <f>SUM(AA50:AA61)</f>
        <v>3718117.8698562002</v>
      </c>
      <c r="AE61" s="85">
        <f>SUM(AB50:AB61)</f>
        <v>5615262.9252032507</v>
      </c>
      <c r="AF61" s="85">
        <f>SUM(AC50:AC61)</f>
        <v>1897145.0553470517</v>
      </c>
    </row>
    <row r="62" spans="1:32" ht="17" thickTop="1" x14ac:dyDescent="0.2">
      <c r="B62" s="17"/>
      <c r="C62" s="18"/>
      <c r="D62" s="18"/>
      <c r="E62" s="19"/>
      <c r="F62" s="20"/>
      <c r="H62" s="18"/>
      <c r="W62" s="59"/>
    </row>
    <row r="63" spans="1:32" x14ac:dyDescent="0.2">
      <c r="B63" s="17"/>
      <c r="C63" s="18"/>
      <c r="D63" s="18"/>
      <c r="E63" s="19"/>
      <c r="F63" s="20"/>
      <c r="H63" s="18"/>
    </row>
    <row r="64" spans="1:32" x14ac:dyDescent="0.2">
      <c r="B64" s="17"/>
      <c r="C64" s="18"/>
      <c r="D64" s="18"/>
      <c r="E64" s="19"/>
      <c r="F64" s="20"/>
      <c r="H64" s="18"/>
    </row>
    <row r="65" spans="2:8" x14ac:dyDescent="0.2">
      <c r="B65" s="17"/>
      <c r="C65" s="18"/>
      <c r="D65" s="18"/>
      <c r="E65" s="19"/>
      <c r="F65" s="20"/>
      <c r="H65" s="18"/>
    </row>
    <row r="66" spans="2:8" x14ac:dyDescent="0.2">
      <c r="B66" s="17"/>
      <c r="C66" s="18"/>
      <c r="D66" s="18"/>
      <c r="E66" s="19"/>
      <c r="F66" s="20"/>
      <c r="H66" s="18"/>
    </row>
  </sheetData>
  <conditionalFormatting sqref="T50:U61">
    <cfRule type="cellIs" dxfId="39" priority="1" operator="lessThan">
      <formula>0</formula>
    </cfRule>
  </conditionalFormatting>
  <conditionalFormatting sqref="V2:Y61">
    <cfRule type="cellIs" dxfId="38" priority="4" operator="lessThan">
      <formula>0</formula>
    </cfRule>
  </conditionalFormatting>
  <conditionalFormatting sqref="AC2:AF61">
    <cfRule type="cellIs" dxfId="37" priority="3" operator="lessThan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15F1-A123-4240-8171-5AAE456ABB9D}">
  <dimension ref="A1:F39"/>
  <sheetViews>
    <sheetView workbookViewId="0">
      <selection activeCell="D20" sqref="D20"/>
    </sheetView>
  </sheetViews>
  <sheetFormatPr baseColWidth="10" defaultColWidth="10.83203125" defaultRowHeight="13" x14ac:dyDescent="0.15"/>
  <cols>
    <col min="1" max="1" width="23.5" style="21" bestFit="1" customWidth="1"/>
    <col min="2" max="2" width="11.5" style="21" bestFit="1" customWidth="1"/>
    <col min="3" max="3" width="49" style="21" bestFit="1" customWidth="1"/>
    <col min="4" max="16384" width="10.83203125" style="21"/>
  </cols>
  <sheetData>
    <row r="1" spans="1:3" ht="16" x14ac:dyDescent="0.2">
      <c r="A1" s="22" t="s">
        <v>82</v>
      </c>
      <c r="B1" s="22" t="s">
        <v>83</v>
      </c>
      <c r="C1" s="23" t="s">
        <v>84</v>
      </c>
    </row>
    <row r="2" spans="1:3" x14ac:dyDescent="0.15">
      <c r="A2" s="21" t="s">
        <v>85</v>
      </c>
      <c r="B2" s="24">
        <v>3.29</v>
      </c>
      <c r="C2" s="25" t="s">
        <v>86</v>
      </c>
    </row>
    <row r="3" spans="1:3" x14ac:dyDescent="0.15">
      <c r="A3" s="21" t="s">
        <v>87</v>
      </c>
      <c r="B3" s="24">
        <v>1.66</v>
      </c>
      <c r="C3" s="25" t="s">
        <v>88</v>
      </c>
    </row>
    <row r="4" spans="1:3" x14ac:dyDescent="0.15">
      <c r="A4" s="21" t="s">
        <v>89</v>
      </c>
      <c r="B4" s="24">
        <v>0.57999999999999996</v>
      </c>
      <c r="C4" s="25" t="s">
        <v>90</v>
      </c>
    </row>
    <row r="5" spans="1:3" x14ac:dyDescent="0.15">
      <c r="A5" s="21" t="s">
        <v>91</v>
      </c>
      <c r="B5" s="24">
        <v>0.5</v>
      </c>
      <c r="C5" s="25" t="s">
        <v>92</v>
      </c>
    </row>
    <row r="6" spans="1:3" x14ac:dyDescent="0.15">
      <c r="A6" s="21" t="s">
        <v>93</v>
      </c>
      <c r="B6" s="24">
        <v>2.34</v>
      </c>
      <c r="C6" s="25" t="s">
        <v>94</v>
      </c>
    </row>
    <row r="7" spans="1:3" x14ac:dyDescent="0.15">
      <c r="A7" s="21" t="s">
        <v>95</v>
      </c>
      <c r="B7" s="24">
        <v>2.57</v>
      </c>
      <c r="C7" s="25" t="s">
        <v>96</v>
      </c>
    </row>
    <row r="8" spans="1:3" x14ac:dyDescent="0.15">
      <c r="A8" s="21" t="s">
        <v>97</v>
      </c>
      <c r="B8" s="24">
        <v>0.32</v>
      </c>
      <c r="C8" s="25" t="s">
        <v>98</v>
      </c>
    </row>
    <row r="9" spans="1:3" x14ac:dyDescent="0.15">
      <c r="A9" s="21" t="s">
        <v>99</v>
      </c>
      <c r="B9" s="24">
        <v>4.3</v>
      </c>
      <c r="C9" s="25" t="s">
        <v>100</v>
      </c>
    </row>
    <row r="10" spans="1:3" x14ac:dyDescent="0.15">
      <c r="A10" s="21" t="s">
        <v>101</v>
      </c>
      <c r="B10" s="24">
        <v>1.41</v>
      </c>
      <c r="C10" s="25" t="s">
        <v>102</v>
      </c>
    </row>
    <row r="11" spans="1:3" x14ac:dyDescent="0.15">
      <c r="A11" s="21" t="s">
        <v>103</v>
      </c>
      <c r="B11" s="24">
        <v>1.88</v>
      </c>
      <c r="C11" s="25" t="s">
        <v>104</v>
      </c>
    </row>
    <row r="12" spans="1:3" x14ac:dyDescent="0.15">
      <c r="A12" s="21" t="s">
        <v>105</v>
      </c>
      <c r="B12" s="24">
        <v>0.2</v>
      </c>
      <c r="C12" s="25" t="s">
        <v>106</v>
      </c>
    </row>
    <row r="13" spans="1:3" x14ac:dyDescent="0.15">
      <c r="A13" s="21" t="s">
        <v>107</v>
      </c>
      <c r="B13" s="24">
        <v>0.35</v>
      </c>
      <c r="C13" s="25" t="s">
        <v>108</v>
      </c>
    </row>
    <row r="14" spans="1:3" x14ac:dyDescent="0.15">
      <c r="A14" s="21" t="s">
        <v>109</v>
      </c>
      <c r="B14" s="24">
        <v>0.3</v>
      </c>
      <c r="C14" s="25" t="s">
        <v>110</v>
      </c>
    </row>
    <row r="15" spans="1:3" x14ac:dyDescent="0.15">
      <c r="A15" s="21" t="s">
        <v>111</v>
      </c>
      <c r="B15" s="24">
        <v>0.05</v>
      </c>
      <c r="C15" s="25" t="s">
        <v>112</v>
      </c>
    </row>
    <row r="16" spans="1:3" x14ac:dyDescent="0.15">
      <c r="A16" s="21" t="s">
        <v>113</v>
      </c>
      <c r="B16" s="24">
        <v>1.5</v>
      </c>
      <c r="C16" s="25" t="s">
        <v>100</v>
      </c>
    </row>
    <row r="17" spans="1:3" x14ac:dyDescent="0.15">
      <c r="A17" s="21" t="s">
        <v>114</v>
      </c>
      <c r="B17" s="24">
        <f>SUM(B2:B16, B18)*0.25</f>
        <v>5.3250000000000011</v>
      </c>
    </row>
    <row r="18" spans="1:3" x14ac:dyDescent="0.15">
      <c r="A18" s="21" t="s">
        <v>115</v>
      </c>
      <c r="B18" s="24">
        <v>0.05</v>
      </c>
      <c r="C18" s="25" t="s">
        <v>116</v>
      </c>
    </row>
    <row r="19" spans="1:3" x14ac:dyDescent="0.15">
      <c r="B19" s="24"/>
    </row>
    <row r="20" spans="1:3" ht="16" x14ac:dyDescent="0.2">
      <c r="A20" s="22" t="s">
        <v>117</v>
      </c>
      <c r="B20" s="26">
        <f>SUM(B2:B19)</f>
        <v>26.625000000000004</v>
      </c>
    </row>
    <row r="21" spans="1:3" ht="75" x14ac:dyDescent="0.15">
      <c r="A21" s="21" t="s">
        <v>118</v>
      </c>
      <c r="B21" s="24">
        <v>6.18</v>
      </c>
      <c r="C21" s="69" t="s">
        <v>119</v>
      </c>
    </row>
    <row r="22" spans="1:3" x14ac:dyDescent="0.15">
      <c r="A22" s="21" t="s">
        <v>120</v>
      </c>
      <c r="B22" s="24">
        <v>0.5</v>
      </c>
      <c r="C22" s="21" t="s">
        <v>121</v>
      </c>
    </row>
    <row r="23" spans="1:3" ht="16" x14ac:dyDescent="0.2">
      <c r="A23" s="22" t="s">
        <v>122</v>
      </c>
      <c r="B23" s="26">
        <f>B21*B22</f>
        <v>3.09</v>
      </c>
    </row>
    <row r="24" spans="1:3" x14ac:dyDescent="0.15">
      <c r="A24" s="21" t="s">
        <v>123</v>
      </c>
      <c r="B24" s="24">
        <f>B23+B20</f>
        <v>29.715000000000003</v>
      </c>
    </row>
    <row r="25" spans="1:3" x14ac:dyDescent="0.15">
      <c r="A25" s="21" t="s">
        <v>124</v>
      </c>
      <c r="B25" s="24">
        <f>B24*0.035</f>
        <v>1.0400250000000002</v>
      </c>
    </row>
    <row r="26" spans="1:3" x14ac:dyDescent="0.15">
      <c r="B26" s="24"/>
    </row>
    <row r="27" spans="1:3" x14ac:dyDescent="0.15">
      <c r="A27" s="27" t="s">
        <v>125</v>
      </c>
      <c r="B27" s="28"/>
      <c r="C27" s="27" t="s">
        <v>126</v>
      </c>
    </row>
    <row r="28" spans="1:3" x14ac:dyDescent="0.15">
      <c r="B28" s="24"/>
    </row>
    <row r="29" spans="1:3" ht="16" x14ac:dyDescent="0.2">
      <c r="A29" s="22" t="s">
        <v>127</v>
      </c>
      <c r="B29" s="26">
        <f>SUM(B24:B27)</f>
        <v>30.755025000000003</v>
      </c>
      <c r="C29" s="24"/>
    </row>
    <row r="30" spans="1:3" x14ac:dyDescent="0.15">
      <c r="A30" s="21" t="s">
        <v>128</v>
      </c>
      <c r="B30" s="24">
        <v>0.19900000000000001</v>
      </c>
    </row>
    <row r="31" spans="1:3" x14ac:dyDescent="0.15">
      <c r="A31" s="21" t="s">
        <v>129</v>
      </c>
      <c r="B31" s="24">
        <f>B29*B30</f>
        <v>6.120249975000001</v>
      </c>
    </row>
    <row r="32" spans="1:3" x14ac:dyDescent="0.15">
      <c r="A32" s="21" t="s">
        <v>130</v>
      </c>
      <c r="B32" s="24">
        <f>(B29+B31)*0.23</f>
        <v>8.4813132442500017</v>
      </c>
    </row>
    <row r="33" spans="1:6" x14ac:dyDescent="0.15">
      <c r="A33" s="21" t="s">
        <v>131</v>
      </c>
      <c r="B33" s="24">
        <f>B29+B31+B32</f>
        <v>45.356588219250007</v>
      </c>
    </row>
    <row r="34" spans="1:6" ht="16" x14ac:dyDescent="0.2">
      <c r="A34" s="22" t="s">
        <v>132</v>
      </c>
      <c r="B34" s="26">
        <f>ROUNDUP(B33,0)-0.01</f>
        <v>45.99</v>
      </c>
    </row>
    <row r="35" spans="1:6" ht="16" x14ac:dyDescent="0.2">
      <c r="A35" s="22" t="s">
        <v>133</v>
      </c>
      <c r="B35" s="26">
        <f>B34*100/123</f>
        <v>37.390243902439025</v>
      </c>
    </row>
    <row r="36" spans="1:6" ht="16" x14ac:dyDescent="0.2">
      <c r="A36" s="22" t="s">
        <v>134</v>
      </c>
      <c r="B36" s="26">
        <f>B35-B29</f>
        <v>6.6352189024390213</v>
      </c>
      <c r="C36" s="29"/>
      <c r="E36" s="23"/>
      <c r="F36" s="24"/>
    </row>
    <row r="37" spans="1:6" ht="16" x14ac:dyDescent="0.2">
      <c r="A37" s="22" t="s">
        <v>135</v>
      </c>
      <c r="B37" s="26">
        <f>B34*23/123</f>
        <v>8.5997560975609755</v>
      </c>
    </row>
    <row r="39" spans="1:6" ht="16" x14ac:dyDescent="0.2">
      <c r="A39" s="22"/>
      <c r="B39" s="24"/>
    </row>
  </sheetData>
  <hyperlinks>
    <hyperlink ref="C10" r:id="rId1" tooltip="Shenzhen Minewsemi Co.,Ltd." display="https://minewsemi.en.alibaba.com/minisiteentrance.html?from=detail&amp;productId=1600821627963" xr:uid="{A7A7A6BC-CF38-7D41-A71B-AE11AECB5C89}"/>
    <hyperlink ref="C2" r:id="rId2" xr:uid="{7FFCE682-5EC3-A84F-8833-9A700AC9188B}"/>
    <hyperlink ref="C11" r:id="rId3" tooltip="Changzhou Keling Power Technology Co., Ltd." display="https://czkeling.en.alibaba.com/minisiteentrance.html?from=detail&amp;productId=1600931976361" xr:uid="{37380C62-D94D-2A49-B161-27FFA5CAD4DE}"/>
    <hyperlink ref="C3" r:id="rId4" xr:uid="{79F3BE67-203B-3E47-B392-5B87BD15E10F}"/>
    <hyperlink ref="C5" r:id="rId5" xr:uid="{5AD882D3-CC16-BD47-A369-0580BC1C2128}"/>
    <hyperlink ref="C4" r:id="rId6" xr:uid="{C935E296-5FA5-0141-911C-13D98F33B4EB}"/>
    <hyperlink ref="C6" r:id="rId7" tooltip="Shenzhen Enerforce Technology Co., Ltd." xr:uid="{F60161A0-DC50-4946-92DC-8CAF96304CC0}"/>
    <hyperlink ref="C13" r:id="rId8" xr:uid="{FA42CC5F-F131-AC40-A50C-AF4FE8253F70}"/>
    <hyperlink ref="C15" r:id="rId9" tooltip="Shenzhen Changkeshun Technology Co., Ltd." xr:uid="{28C58A36-1C05-5144-A626-03C74BB4B261}"/>
    <hyperlink ref="C9" r:id="rId10" xr:uid="{8E37E20E-6F72-F741-8A02-4DA2C27EABB5}"/>
    <hyperlink ref="C8" r:id="rId11" xr:uid="{E01690D3-CE32-0044-981C-6E0CC65C19E1}"/>
    <hyperlink ref="C14" r:id="rId12" display="https://www.alibaba.com/product-detail/23mm-90dB-DC-5V-12V-24V_1600284210703.html?spm=a2700.galleryofferlist.p_offer.d_title.4d033672FBiWTA&amp;s=p" xr:uid="{56C6BC4F-0B01-694E-9503-ED236A0A2C0E}"/>
    <hyperlink ref="C18" r:id="rId13" tooltip="Dongguan Sovetl Special Rope &amp; Webbing Co., Ltd." xr:uid="{52D34034-4AAD-D840-A375-D2D67802EA1B}"/>
    <hyperlink ref="C7" r:id="rId14" tooltip="Shenzhen Frida LCD Co., Ltd." xr:uid="{DD624BAC-F619-4C4C-8938-911E9346F71F}"/>
    <hyperlink ref="C16" r:id="rId15" xr:uid="{25FAA8E4-6318-7E46-A745-F811F7CE9896}"/>
  </hyperlinks>
  <pageMargins left="0.7" right="0.7" top="0.75" bottom="0.75" header="0.3" footer="0.3"/>
  <tableParts count="1"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dc5b9d-bd4b-42c3-b217-1f0729e40c60">
      <Terms xmlns="http://schemas.microsoft.com/office/infopath/2007/PartnerControls"/>
    </lcf76f155ced4ddcb4097134ff3c332f>
    <TaxCatchAll xmlns="d0a4a4a1-06a5-4dde-99c8-b56180da0ea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E4B3A200F7514792E6A69CC6A97918" ma:contentTypeVersion="13" ma:contentTypeDescription="Create a new document." ma:contentTypeScope="" ma:versionID="f64693db25ba090eb37d6394701b412f">
  <xsd:schema xmlns:xsd="http://www.w3.org/2001/XMLSchema" xmlns:xs="http://www.w3.org/2001/XMLSchema" xmlns:p="http://schemas.microsoft.com/office/2006/metadata/properties" xmlns:ns2="52dc5b9d-bd4b-42c3-b217-1f0729e40c60" xmlns:ns3="d0a4a4a1-06a5-4dde-99c8-b56180da0eac" targetNamespace="http://schemas.microsoft.com/office/2006/metadata/properties" ma:root="true" ma:fieldsID="dbc144cf2d2aa3a63faff27a0f7bfa78" ns2:_="" ns3:_="">
    <xsd:import namespace="52dc5b9d-bd4b-42c3-b217-1f0729e40c60"/>
    <xsd:import namespace="d0a4a4a1-06a5-4dde-99c8-b56180da0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c5b9d-bd4b-42c3-b217-1f0729e40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6159e26-e387-4955-8c38-302e604e49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4a4a1-06a5-4dde-99c8-b56180da0ea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1ac517f-63a4-40c6-a09e-132e3e2ed3ff}" ma:internalName="TaxCatchAll" ma:showField="CatchAllData" ma:web="d0a4a4a1-06a5-4dde-99c8-b56180da0e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F860CA-F64F-45B1-9926-453338A916F0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d0a4a4a1-06a5-4dde-99c8-b56180da0eac"/>
    <ds:schemaRef ds:uri="52dc5b9d-bd4b-42c3-b217-1f0729e40c6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B091866-D7DE-4EC5-B7CD-D4F711B112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4E8214-041B-49EB-9E5F-3733A3E2E5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dc5b9d-bd4b-42c3-b217-1f0729e40c60"/>
    <ds:schemaRef ds:uri="d0a4a4a1-06a5-4dde-99c8-b56180da0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 Sheet</vt:lpstr>
      <vt:lpstr>Sales Forecast CAGR</vt:lpstr>
      <vt:lpstr>Cost_calc</vt:lpstr>
    </vt:vector>
  </TitlesOfParts>
  <Manager/>
  <Company>Commonwealth Bank of Australia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Plan Template</dc:title>
  <dc:subject/>
  <dc:creator>the white agency</dc:creator>
  <cp:keywords/>
  <dc:description/>
  <cp:lastModifiedBy>Stilz, Vincent</cp:lastModifiedBy>
  <cp:revision/>
  <dcterms:created xsi:type="dcterms:W3CDTF">2007-07-23T04:50:59Z</dcterms:created>
  <dcterms:modified xsi:type="dcterms:W3CDTF">2024-04-09T12:12:49Z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0x0101000AE4B3A200F7514792E6A69CC6A97918</vt:lpwstr>
  </property>
  <property fmtid="{D5CDD505-2E9C-101B-9397-08002B2CF9AE}" pid="3" name="MediaServiceImageTags">
    <vt:lpwstr/>
  </property>
</Properties>
</file>